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9580" yWindow="-28240" windowWidth="34320" windowHeight="20740" firstSheet="2" activeTab="9"/>
  </bookViews>
  <sheets>
    <sheet name="Summary P&amp;L" sheetId="11" r:id="rId1"/>
    <sheet name="Combined P&amp;L (detailed)" sheetId="9" r:id="rId2"/>
    <sheet name="Federal P&amp;L (detailed)" sheetId="6" r:id="rId3"/>
    <sheet name="State and Local P&amp;L (detailed)" sheetId="8" r:id="rId4"/>
    <sheet name="Combined P&amp;L" sheetId="1" r:id="rId5"/>
    <sheet name="Federal P&amp;L" sheetId="2" r:id="rId6"/>
    <sheet name="State and Local P&amp;L" sheetId="3" r:id="rId7"/>
    <sheet name="Federal Data" sheetId="5" r:id="rId8"/>
    <sheet name="S&amp;L Data" sheetId="4" r:id="rId9"/>
    <sheet name="Trust Funds" sheetId="7" r:id="rId10"/>
  </sheets>
  <definedNames>
    <definedName name="_xlnm.Print_Area" localSheetId="9">'Trust Funds'!$D$4:$BR$47</definedName>
    <definedName name="_xlnm.Print_Titles" localSheetId="9">'Trust Funds'!$C:$C,'Trust Funds'!$1:$3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8" i="8" l="1"/>
  <c r="A77" i="8"/>
  <c r="A76" i="8"/>
  <c r="A75" i="8"/>
  <c r="A74" i="8"/>
  <c r="A73" i="8"/>
  <c r="A84" i="8"/>
  <c r="A83" i="8"/>
  <c r="A82" i="8"/>
  <c r="A81" i="8"/>
  <c r="A80" i="8"/>
  <c r="A79" i="8"/>
  <c r="A72" i="8"/>
  <c r="A71" i="8"/>
  <c r="A70" i="8"/>
  <c r="A69" i="8"/>
  <c r="A68" i="8"/>
  <c r="A67" i="8"/>
  <c r="A66" i="8"/>
  <c r="A64" i="8"/>
  <c r="A63" i="8"/>
  <c r="A62" i="8"/>
  <c r="A61" i="8"/>
  <c r="A60" i="8"/>
  <c r="A59" i="8"/>
  <c r="A58" i="8"/>
  <c r="A56" i="8"/>
  <c r="A55" i="8"/>
  <c r="A53" i="8"/>
  <c r="A52" i="8"/>
  <c r="A51" i="8"/>
  <c r="A50" i="8"/>
  <c r="A49" i="8"/>
  <c r="A48" i="8"/>
  <c r="A47" i="8"/>
  <c r="A46" i="8"/>
  <c r="A45" i="8"/>
  <c r="A44" i="8"/>
  <c r="A43" i="8"/>
  <c r="A42" i="8"/>
  <c r="A57" i="8"/>
  <c r="A54" i="8"/>
  <c r="A41" i="8"/>
  <c r="A39" i="8"/>
  <c r="A38" i="8"/>
  <c r="A36" i="8"/>
  <c r="A35" i="8"/>
  <c r="A34" i="8"/>
  <c r="A33" i="8"/>
  <c r="A32" i="8"/>
  <c r="A31" i="8"/>
  <c r="A30" i="8"/>
  <c r="A29" i="8"/>
  <c r="A85" i="8"/>
  <c r="A65" i="8"/>
  <c r="A40" i="8"/>
  <c r="A37" i="8"/>
  <c r="A28" i="8"/>
  <c r="A27" i="8"/>
  <c r="A129" i="6"/>
  <c r="A113" i="6"/>
  <c r="A109" i="6"/>
  <c r="A132" i="6"/>
  <c r="A131" i="6"/>
  <c r="A130" i="6"/>
  <c r="A128" i="6"/>
  <c r="A127" i="6"/>
  <c r="A126" i="6"/>
  <c r="A125" i="6"/>
  <c r="A123" i="6"/>
  <c r="A122" i="6"/>
  <c r="A121" i="6"/>
  <c r="A124" i="6"/>
  <c r="A120" i="6"/>
  <c r="A119" i="6"/>
  <c r="A118" i="6"/>
  <c r="A117" i="6"/>
  <c r="A116" i="6"/>
  <c r="A115" i="6"/>
  <c r="A114" i="6"/>
  <c r="A112" i="6"/>
  <c r="A111" i="6"/>
  <c r="A110" i="6"/>
  <c r="A108" i="6"/>
  <c r="A107" i="6"/>
  <c r="A106" i="6"/>
  <c r="A105" i="6"/>
  <c r="A104" i="6"/>
  <c r="A101" i="6"/>
  <c r="A100" i="6"/>
  <c r="A99" i="6"/>
  <c r="A98" i="6"/>
  <c r="A97" i="6"/>
  <c r="A96" i="6"/>
  <c r="A95" i="6"/>
  <c r="A94" i="6"/>
  <c r="A93" i="6"/>
  <c r="A92" i="6"/>
  <c r="A91" i="6"/>
  <c r="A90" i="6"/>
  <c r="A89" i="6"/>
  <c r="A88" i="6"/>
  <c r="A87" i="6"/>
  <c r="A86" i="6"/>
  <c r="A85" i="6"/>
  <c r="A84" i="6"/>
  <c r="A83" i="6"/>
  <c r="A81" i="6"/>
  <c r="A80" i="6"/>
  <c r="A79" i="6"/>
  <c r="A78" i="6"/>
  <c r="A76" i="6"/>
  <c r="A77" i="6"/>
  <c r="A75" i="6"/>
  <c r="A74" i="6"/>
  <c r="A73" i="6"/>
  <c r="A72" i="6"/>
  <c r="A71" i="6"/>
  <c r="A70" i="6"/>
  <c r="A69" i="6"/>
  <c r="A68" i="6"/>
  <c r="A67" i="6"/>
  <c r="A66" i="6"/>
  <c r="A65" i="6"/>
  <c r="A64" i="6"/>
  <c r="A63" i="6"/>
  <c r="A62" i="6"/>
  <c r="A61" i="6"/>
  <c r="A60" i="6"/>
  <c r="A56" i="6"/>
  <c r="A55" i="6"/>
  <c r="A54" i="6"/>
  <c r="A52" i="6"/>
  <c r="A51" i="6"/>
  <c r="A50" i="6"/>
  <c r="A49" i="6"/>
  <c r="A48" i="6"/>
  <c r="A47" i="6"/>
  <c r="A46" i="6"/>
  <c r="A42" i="6"/>
  <c r="A41" i="6"/>
  <c r="A40" i="6"/>
  <c r="A39" i="6"/>
  <c r="A37" i="6"/>
  <c r="A36" i="6"/>
  <c r="A35" i="6"/>
  <c r="A34" i="6"/>
  <c r="A33" i="6"/>
  <c r="A103" i="6"/>
  <c r="A82" i="6"/>
  <c r="A59" i="6"/>
  <c r="A57" i="6"/>
  <c r="A53" i="6"/>
  <c r="A45" i="6"/>
  <c r="A43" i="6"/>
  <c r="A38" i="6"/>
  <c r="A32" i="6"/>
  <c r="A175" i="6"/>
  <c r="A174" i="6"/>
  <c r="A173" i="6"/>
  <c r="A167" i="6"/>
  <c r="A166" i="6"/>
  <c r="A165" i="6"/>
  <c r="A163" i="6"/>
  <c r="A169" i="6"/>
  <c r="A168" i="6"/>
  <c r="A164" i="6"/>
  <c r="A162" i="6"/>
  <c r="A161" i="6"/>
  <c r="A160" i="6"/>
  <c r="A159" i="6"/>
  <c r="A148" i="6"/>
  <c r="A147" i="6"/>
  <c r="A146" i="6"/>
  <c r="A145" i="6"/>
  <c r="A143" i="6"/>
  <c r="A142" i="6"/>
  <c r="A151" i="6"/>
  <c r="A150" i="6"/>
  <c r="A149" i="6"/>
  <c r="A144" i="6"/>
  <c r="A141" i="6"/>
  <c r="A140" i="6"/>
  <c r="A139" i="6"/>
  <c r="A138" i="6"/>
  <c r="A137" i="6"/>
  <c r="A135" i="6"/>
  <c r="A133" i="6"/>
  <c r="A102" i="6"/>
  <c r="A58" i="6"/>
  <c r="A44" i="6"/>
  <c r="A31" i="6"/>
  <c r="A29" i="6"/>
  <c r="A105" i="9"/>
  <c r="A103"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53" i="9"/>
  <c r="A62" i="9"/>
  <c r="A70" i="9"/>
  <c r="A69" i="9"/>
  <c r="A68" i="9"/>
  <c r="A67" i="9"/>
  <c r="A66" i="9"/>
  <c r="A65" i="9"/>
  <c r="A64" i="9"/>
  <c r="A63" i="9"/>
  <c r="A61" i="9"/>
  <c r="A60" i="9"/>
  <c r="A59" i="9"/>
  <c r="A58" i="9"/>
  <c r="A57" i="9"/>
  <c r="A56" i="9"/>
  <c r="A55" i="9"/>
  <c r="A54" i="9"/>
  <c r="A52" i="9"/>
  <c r="A51" i="9"/>
  <c r="A50" i="9"/>
  <c r="A49" i="9"/>
  <c r="A47" i="9"/>
  <c r="A46" i="9"/>
  <c r="A45" i="9"/>
  <c r="A44" i="9"/>
  <c r="A43" i="9"/>
  <c r="A71" i="9"/>
  <c r="A48" i="9"/>
  <c r="A42" i="9"/>
  <c r="A41" i="9"/>
  <c r="A40" i="9"/>
  <c r="A39" i="9"/>
  <c r="A38" i="9"/>
  <c r="A37" i="9"/>
  <c r="A36" i="9"/>
  <c r="A35" i="9"/>
  <c r="A34" i="9"/>
  <c r="A33" i="9"/>
  <c r="A32" i="9"/>
  <c r="A31" i="9"/>
  <c r="A25" i="8"/>
  <c r="A24" i="8"/>
  <c r="A23" i="8"/>
  <c r="A22" i="8"/>
  <c r="A21" i="8"/>
  <c r="A20" i="8"/>
  <c r="A19" i="8"/>
  <c r="A18" i="8"/>
  <c r="A17" i="8"/>
  <c r="A16" i="8"/>
  <c r="A15" i="8"/>
  <c r="A14" i="8"/>
  <c r="A13" i="8"/>
  <c r="A12" i="8"/>
  <c r="A11" i="8"/>
  <c r="A10" i="8"/>
  <c r="A9" i="8"/>
  <c r="A8" i="8"/>
  <c r="A7" i="8"/>
  <c r="A6" i="8"/>
  <c r="A5" i="8"/>
  <c r="A27" i="6"/>
  <c r="A26" i="6"/>
  <c r="A25" i="6"/>
  <c r="A24" i="6"/>
  <c r="A23" i="6"/>
  <c r="A22" i="6"/>
  <c r="A21" i="6"/>
  <c r="A20" i="6"/>
  <c r="A19" i="6"/>
  <c r="A18" i="6"/>
  <c r="A17" i="6"/>
  <c r="A16" i="6"/>
  <c r="A15" i="6"/>
  <c r="A14" i="6"/>
  <c r="A13" i="6"/>
  <c r="A12" i="6"/>
  <c r="A11" i="6"/>
  <c r="A10" i="6"/>
  <c r="A9" i="6"/>
  <c r="A8" i="6"/>
  <c r="A7" i="6"/>
  <c r="A6" i="6"/>
  <c r="A5" i="6"/>
  <c r="A29" i="9"/>
  <c r="A28" i="9"/>
  <c r="A27" i="9"/>
  <c r="A26" i="9"/>
  <c r="A25" i="9"/>
  <c r="A24" i="9"/>
  <c r="A23" i="9"/>
  <c r="A22" i="9"/>
  <c r="A21" i="9"/>
  <c r="A20" i="9"/>
  <c r="A19" i="9"/>
  <c r="A18" i="9"/>
  <c r="A17" i="9"/>
  <c r="A16" i="9"/>
  <c r="A15" i="9"/>
  <c r="A14" i="9"/>
  <c r="A13" i="9"/>
  <c r="A12" i="9"/>
  <c r="A11" i="9"/>
  <c r="A10" i="9"/>
  <c r="A9" i="9"/>
  <c r="A8" i="9"/>
  <c r="A7" i="9"/>
  <c r="A6" i="9"/>
  <c r="A5" i="9"/>
  <c r="D34" i="6"/>
  <c r="D31" i="8"/>
  <c r="D35" i="9"/>
  <c r="E34" i="6"/>
  <c r="E31" i="8"/>
  <c r="E35" i="9"/>
  <c r="F34" i="6"/>
  <c r="F31" i="8"/>
  <c r="F35" i="9"/>
  <c r="G34" i="6"/>
  <c r="G31" i="8"/>
  <c r="G35" i="9"/>
  <c r="H34" i="6"/>
  <c r="H31" i="8"/>
  <c r="H35" i="9"/>
  <c r="I34" i="6"/>
  <c r="I31" i="8"/>
  <c r="I35" i="9"/>
  <c r="J34" i="6"/>
  <c r="J31" i="8"/>
  <c r="J35" i="9"/>
  <c r="K34" i="6"/>
  <c r="K31" i="8"/>
  <c r="K35" i="9"/>
  <c r="L34" i="6"/>
  <c r="L31" i="8"/>
  <c r="L35" i="9"/>
  <c r="M34" i="6"/>
  <c r="M31" i="8"/>
  <c r="M35" i="9"/>
  <c r="N34" i="6"/>
  <c r="N31" i="8"/>
  <c r="N35" i="9"/>
  <c r="O34" i="6"/>
  <c r="O31" i="8"/>
  <c r="O35" i="9"/>
  <c r="P34" i="6"/>
  <c r="P31" i="8"/>
  <c r="P35" i="9"/>
  <c r="Q34" i="6"/>
  <c r="Q31" i="8"/>
  <c r="Q35" i="9"/>
  <c r="R34" i="6"/>
  <c r="R31" i="8"/>
  <c r="R35" i="9"/>
  <c r="S34" i="6"/>
  <c r="S31" i="8"/>
  <c r="S35" i="9"/>
  <c r="T34" i="6"/>
  <c r="T31" i="8"/>
  <c r="T35" i="9"/>
  <c r="U34" i="6"/>
  <c r="U31" i="8"/>
  <c r="U35" i="9"/>
  <c r="V34" i="6"/>
  <c r="V31" i="8"/>
  <c r="V35" i="9"/>
  <c r="W34" i="6"/>
  <c r="W31" i="8"/>
  <c r="W35" i="9"/>
  <c r="X34" i="6"/>
  <c r="X31" i="8"/>
  <c r="X35" i="9"/>
  <c r="Y34" i="6"/>
  <c r="Y31" i="8"/>
  <c r="Y35" i="9"/>
  <c r="Z34" i="6"/>
  <c r="Z31" i="8"/>
  <c r="Z35" i="9"/>
  <c r="AA34" i="6"/>
  <c r="AA31" i="8"/>
  <c r="AA35" i="9"/>
  <c r="AB34" i="6"/>
  <c r="AB31" i="8"/>
  <c r="AB35" i="9"/>
  <c r="AC34" i="6"/>
  <c r="AC31" i="8"/>
  <c r="AC35" i="9"/>
  <c r="AD34" i="6"/>
  <c r="AD31" i="8"/>
  <c r="AD35" i="9"/>
  <c r="AE34" i="6"/>
  <c r="AE31" i="8"/>
  <c r="AE35" i="9"/>
  <c r="AF34" i="6"/>
  <c r="AF31" i="8"/>
  <c r="AF35" i="9"/>
  <c r="AG34" i="6"/>
  <c r="AG31" i="8"/>
  <c r="AG35" i="9"/>
  <c r="AH34" i="6"/>
  <c r="AH31" i="8"/>
  <c r="AH35" i="9"/>
  <c r="AI34" i="6"/>
  <c r="AI31" i="8"/>
  <c r="AI35" i="9"/>
  <c r="AJ34" i="6"/>
  <c r="AJ31" i="8"/>
  <c r="AJ35" i="9"/>
  <c r="AK34" i="6"/>
  <c r="AK31" i="8"/>
  <c r="AK35" i="9"/>
  <c r="D35" i="6"/>
  <c r="D32" i="8"/>
  <c r="D36" i="9"/>
  <c r="E35" i="6"/>
  <c r="E32" i="8"/>
  <c r="E36" i="9"/>
  <c r="F35" i="6"/>
  <c r="F32" i="8"/>
  <c r="F36" i="9"/>
  <c r="G35" i="6"/>
  <c r="G32" i="8"/>
  <c r="G36" i="9"/>
  <c r="H35" i="6"/>
  <c r="H32" i="8"/>
  <c r="H36" i="9"/>
  <c r="I35" i="6"/>
  <c r="I32" i="8"/>
  <c r="I36" i="9"/>
  <c r="J35" i="6"/>
  <c r="J32" i="8"/>
  <c r="J36" i="9"/>
  <c r="K35" i="6"/>
  <c r="K32" i="8"/>
  <c r="K36" i="9"/>
  <c r="L35" i="6"/>
  <c r="L32" i="8"/>
  <c r="L36" i="9"/>
  <c r="M35" i="6"/>
  <c r="M32" i="8"/>
  <c r="M36" i="9"/>
  <c r="N35" i="6"/>
  <c r="N32" i="8"/>
  <c r="N36" i="9"/>
  <c r="O35" i="6"/>
  <c r="O32" i="8"/>
  <c r="O36" i="9"/>
  <c r="P35" i="6"/>
  <c r="P32" i="8"/>
  <c r="P36" i="9"/>
  <c r="Q35" i="6"/>
  <c r="Q32" i="8"/>
  <c r="Q36" i="9"/>
  <c r="R35" i="6"/>
  <c r="R32" i="8"/>
  <c r="R36" i="9"/>
  <c r="S35" i="6"/>
  <c r="S32" i="8"/>
  <c r="S36" i="9"/>
  <c r="T35" i="6"/>
  <c r="T32" i="8"/>
  <c r="T36" i="9"/>
  <c r="U35" i="6"/>
  <c r="U32" i="8"/>
  <c r="U36" i="9"/>
  <c r="V35" i="6"/>
  <c r="V32" i="8"/>
  <c r="V36" i="9"/>
  <c r="W35" i="6"/>
  <c r="W32" i="8"/>
  <c r="W36" i="9"/>
  <c r="X35" i="6"/>
  <c r="X32" i="8"/>
  <c r="X36" i="9"/>
  <c r="Y35" i="6"/>
  <c r="Y32" i="8"/>
  <c r="Y36" i="9"/>
  <c r="Z35" i="6"/>
  <c r="Z32" i="8"/>
  <c r="Z36" i="9"/>
  <c r="AA35" i="6"/>
  <c r="AA32" i="8"/>
  <c r="AA36" i="9"/>
  <c r="AB35" i="6"/>
  <c r="AB32" i="8"/>
  <c r="AB36" i="9"/>
  <c r="AC35" i="6"/>
  <c r="AC32" i="8"/>
  <c r="AC36" i="9"/>
  <c r="AD35" i="6"/>
  <c r="AD32" i="8"/>
  <c r="AD36" i="9"/>
  <c r="AE35" i="6"/>
  <c r="AE32" i="8"/>
  <c r="AE36" i="9"/>
  <c r="AF35" i="6"/>
  <c r="AF32" i="8"/>
  <c r="AF36" i="9"/>
  <c r="AG35" i="6"/>
  <c r="AG32" i="8"/>
  <c r="AG36" i="9"/>
  <c r="AH35" i="6"/>
  <c r="AH32" i="8"/>
  <c r="AH36" i="9"/>
  <c r="AI35" i="6"/>
  <c r="AI32" i="8"/>
  <c r="AI36" i="9"/>
  <c r="AJ35" i="6"/>
  <c r="AJ32" i="8"/>
  <c r="AJ36" i="9"/>
  <c r="AK35" i="6"/>
  <c r="AK32" i="8"/>
  <c r="AK36" i="9"/>
  <c r="C35" i="6"/>
  <c r="C32" i="8"/>
  <c r="C36" i="9"/>
  <c r="C34" i="6"/>
  <c r="C31" i="8"/>
  <c r="C35" i="9"/>
  <c r="B5" i="11"/>
  <c r="C5" i="8"/>
  <c r="C5" i="11"/>
  <c r="E5" i="11"/>
  <c r="D5" i="8"/>
  <c r="F5" i="11"/>
  <c r="H5" i="11"/>
  <c r="E5" i="8"/>
  <c r="I5" i="11"/>
  <c r="K5" i="11"/>
  <c r="F5" i="8"/>
  <c r="L5" i="11"/>
  <c r="N5" i="11"/>
  <c r="G5" i="8"/>
  <c r="O5" i="11"/>
  <c r="Q5" i="11"/>
  <c r="H5" i="8"/>
  <c r="R5" i="11"/>
  <c r="T5" i="11"/>
  <c r="I5" i="8"/>
  <c r="U5" i="11"/>
  <c r="W5" i="11"/>
  <c r="J5" i="8"/>
  <c r="X5" i="11"/>
  <c r="Z5" i="11"/>
  <c r="K5" i="8"/>
  <c r="AA5" i="11"/>
  <c r="AC5" i="11"/>
  <c r="L5" i="8"/>
  <c r="AD5" i="11"/>
  <c r="AF5" i="11"/>
  <c r="M5" i="8"/>
  <c r="AG5" i="11"/>
  <c r="AI5" i="11"/>
  <c r="N5" i="8"/>
  <c r="AJ5" i="11"/>
  <c r="AL5" i="11"/>
  <c r="O5" i="8"/>
  <c r="AM5" i="11"/>
  <c r="AO5" i="11"/>
  <c r="P5" i="8"/>
  <c r="AP5" i="11"/>
  <c r="AR5" i="11"/>
  <c r="Q5" i="8"/>
  <c r="AS5" i="11"/>
  <c r="AU5" i="11"/>
  <c r="R5" i="8"/>
  <c r="AV5" i="11"/>
  <c r="AX5" i="11"/>
  <c r="S5" i="8"/>
  <c r="AY5" i="11"/>
  <c r="BA5" i="11"/>
  <c r="T5" i="8"/>
  <c r="BB5" i="11"/>
  <c r="BD5" i="11"/>
  <c r="U5" i="8"/>
  <c r="BE5" i="11"/>
  <c r="BG5" i="11"/>
  <c r="V5" i="8"/>
  <c r="BH5" i="11"/>
  <c r="BJ5" i="11"/>
  <c r="W5" i="8"/>
  <c r="BK5" i="11"/>
  <c r="BM5" i="11"/>
  <c r="X5" i="8"/>
  <c r="BN5" i="11"/>
  <c r="BP5" i="11"/>
  <c r="Y5" i="8"/>
  <c r="BQ5" i="11"/>
  <c r="BS5" i="11"/>
  <c r="Z5" i="8"/>
  <c r="BT5" i="11"/>
  <c r="BV5" i="11"/>
  <c r="AA5" i="8"/>
  <c r="BW5" i="11"/>
  <c r="BY5" i="11"/>
  <c r="AB5" i="8"/>
  <c r="BZ5" i="11"/>
  <c r="CB5" i="11"/>
  <c r="AC5" i="8"/>
  <c r="CC5" i="11"/>
  <c r="CE5" i="11"/>
  <c r="AD5" i="8"/>
  <c r="CF5" i="11"/>
  <c r="CH5" i="11"/>
  <c r="AE5" i="8"/>
  <c r="CI5" i="11"/>
  <c r="CK5" i="11"/>
  <c r="AF5" i="8"/>
  <c r="CL5" i="11"/>
  <c r="CN5" i="11"/>
  <c r="AG5" i="8"/>
  <c r="CO5" i="11"/>
  <c r="CQ5" i="11"/>
  <c r="AH5" i="8"/>
  <c r="CR5" i="11"/>
  <c r="CT5" i="11"/>
  <c r="AI5" i="8"/>
  <c r="CU5" i="11"/>
  <c r="CW5" i="11"/>
  <c r="AJ5" i="8"/>
  <c r="CX5" i="11"/>
  <c r="CZ5" i="11"/>
  <c r="AK5" i="8"/>
  <c r="DA5" i="11"/>
  <c r="DC5" i="11"/>
  <c r="DD5" i="11"/>
  <c r="B6" i="11"/>
  <c r="C6" i="8"/>
  <c r="C6" i="11"/>
  <c r="D6" i="11"/>
  <c r="E6" i="11"/>
  <c r="D6" i="8"/>
  <c r="F6" i="11"/>
  <c r="G6" i="11"/>
  <c r="H6" i="11"/>
  <c r="E6" i="8"/>
  <c r="I6" i="11"/>
  <c r="J6" i="11"/>
  <c r="K6" i="11"/>
  <c r="F6" i="8"/>
  <c r="L6" i="11"/>
  <c r="M6" i="11"/>
  <c r="N6" i="11"/>
  <c r="G6" i="8"/>
  <c r="O6" i="11"/>
  <c r="P6" i="11"/>
  <c r="Q6" i="11"/>
  <c r="H6" i="8"/>
  <c r="R6" i="11"/>
  <c r="S6" i="11"/>
  <c r="T6" i="11"/>
  <c r="I6" i="8"/>
  <c r="U6" i="11"/>
  <c r="V6" i="11"/>
  <c r="W6" i="11"/>
  <c r="J6" i="8"/>
  <c r="X6" i="11"/>
  <c r="Y6" i="11"/>
  <c r="Z6" i="11"/>
  <c r="K6" i="8"/>
  <c r="AA6" i="11"/>
  <c r="AB6" i="11"/>
  <c r="AC6" i="11"/>
  <c r="L6" i="8"/>
  <c r="AD6" i="11"/>
  <c r="AE6" i="11"/>
  <c r="AF6" i="11"/>
  <c r="M6" i="8"/>
  <c r="AG6" i="11"/>
  <c r="AH6" i="11"/>
  <c r="AI6" i="11"/>
  <c r="N6" i="8"/>
  <c r="AJ6" i="11"/>
  <c r="AK6" i="11"/>
  <c r="AL6" i="11"/>
  <c r="O6" i="8"/>
  <c r="AM6" i="11"/>
  <c r="AN6" i="11"/>
  <c r="AO6" i="11"/>
  <c r="P6" i="8"/>
  <c r="AP6" i="11"/>
  <c r="AQ6" i="11"/>
  <c r="AR6" i="11"/>
  <c r="Q6" i="8"/>
  <c r="AS6" i="11"/>
  <c r="AT6" i="11"/>
  <c r="AU6" i="11"/>
  <c r="R6" i="8"/>
  <c r="AV6" i="11"/>
  <c r="AW6" i="11"/>
  <c r="AX6" i="11"/>
  <c r="S6" i="8"/>
  <c r="AY6" i="11"/>
  <c r="AZ6" i="11"/>
  <c r="BA6" i="11"/>
  <c r="T6" i="8"/>
  <c r="BB6" i="11"/>
  <c r="BC6" i="11"/>
  <c r="BD6" i="11"/>
  <c r="U6" i="8"/>
  <c r="BE6" i="11"/>
  <c r="BF6" i="11"/>
  <c r="BG6" i="11"/>
  <c r="V6" i="8"/>
  <c r="BH6" i="11"/>
  <c r="BI6" i="11"/>
  <c r="BJ6" i="11"/>
  <c r="W6" i="8"/>
  <c r="BK6" i="11"/>
  <c r="BL6" i="11"/>
  <c r="BM6" i="11"/>
  <c r="X6" i="8"/>
  <c r="BN6" i="11"/>
  <c r="BO6" i="11"/>
  <c r="BP6" i="11"/>
  <c r="Y6" i="8"/>
  <c r="BQ6" i="11"/>
  <c r="BR6" i="11"/>
  <c r="BS6" i="11"/>
  <c r="Z6" i="8"/>
  <c r="BT6" i="11"/>
  <c r="BU6" i="11"/>
  <c r="BV6" i="11"/>
  <c r="AA6" i="8"/>
  <c r="BW6" i="11"/>
  <c r="BX6" i="11"/>
  <c r="BY6" i="11"/>
  <c r="AB6" i="8"/>
  <c r="BZ6" i="11"/>
  <c r="CA6" i="11"/>
  <c r="CB6" i="11"/>
  <c r="AC6" i="8"/>
  <c r="CC6" i="11"/>
  <c r="CD6" i="11"/>
  <c r="CE6" i="11"/>
  <c r="AD6" i="8"/>
  <c r="CF6" i="11"/>
  <c r="CG6" i="11"/>
  <c r="CH6" i="11"/>
  <c r="AE6" i="8"/>
  <c r="CI6" i="11"/>
  <c r="CJ6" i="11"/>
  <c r="CK6" i="11"/>
  <c r="AF6" i="8"/>
  <c r="CL6" i="11"/>
  <c r="CM6" i="11"/>
  <c r="CN6" i="11"/>
  <c r="AG6" i="8"/>
  <c r="CO6" i="11"/>
  <c r="CP6" i="11"/>
  <c r="CQ6" i="11"/>
  <c r="AH6" i="8"/>
  <c r="CR6" i="11"/>
  <c r="CS6" i="11"/>
  <c r="CT6" i="11"/>
  <c r="AI6" i="8"/>
  <c r="CU6" i="11"/>
  <c r="CV6" i="11"/>
  <c r="CW6" i="11"/>
  <c r="AJ6" i="8"/>
  <c r="CX6" i="11"/>
  <c r="CY6" i="11"/>
  <c r="CZ6" i="11"/>
  <c r="AK6" i="8"/>
  <c r="DA6" i="11"/>
  <c r="DB6" i="11"/>
  <c r="DC6" i="11"/>
  <c r="DD6" i="11"/>
  <c r="DE6" i="11"/>
  <c r="B7" i="11"/>
  <c r="C7" i="8"/>
  <c r="C7" i="11"/>
  <c r="D7" i="11"/>
  <c r="E7" i="11"/>
  <c r="D7" i="8"/>
  <c r="F7" i="11"/>
  <c r="G7" i="11"/>
  <c r="H7" i="11"/>
  <c r="E7" i="8"/>
  <c r="I7" i="11"/>
  <c r="J7" i="11"/>
  <c r="K7" i="11"/>
  <c r="F7" i="8"/>
  <c r="L7" i="11"/>
  <c r="M7" i="11"/>
  <c r="N7" i="11"/>
  <c r="G7" i="8"/>
  <c r="O7" i="11"/>
  <c r="P7" i="11"/>
  <c r="Q7" i="11"/>
  <c r="H7" i="8"/>
  <c r="R7" i="11"/>
  <c r="S7" i="11"/>
  <c r="T7" i="11"/>
  <c r="I7" i="8"/>
  <c r="U7" i="11"/>
  <c r="V7" i="11"/>
  <c r="W7" i="11"/>
  <c r="J7" i="8"/>
  <c r="X7" i="11"/>
  <c r="Y7" i="11"/>
  <c r="Z7" i="11"/>
  <c r="K7" i="8"/>
  <c r="AA7" i="11"/>
  <c r="AB7" i="11"/>
  <c r="AC7" i="11"/>
  <c r="L7" i="8"/>
  <c r="AD7" i="11"/>
  <c r="AE7" i="11"/>
  <c r="AF7" i="11"/>
  <c r="M7" i="8"/>
  <c r="AG7" i="11"/>
  <c r="AH7" i="11"/>
  <c r="AI7" i="11"/>
  <c r="N7" i="8"/>
  <c r="AJ7" i="11"/>
  <c r="AK7" i="11"/>
  <c r="AL7" i="11"/>
  <c r="O7" i="8"/>
  <c r="AM7" i="11"/>
  <c r="AN7" i="11"/>
  <c r="AO7" i="11"/>
  <c r="P7" i="8"/>
  <c r="AP7" i="11"/>
  <c r="AQ7" i="11"/>
  <c r="AR7" i="11"/>
  <c r="Q7" i="8"/>
  <c r="AS7" i="11"/>
  <c r="AT7" i="11"/>
  <c r="AU7" i="11"/>
  <c r="R7" i="8"/>
  <c r="AV7" i="11"/>
  <c r="AW7" i="11"/>
  <c r="AX7" i="11"/>
  <c r="S7" i="8"/>
  <c r="AY7" i="11"/>
  <c r="AZ7" i="11"/>
  <c r="BA7" i="11"/>
  <c r="T7" i="8"/>
  <c r="BB7" i="11"/>
  <c r="BC7" i="11"/>
  <c r="BD7" i="11"/>
  <c r="U7" i="8"/>
  <c r="BE7" i="11"/>
  <c r="BF7" i="11"/>
  <c r="BG7" i="11"/>
  <c r="V7" i="8"/>
  <c r="BH7" i="11"/>
  <c r="BI7" i="11"/>
  <c r="BJ7" i="11"/>
  <c r="W7" i="8"/>
  <c r="BK7" i="11"/>
  <c r="BL7" i="11"/>
  <c r="BM7" i="11"/>
  <c r="X7" i="8"/>
  <c r="BN7" i="11"/>
  <c r="BO7" i="11"/>
  <c r="BP7" i="11"/>
  <c r="Y7" i="8"/>
  <c r="BQ7" i="11"/>
  <c r="BR7" i="11"/>
  <c r="BS7" i="11"/>
  <c r="Z7" i="8"/>
  <c r="BT7" i="11"/>
  <c r="BU7" i="11"/>
  <c r="BV7" i="11"/>
  <c r="AA7" i="8"/>
  <c r="BW7" i="11"/>
  <c r="BX7" i="11"/>
  <c r="BY7" i="11"/>
  <c r="AB7" i="8"/>
  <c r="BZ7" i="11"/>
  <c r="CA7" i="11"/>
  <c r="CB7" i="11"/>
  <c r="AC7" i="8"/>
  <c r="CC7" i="11"/>
  <c r="CD7" i="11"/>
  <c r="CE7" i="11"/>
  <c r="AD7" i="8"/>
  <c r="CF7" i="11"/>
  <c r="CG7" i="11"/>
  <c r="CH7" i="11"/>
  <c r="AE7" i="8"/>
  <c r="CI7" i="11"/>
  <c r="CJ7" i="11"/>
  <c r="CK7" i="11"/>
  <c r="AF7" i="8"/>
  <c r="CL7" i="11"/>
  <c r="CM7" i="11"/>
  <c r="CN7" i="11"/>
  <c r="AG7" i="8"/>
  <c r="CO7" i="11"/>
  <c r="CP7" i="11"/>
  <c r="CQ7" i="11"/>
  <c r="AH7" i="8"/>
  <c r="CR7" i="11"/>
  <c r="CS7" i="11"/>
  <c r="CT7" i="11"/>
  <c r="AI7" i="8"/>
  <c r="CU7" i="11"/>
  <c r="CV7" i="11"/>
  <c r="CW7" i="11"/>
  <c r="AJ7" i="8"/>
  <c r="CX7" i="11"/>
  <c r="CY7" i="11"/>
  <c r="CZ7" i="11"/>
  <c r="AK7" i="8"/>
  <c r="DA7" i="11"/>
  <c r="DB7" i="11"/>
  <c r="DC7" i="11"/>
  <c r="DD7" i="11"/>
  <c r="DE7" i="11"/>
  <c r="D8" i="11"/>
  <c r="G8" i="11"/>
  <c r="J8" i="11"/>
  <c r="M8" i="11"/>
  <c r="P8" i="11"/>
  <c r="S8" i="11"/>
  <c r="V8" i="11"/>
  <c r="Y8" i="11"/>
  <c r="AB8" i="11"/>
  <c r="AE8" i="11"/>
  <c r="AH8" i="11"/>
  <c r="AK8" i="11"/>
  <c r="AN8" i="11"/>
  <c r="AQ8" i="11"/>
  <c r="AT8" i="11"/>
  <c r="AW8" i="11"/>
  <c r="AZ8" i="11"/>
  <c r="BC8" i="11"/>
  <c r="BF8" i="11"/>
  <c r="BI8" i="11"/>
  <c r="BL8" i="11"/>
  <c r="BO8" i="11"/>
  <c r="BR8" i="11"/>
  <c r="BU8" i="11"/>
  <c r="BX8" i="11"/>
  <c r="CA8" i="11"/>
  <c r="CD8" i="11"/>
  <c r="CG8" i="11"/>
  <c r="CJ8" i="11"/>
  <c r="CM8" i="11"/>
  <c r="CP8" i="11"/>
  <c r="CS8" i="11"/>
  <c r="CV8" i="11"/>
  <c r="CY8" i="11"/>
  <c r="DB8" i="11"/>
  <c r="DE8" i="11"/>
  <c r="B9" i="11"/>
  <c r="D9" i="11"/>
  <c r="E9" i="11"/>
  <c r="G9" i="11"/>
  <c r="H9" i="11"/>
  <c r="J9" i="11"/>
  <c r="K9" i="11"/>
  <c r="M9" i="11"/>
  <c r="N9" i="11"/>
  <c r="P9" i="11"/>
  <c r="Q9" i="11"/>
  <c r="S9" i="11"/>
  <c r="T9" i="11"/>
  <c r="V9" i="11"/>
  <c r="W9" i="11"/>
  <c r="Y9" i="11"/>
  <c r="Z9" i="11"/>
  <c r="AB9" i="11"/>
  <c r="AC9" i="11"/>
  <c r="AE9" i="11"/>
  <c r="AF9" i="11"/>
  <c r="AH9" i="11"/>
  <c r="AI9" i="11"/>
  <c r="AK9" i="11"/>
  <c r="AL9" i="11"/>
  <c r="AN9" i="11"/>
  <c r="AO9" i="11"/>
  <c r="AQ9" i="11"/>
  <c r="AR9" i="11"/>
  <c r="AT9" i="11"/>
  <c r="AU9" i="11"/>
  <c r="AW9" i="11"/>
  <c r="AX9" i="11"/>
  <c r="AZ9" i="11"/>
  <c r="BA9" i="11"/>
  <c r="BC9" i="11"/>
  <c r="BD9" i="11"/>
  <c r="BF9" i="11"/>
  <c r="BG9" i="11"/>
  <c r="BI9" i="11"/>
  <c r="BJ9" i="11"/>
  <c r="BL9" i="11"/>
  <c r="BM9" i="11"/>
  <c r="BO9" i="11"/>
  <c r="BP9" i="11"/>
  <c r="BR9" i="11"/>
  <c r="BS9" i="11"/>
  <c r="BU9" i="11"/>
  <c r="BV9" i="11"/>
  <c r="BX9" i="11"/>
  <c r="BY9" i="11"/>
  <c r="CA9" i="11"/>
  <c r="CB9" i="11"/>
  <c r="CD9" i="11"/>
  <c r="CE9" i="11"/>
  <c r="CG9" i="11"/>
  <c r="CH9" i="11"/>
  <c r="CJ9" i="11"/>
  <c r="CK9" i="11"/>
  <c r="CM9" i="11"/>
  <c r="CN9" i="11"/>
  <c r="CP9" i="11"/>
  <c r="CQ9" i="11"/>
  <c r="CS9" i="11"/>
  <c r="CT9" i="11"/>
  <c r="CV9" i="11"/>
  <c r="CW9" i="11"/>
  <c r="CY9" i="11"/>
  <c r="CZ9" i="11"/>
  <c r="DB9" i="11"/>
  <c r="DC9" i="11"/>
  <c r="DE9" i="11"/>
  <c r="B10" i="11"/>
  <c r="D10" i="11"/>
  <c r="E10" i="11"/>
  <c r="G10" i="11"/>
  <c r="H10" i="11"/>
  <c r="J10" i="11"/>
  <c r="K10" i="11"/>
  <c r="M10" i="11"/>
  <c r="N10" i="11"/>
  <c r="P10" i="11"/>
  <c r="Q10" i="11"/>
  <c r="S10" i="11"/>
  <c r="T10" i="11"/>
  <c r="V10" i="11"/>
  <c r="W10" i="11"/>
  <c r="Y10" i="11"/>
  <c r="Z10" i="11"/>
  <c r="AB10" i="11"/>
  <c r="AC10" i="11"/>
  <c r="AE10" i="11"/>
  <c r="AF10" i="11"/>
  <c r="AH10" i="11"/>
  <c r="AI10" i="11"/>
  <c r="AK10" i="11"/>
  <c r="AL10" i="11"/>
  <c r="AN10" i="11"/>
  <c r="AO10" i="11"/>
  <c r="AQ10" i="11"/>
  <c r="AR10" i="11"/>
  <c r="AT10" i="11"/>
  <c r="AU10" i="11"/>
  <c r="AW10" i="11"/>
  <c r="AX10" i="11"/>
  <c r="AZ10" i="11"/>
  <c r="BA10" i="11"/>
  <c r="BC10" i="11"/>
  <c r="BD10" i="11"/>
  <c r="BF10" i="11"/>
  <c r="BG10" i="11"/>
  <c r="BI10" i="11"/>
  <c r="BJ10" i="11"/>
  <c r="BL10" i="11"/>
  <c r="BM10" i="11"/>
  <c r="BO10" i="11"/>
  <c r="BP10" i="11"/>
  <c r="BR10" i="11"/>
  <c r="BS10" i="11"/>
  <c r="BU10" i="11"/>
  <c r="BV10" i="11"/>
  <c r="BX10" i="11"/>
  <c r="BY10" i="11"/>
  <c r="CA10" i="11"/>
  <c r="CB10" i="11"/>
  <c r="CD10" i="11"/>
  <c r="CE10" i="11"/>
  <c r="CG10" i="11"/>
  <c r="CH10" i="11"/>
  <c r="CJ10" i="11"/>
  <c r="CK10" i="11"/>
  <c r="CM10" i="11"/>
  <c r="CN10" i="11"/>
  <c r="CP10" i="11"/>
  <c r="CQ10" i="11"/>
  <c r="CS10" i="11"/>
  <c r="CT10" i="11"/>
  <c r="CV10" i="11"/>
  <c r="CW10" i="11"/>
  <c r="CY10" i="11"/>
  <c r="CZ10" i="11"/>
  <c r="DB10" i="11"/>
  <c r="DC10" i="11"/>
  <c r="DE10" i="11"/>
  <c r="B11" i="11"/>
  <c r="D11" i="11"/>
  <c r="E11" i="11"/>
  <c r="G11" i="11"/>
  <c r="H11" i="11"/>
  <c r="J11" i="11"/>
  <c r="K11" i="11"/>
  <c r="M11" i="11"/>
  <c r="N11" i="11"/>
  <c r="P11" i="11"/>
  <c r="Q11" i="11"/>
  <c r="S11" i="11"/>
  <c r="T11" i="11"/>
  <c r="V11" i="11"/>
  <c r="W11" i="11"/>
  <c r="Y11" i="11"/>
  <c r="Z11" i="11"/>
  <c r="AB11" i="11"/>
  <c r="AC11" i="11"/>
  <c r="AE11" i="11"/>
  <c r="AF11" i="11"/>
  <c r="AH11" i="11"/>
  <c r="AI11" i="11"/>
  <c r="AK11" i="11"/>
  <c r="AL11" i="11"/>
  <c r="AN11" i="11"/>
  <c r="AO11" i="11"/>
  <c r="AQ11" i="11"/>
  <c r="AR11" i="11"/>
  <c r="AT11" i="11"/>
  <c r="AU11" i="11"/>
  <c r="AW11" i="11"/>
  <c r="AX11" i="11"/>
  <c r="AZ11" i="11"/>
  <c r="BA11" i="11"/>
  <c r="BC11" i="11"/>
  <c r="BD11" i="11"/>
  <c r="BF11" i="11"/>
  <c r="BG11" i="11"/>
  <c r="BI11" i="11"/>
  <c r="BJ11" i="11"/>
  <c r="BL11" i="11"/>
  <c r="BM11" i="11"/>
  <c r="BO11" i="11"/>
  <c r="BP11" i="11"/>
  <c r="BR11" i="11"/>
  <c r="BS11" i="11"/>
  <c r="BU11" i="11"/>
  <c r="BV11" i="11"/>
  <c r="BX11" i="11"/>
  <c r="BY11" i="11"/>
  <c r="CA11" i="11"/>
  <c r="CB11" i="11"/>
  <c r="CD11" i="11"/>
  <c r="CE11" i="11"/>
  <c r="CG11" i="11"/>
  <c r="CH11" i="11"/>
  <c r="CJ11" i="11"/>
  <c r="CK11" i="11"/>
  <c r="CM11" i="11"/>
  <c r="CN11" i="11"/>
  <c r="CP11" i="11"/>
  <c r="CQ11" i="11"/>
  <c r="CS11" i="11"/>
  <c r="CT11" i="11"/>
  <c r="CV11" i="11"/>
  <c r="CW11" i="11"/>
  <c r="CY11" i="11"/>
  <c r="CZ11" i="11"/>
  <c r="DB11" i="11"/>
  <c r="DC11" i="11"/>
  <c r="DE11" i="11"/>
  <c r="B12" i="11"/>
  <c r="D12" i="11"/>
  <c r="E12" i="11"/>
  <c r="G12" i="11"/>
  <c r="H12" i="11"/>
  <c r="J12" i="11"/>
  <c r="K12" i="11"/>
  <c r="M12" i="11"/>
  <c r="N12" i="11"/>
  <c r="P12" i="11"/>
  <c r="Q12" i="11"/>
  <c r="S12" i="11"/>
  <c r="T12" i="11"/>
  <c r="V12" i="11"/>
  <c r="W12" i="11"/>
  <c r="Y12" i="11"/>
  <c r="Z12" i="11"/>
  <c r="AB12" i="11"/>
  <c r="AC12" i="11"/>
  <c r="AE12" i="11"/>
  <c r="AF12" i="11"/>
  <c r="AH12" i="11"/>
  <c r="AI12" i="11"/>
  <c r="AK12" i="11"/>
  <c r="AL12" i="11"/>
  <c r="AN12" i="11"/>
  <c r="AO12" i="11"/>
  <c r="AQ12" i="11"/>
  <c r="AR12" i="11"/>
  <c r="AT12" i="11"/>
  <c r="AU12" i="11"/>
  <c r="AW12" i="11"/>
  <c r="AX12" i="11"/>
  <c r="AZ12" i="11"/>
  <c r="BA12" i="11"/>
  <c r="BC12" i="11"/>
  <c r="BD12" i="11"/>
  <c r="BF12" i="11"/>
  <c r="BG12" i="11"/>
  <c r="BI12" i="11"/>
  <c r="BJ12" i="11"/>
  <c r="BL12" i="11"/>
  <c r="BM12" i="11"/>
  <c r="BO12" i="11"/>
  <c r="BP12" i="11"/>
  <c r="BR12" i="11"/>
  <c r="BS12" i="11"/>
  <c r="BU12" i="11"/>
  <c r="BV12" i="11"/>
  <c r="BX12" i="11"/>
  <c r="BY12" i="11"/>
  <c r="CA12" i="11"/>
  <c r="CB12" i="11"/>
  <c r="CD12" i="11"/>
  <c r="CE12" i="11"/>
  <c r="CG12" i="11"/>
  <c r="CH12" i="11"/>
  <c r="CJ12" i="11"/>
  <c r="CK12" i="11"/>
  <c r="CM12" i="11"/>
  <c r="CN12" i="11"/>
  <c r="CP12" i="11"/>
  <c r="CQ12" i="11"/>
  <c r="CS12" i="11"/>
  <c r="CT12" i="11"/>
  <c r="CV12" i="11"/>
  <c r="CW12" i="11"/>
  <c r="CY12" i="11"/>
  <c r="CZ12" i="11"/>
  <c r="DB12" i="11"/>
  <c r="DC12" i="11"/>
  <c r="DE12" i="11"/>
  <c r="B13" i="11"/>
  <c r="D13" i="11"/>
  <c r="E13" i="11"/>
  <c r="G13" i="11"/>
  <c r="H13" i="11"/>
  <c r="J13" i="11"/>
  <c r="K13" i="11"/>
  <c r="M13" i="11"/>
  <c r="N13" i="11"/>
  <c r="P13" i="11"/>
  <c r="Q13" i="11"/>
  <c r="S13" i="11"/>
  <c r="T13" i="11"/>
  <c r="V13" i="11"/>
  <c r="W13" i="11"/>
  <c r="Y13" i="11"/>
  <c r="Z13" i="11"/>
  <c r="AB13" i="11"/>
  <c r="AC13" i="11"/>
  <c r="AE13" i="11"/>
  <c r="AF13" i="11"/>
  <c r="AH13" i="11"/>
  <c r="AI13" i="11"/>
  <c r="AK13" i="11"/>
  <c r="AL13" i="11"/>
  <c r="AN13" i="11"/>
  <c r="AO13" i="11"/>
  <c r="AQ13" i="11"/>
  <c r="AR13" i="11"/>
  <c r="AT13" i="11"/>
  <c r="AU13" i="11"/>
  <c r="AW13" i="11"/>
  <c r="AX13" i="11"/>
  <c r="AZ13" i="11"/>
  <c r="BA13" i="11"/>
  <c r="BC13" i="11"/>
  <c r="BD13" i="11"/>
  <c r="BF13" i="11"/>
  <c r="BG13" i="11"/>
  <c r="BI13" i="11"/>
  <c r="BJ13" i="11"/>
  <c r="BL13" i="11"/>
  <c r="BM13" i="11"/>
  <c r="BO13" i="11"/>
  <c r="BP13" i="11"/>
  <c r="BR13" i="11"/>
  <c r="BS13" i="11"/>
  <c r="BU13" i="11"/>
  <c r="BV13" i="11"/>
  <c r="BX13" i="11"/>
  <c r="BY13" i="11"/>
  <c r="CA13" i="11"/>
  <c r="CB13" i="11"/>
  <c r="CD13" i="11"/>
  <c r="CE13" i="11"/>
  <c r="CG13" i="11"/>
  <c r="CH13" i="11"/>
  <c r="CJ13" i="11"/>
  <c r="CK13" i="11"/>
  <c r="CM13" i="11"/>
  <c r="CN13" i="11"/>
  <c r="CP13" i="11"/>
  <c r="CQ13" i="11"/>
  <c r="CS13" i="11"/>
  <c r="CT13" i="11"/>
  <c r="CV13" i="11"/>
  <c r="CW13" i="11"/>
  <c r="CY13" i="11"/>
  <c r="CZ13" i="11"/>
  <c r="DB13" i="11"/>
  <c r="DC13" i="11"/>
  <c r="DE13" i="11"/>
  <c r="B14" i="11"/>
  <c r="D14" i="11"/>
  <c r="E14" i="11"/>
  <c r="G14" i="11"/>
  <c r="H14" i="11"/>
  <c r="J14" i="11"/>
  <c r="K14" i="11"/>
  <c r="M14" i="11"/>
  <c r="N14" i="11"/>
  <c r="P14" i="11"/>
  <c r="Q14" i="11"/>
  <c r="S14" i="11"/>
  <c r="T14" i="11"/>
  <c r="V14" i="11"/>
  <c r="W14" i="11"/>
  <c r="Y14" i="11"/>
  <c r="Z14" i="11"/>
  <c r="AB14" i="11"/>
  <c r="AC14" i="11"/>
  <c r="AE14" i="11"/>
  <c r="AF14" i="11"/>
  <c r="AH14" i="11"/>
  <c r="AI14" i="11"/>
  <c r="AK14" i="11"/>
  <c r="AL14" i="11"/>
  <c r="AN14" i="11"/>
  <c r="AO14" i="11"/>
  <c r="AQ14" i="11"/>
  <c r="AR14" i="11"/>
  <c r="AT14" i="11"/>
  <c r="AU14" i="11"/>
  <c r="AW14" i="11"/>
  <c r="AX14" i="11"/>
  <c r="AZ14" i="11"/>
  <c r="BA14" i="11"/>
  <c r="BC14" i="11"/>
  <c r="BD14" i="11"/>
  <c r="BF14" i="11"/>
  <c r="BG14" i="11"/>
  <c r="BI14" i="11"/>
  <c r="BJ14" i="11"/>
  <c r="BL14" i="11"/>
  <c r="BM14" i="11"/>
  <c r="BO14" i="11"/>
  <c r="BP14" i="11"/>
  <c r="BR14" i="11"/>
  <c r="BS14" i="11"/>
  <c r="BU14" i="11"/>
  <c r="BV14" i="11"/>
  <c r="BX14" i="11"/>
  <c r="BY14" i="11"/>
  <c r="CA14" i="11"/>
  <c r="CB14" i="11"/>
  <c r="CD14" i="11"/>
  <c r="CE14" i="11"/>
  <c r="CG14" i="11"/>
  <c r="CH14" i="11"/>
  <c r="CJ14" i="11"/>
  <c r="CK14" i="11"/>
  <c r="CM14" i="11"/>
  <c r="CN14" i="11"/>
  <c r="CP14" i="11"/>
  <c r="CQ14" i="11"/>
  <c r="CS14" i="11"/>
  <c r="CT14" i="11"/>
  <c r="CV14" i="11"/>
  <c r="CW14" i="11"/>
  <c r="CY14" i="11"/>
  <c r="CZ14" i="11"/>
  <c r="DB14" i="11"/>
  <c r="DC14" i="11"/>
  <c r="DE14" i="11"/>
  <c r="B15" i="11"/>
  <c r="D15" i="11"/>
  <c r="E15" i="11"/>
  <c r="G15" i="11"/>
  <c r="H15" i="11"/>
  <c r="J15" i="11"/>
  <c r="K15" i="11"/>
  <c r="M15" i="11"/>
  <c r="N15" i="11"/>
  <c r="P15" i="11"/>
  <c r="Q15" i="11"/>
  <c r="S15" i="11"/>
  <c r="T15" i="11"/>
  <c r="V15" i="11"/>
  <c r="W15" i="11"/>
  <c r="Y15" i="11"/>
  <c r="Z15" i="11"/>
  <c r="AB15" i="11"/>
  <c r="AC15" i="11"/>
  <c r="AE15" i="11"/>
  <c r="AF15" i="11"/>
  <c r="AH15" i="11"/>
  <c r="AI15" i="11"/>
  <c r="AK15" i="11"/>
  <c r="AL15" i="11"/>
  <c r="AN15" i="11"/>
  <c r="AO15" i="11"/>
  <c r="AQ15" i="11"/>
  <c r="AR15" i="11"/>
  <c r="AT15" i="11"/>
  <c r="AU15" i="11"/>
  <c r="AW15" i="11"/>
  <c r="AX15" i="11"/>
  <c r="AZ15" i="11"/>
  <c r="BA15" i="11"/>
  <c r="BC15" i="11"/>
  <c r="BD15" i="11"/>
  <c r="BF15" i="11"/>
  <c r="BG15" i="11"/>
  <c r="BI15" i="11"/>
  <c r="BJ15" i="11"/>
  <c r="BL15" i="11"/>
  <c r="BM15" i="11"/>
  <c r="BO15" i="11"/>
  <c r="BP15" i="11"/>
  <c r="BR15" i="11"/>
  <c r="BS15" i="11"/>
  <c r="BU15" i="11"/>
  <c r="BV15" i="11"/>
  <c r="BX15" i="11"/>
  <c r="BY15" i="11"/>
  <c r="CA15" i="11"/>
  <c r="CB15" i="11"/>
  <c r="CD15" i="11"/>
  <c r="CE15" i="11"/>
  <c r="CG15" i="11"/>
  <c r="CH15" i="11"/>
  <c r="CJ15" i="11"/>
  <c r="CK15" i="11"/>
  <c r="CM15" i="11"/>
  <c r="CN15" i="11"/>
  <c r="CP15" i="11"/>
  <c r="CQ15" i="11"/>
  <c r="CS15" i="11"/>
  <c r="CT15" i="11"/>
  <c r="CV15" i="11"/>
  <c r="CW15" i="11"/>
  <c r="CY15" i="11"/>
  <c r="CZ15" i="11"/>
  <c r="DB15" i="11"/>
  <c r="DC15" i="11"/>
  <c r="DE15" i="11"/>
  <c r="B16" i="11"/>
  <c r="C8" i="8"/>
  <c r="C16" i="11"/>
  <c r="D16" i="11"/>
  <c r="E16" i="11"/>
  <c r="D8" i="8"/>
  <c r="F16" i="11"/>
  <c r="H16" i="11"/>
  <c r="E8" i="8"/>
  <c r="I16" i="11"/>
  <c r="J16" i="11"/>
  <c r="K16" i="11"/>
  <c r="F8" i="8"/>
  <c r="L16" i="11"/>
  <c r="M16" i="11"/>
  <c r="N16" i="11"/>
  <c r="G8" i="8"/>
  <c r="O16" i="11"/>
  <c r="P16" i="11"/>
  <c r="Q16" i="11"/>
  <c r="H8" i="8"/>
  <c r="R16" i="11"/>
  <c r="T16" i="11"/>
  <c r="I8" i="8"/>
  <c r="U16" i="11"/>
  <c r="V16" i="11"/>
  <c r="W16" i="11"/>
  <c r="J8" i="8"/>
  <c r="X16" i="11"/>
  <c r="Y16" i="11"/>
  <c r="Z16" i="11"/>
  <c r="K8" i="8"/>
  <c r="AA16" i="11"/>
  <c r="AB16" i="11"/>
  <c r="AC16" i="11"/>
  <c r="L8" i="8"/>
  <c r="AD16" i="11"/>
  <c r="AE16" i="11"/>
  <c r="AF16" i="11"/>
  <c r="M8" i="8"/>
  <c r="AG16" i="11"/>
  <c r="AH16" i="11"/>
  <c r="AI16" i="11"/>
  <c r="N8" i="8"/>
  <c r="AJ16" i="11"/>
  <c r="AK16" i="11"/>
  <c r="AL16" i="11"/>
  <c r="O8" i="8"/>
  <c r="AM16" i="11"/>
  <c r="AN16" i="11"/>
  <c r="AO16" i="11"/>
  <c r="P8" i="8"/>
  <c r="AP16" i="11"/>
  <c r="AQ16" i="11"/>
  <c r="AR16" i="11"/>
  <c r="Q8" i="8"/>
  <c r="AS16" i="11"/>
  <c r="AT16" i="11"/>
  <c r="AU16" i="11"/>
  <c r="R8" i="8"/>
  <c r="AV16" i="11"/>
  <c r="AW16" i="11"/>
  <c r="AX16" i="11"/>
  <c r="S8" i="8"/>
  <c r="AY16" i="11"/>
  <c r="AZ16" i="11"/>
  <c r="BA16" i="11"/>
  <c r="T8" i="8"/>
  <c r="BB16" i="11"/>
  <c r="BD16" i="11"/>
  <c r="U8" i="8"/>
  <c r="BE16" i="11"/>
  <c r="BF16" i="11"/>
  <c r="BG16" i="11"/>
  <c r="V8" i="8"/>
  <c r="BH16" i="11"/>
  <c r="BI16" i="11"/>
  <c r="BJ16" i="11"/>
  <c r="W8" i="8"/>
  <c r="BK16" i="11"/>
  <c r="BL16" i="11"/>
  <c r="BM16" i="11"/>
  <c r="X8" i="8"/>
  <c r="BN16" i="11"/>
  <c r="BP16" i="11"/>
  <c r="Y8" i="8"/>
  <c r="BQ16" i="11"/>
  <c r="BR16" i="11"/>
  <c r="BS16" i="11"/>
  <c r="Z8" i="8"/>
  <c r="BT16" i="11"/>
  <c r="BU16" i="11"/>
  <c r="BV16" i="11"/>
  <c r="AA8" i="8"/>
  <c r="BW16" i="11"/>
  <c r="BX16" i="11"/>
  <c r="BY16" i="11"/>
  <c r="AB8" i="8"/>
  <c r="BZ16" i="11"/>
  <c r="CA16" i="11"/>
  <c r="CB16" i="11"/>
  <c r="AC8" i="8"/>
  <c r="CC16" i="11"/>
  <c r="CE16" i="11"/>
  <c r="AD8" i="8"/>
  <c r="CF16" i="11"/>
  <c r="CG16" i="11"/>
  <c r="CH16" i="11"/>
  <c r="AE8" i="8"/>
  <c r="CI16" i="11"/>
  <c r="CJ16" i="11"/>
  <c r="CK16" i="11"/>
  <c r="AF8" i="8"/>
  <c r="CL16" i="11"/>
  <c r="CM16" i="11"/>
  <c r="CN16" i="11"/>
  <c r="AG8" i="8"/>
  <c r="CO16" i="11"/>
  <c r="CP16" i="11"/>
  <c r="CQ16" i="11"/>
  <c r="AH8" i="8"/>
  <c r="CR16" i="11"/>
  <c r="CS16" i="11"/>
  <c r="CT16" i="11"/>
  <c r="AI8" i="8"/>
  <c r="CU16" i="11"/>
  <c r="CV16" i="11"/>
  <c r="CW16" i="11"/>
  <c r="AJ8" i="8"/>
  <c r="CX16" i="11"/>
  <c r="CZ16" i="11"/>
  <c r="AK8" i="8"/>
  <c r="DA16" i="11"/>
  <c r="DB16" i="11"/>
  <c r="DC16" i="11"/>
  <c r="DD16" i="11"/>
  <c r="DE16" i="11"/>
  <c r="B19" i="11"/>
  <c r="B17" i="11"/>
  <c r="H19" i="11"/>
  <c r="H17" i="11"/>
  <c r="E10" i="8"/>
  <c r="I18" i="11"/>
  <c r="E11" i="8"/>
  <c r="I19" i="11"/>
  <c r="I17" i="11"/>
  <c r="N19" i="11"/>
  <c r="N17" i="11"/>
  <c r="H10" i="8"/>
  <c r="R18" i="11"/>
  <c r="H11" i="8"/>
  <c r="R19" i="11"/>
  <c r="R17" i="11"/>
  <c r="Z19" i="11"/>
  <c r="Z17" i="11"/>
  <c r="AC19" i="11"/>
  <c r="AC17" i="11"/>
  <c r="L10" i="8"/>
  <c r="AD18" i="11"/>
  <c r="L11" i="8"/>
  <c r="AD19" i="11"/>
  <c r="AD17" i="11"/>
  <c r="N10" i="8"/>
  <c r="AJ18" i="11"/>
  <c r="N11" i="8"/>
  <c r="AJ19" i="11"/>
  <c r="AJ17" i="11"/>
  <c r="AO19" i="11"/>
  <c r="AO17" i="11"/>
  <c r="Q10" i="8"/>
  <c r="AS18" i="11"/>
  <c r="Q11" i="8"/>
  <c r="AS19" i="11"/>
  <c r="AS17" i="11"/>
  <c r="AX19" i="11"/>
  <c r="AX17" i="11"/>
  <c r="BD19" i="11"/>
  <c r="BD17" i="11"/>
  <c r="BP19" i="11"/>
  <c r="BP17" i="11"/>
  <c r="Z10" i="8"/>
  <c r="BT18" i="11"/>
  <c r="Z11" i="8"/>
  <c r="BT19" i="11"/>
  <c r="BT17" i="11"/>
  <c r="CB19" i="11"/>
  <c r="CB17" i="11"/>
  <c r="CN19" i="11"/>
  <c r="CN17" i="11"/>
  <c r="AH10" i="8"/>
  <c r="CR18" i="11"/>
  <c r="AH11" i="8"/>
  <c r="CR19" i="11"/>
  <c r="CR17" i="11"/>
  <c r="CZ19" i="11"/>
  <c r="CZ17" i="11"/>
  <c r="C10" i="8"/>
  <c r="C18" i="11"/>
  <c r="D18" i="11"/>
  <c r="C11" i="8"/>
  <c r="C19" i="11"/>
  <c r="D19" i="11"/>
  <c r="D17" i="11"/>
  <c r="D10" i="8"/>
  <c r="F18" i="11"/>
  <c r="J18" i="11"/>
  <c r="F10" i="8"/>
  <c r="L18" i="11"/>
  <c r="G10" i="8"/>
  <c r="O18" i="11"/>
  <c r="P18" i="11"/>
  <c r="S18" i="11"/>
  <c r="I10" i="8"/>
  <c r="U18" i="11"/>
  <c r="V18" i="11"/>
  <c r="J10" i="8"/>
  <c r="X18" i="11"/>
  <c r="Y18" i="11"/>
  <c r="K10" i="8"/>
  <c r="AA18" i="11"/>
  <c r="AB18" i="11"/>
  <c r="AE18" i="11"/>
  <c r="M10" i="8"/>
  <c r="AG18" i="11"/>
  <c r="M11" i="8"/>
  <c r="AG19" i="11"/>
  <c r="AG17" i="11"/>
  <c r="AH18" i="11"/>
  <c r="AK18" i="11"/>
  <c r="O10" i="8"/>
  <c r="AM18" i="11"/>
  <c r="AN18" i="11"/>
  <c r="P10" i="8"/>
  <c r="AP18" i="11"/>
  <c r="AT18" i="11"/>
  <c r="R10" i="8"/>
  <c r="AV18" i="11"/>
  <c r="S10" i="8"/>
  <c r="AY18" i="11"/>
  <c r="AZ18" i="11"/>
  <c r="S11" i="8"/>
  <c r="AY19" i="11"/>
  <c r="AZ19" i="11"/>
  <c r="AZ17" i="11"/>
  <c r="T10" i="8"/>
  <c r="BB18" i="11"/>
  <c r="U10" i="8"/>
  <c r="BE18" i="11"/>
  <c r="BF18" i="11"/>
  <c r="V10" i="8"/>
  <c r="BH18" i="11"/>
  <c r="W10" i="8"/>
  <c r="BK18" i="11"/>
  <c r="BL18" i="11"/>
  <c r="X10" i="8"/>
  <c r="BN18" i="11"/>
  <c r="Y10" i="8"/>
  <c r="BQ18" i="11"/>
  <c r="BR18" i="11"/>
  <c r="BU18" i="11"/>
  <c r="AA10" i="8"/>
  <c r="BW18" i="11"/>
  <c r="BX18" i="11"/>
  <c r="AB10" i="8"/>
  <c r="BZ18" i="11"/>
  <c r="AC10" i="8"/>
  <c r="CC18" i="11"/>
  <c r="CD18" i="11"/>
  <c r="AD10" i="8"/>
  <c r="CF18" i="11"/>
  <c r="AE10" i="8"/>
  <c r="CI18" i="11"/>
  <c r="CJ18" i="11"/>
  <c r="AF10" i="8"/>
  <c r="CL18" i="11"/>
  <c r="AG10" i="8"/>
  <c r="CO18" i="11"/>
  <c r="CP18" i="11"/>
  <c r="CS18" i="11"/>
  <c r="AI10" i="8"/>
  <c r="CU18" i="11"/>
  <c r="CV18" i="11"/>
  <c r="AJ10" i="8"/>
  <c r="CX18" i="11"/>
  <c r="AK10" i="8"/>
  <c r="DA18" i="11"/>
  <c r="DB18" i="11"/>
  <c r="DD18" i="11"/>
  <c r="E19" i="11"/>
  <c r="E17" i="11"/>
  <c r="D11" i="8"/>
  <c r="F19" i="11"/>
  <c r="G19" i="11"/>
  <c r="J19" i="11"/>
  <c r="K19" i="11"/>
  <c r="F11" i="8"/>
  <c r="L19" i="11"/>
  <c r="G11" i="8"/>
  <c r="O19" i="11"/>
  <c r="P19" i="11"/>
  <c r="Q19" i="11"/>
  <c r="Q17" i="11"/>
  <c r="S19" i="11"/>
  <c r="T19" i="11"/>
  <c r="I11" i="8"/>
  <c r="U19" i="11"/>
  <c r="V19" i="11"/>
  <c r="U17" i="11"/>
  <c r="W19" i="11"/>
  <c r="J11" i="8"/>
  <c r="X19" i="11"/>
  <c r="K11" i="8"/>
  <c r="AA19" i="11"/>
  <c r="AB19" i="11"/>
  <c r="AE19" i="11"/>
  <c r="AF19" i="11"/>
  <c r="AI19" i="11"/>
  <c r="AL19" i="11"/>
  <c r="AL17" i="11"/>
  <c r="O11" i="8"/>
  <c r="AM19" i="11"/>
  <c r="AN19" i="11"/>
  <c r="P11" i="8"/>
  <c r="AP19" i="11"/>
  <c r="AQ19" i="11"/>
  <c r="AR19" i="11"/>
  <c r="AU19" i="11"/>
  <c r="R11" i="8"/>
  <c r="AV19" i="11"/>
  <c r="BA19" i="11"/>
  <c r="BA17" i="11"/>
  <c r="T11" i="8"/>
  <c r="BB19" i="11"/>
  <c r="BC19" i="11"/>
  <c r="U11" i="8"/>
  <c r="BE19" i="11"/>
  <c r="BF19" i="11"/>
  <c r="BE17" i="11"/>
  <c r="BG19" i="11"/>
  <c r="V11" i="8"/>
  <c r="BH19" i="11"/>
  <c r="BJ19" i="11"/>
  <c r="BJ17" i="11"/>
  <c r="W11" i="8"/>
  <c r="BK19" i="11"/>
  <c r="BM19" i="11"/>
  <c r="BM17" i="11"/>
  <c r="X11" i="8"/>
  <c r="BN19" i="11"/>
  <c r="BO19" i="11"/>
  <c r="Y11" i="8"/>
  <c r="BQ19" i="11"/>
  <c r="BR19" i="11"/>
  <c r="BQ17" i="11"/>
  <c r="BS19" i="11"/>
  <c r="BV19" i="11"/>
  <c r="BV17" i="11"/>
  <c r="AA11" i="8"/>
  <c r="BW19" i="11"/>
  <c r="BW17" i="11"/>
  <c r="BY19" i="11"/>
  <c r="BY17" i="11"/>
  <c r="AB11" i="8"/>
  <c r="BZ19" i="11"/>
  <c r="CA19" i="11"/>
  <c r="AC11" i="8"/>
  <c r="CC19" i="11"/>
  <c r="CD19" i="11"/>
  <c r="CC17" i="11"/>
  <c r="CE19" i="11"/>
  <c r="AD11" i="8"/>
  <c r="CF19" i="11"/>
  <c r="CH19" i="11"/>
  <c r="CH17" i="11"/>
  <c r="AE11" i="8"/>
  <c r="CI19" i="11"/>
  <c r="CK19" i="11"/>
  <c r="CK17" i="11"/>
  <c r="AF11" i="8"/>
  <c r="CL19" i="11"/>
  <c r="CM19" i="11"/>
  <c r="AG11" i="8"/>
  <c r="CO19" i="11"/>
  <c r="CP19" i="11"/>
  <c r="CO17" i="11"/>
  <c r="CQ19" i="11"/>
  <c r="CT19" i="11"/>
  <c r="CT17" i="11"/>
  <c r="AI11" i="8"/>
  <c r="CU19" i="11"/>
  <c r="CU17" i="11"/>
  <c r="CW19" i="11"/>
  <c r="CW17" i="11"/>
  <c r="AJ11" i="8"/>
  <c r="CX19" i="11"/>
  <c r="CY19" i="11"/>
  <c r="AK11" i="8"/>
  <c r="DA19" i="11"/>
  <c r="DB19" i="11"/>
  <c r="DA17" i="11"/>
  <c r="DC19" i="11"/>
  <c r="DD19" i="11"/>
  <c r="C16" i="8"/>
  <c r="C20" i="11"/>
  <c r="D20" i="11"/>
  <c r="D16" i="8"/>
  <c r="F20" i="11"/>
  <c r="G20" i="11"/>
  <c r="E16" i="8"/>
  <c r="I20" i="11"/>
  <c r="J20" i="11"/>
  <c r="F16" i="8"/>
  <c r="L20" i="11"/>
  <c r="M20" i="11"/>
  <c r="G16" i="8"/>
  <c r="O20" i="11"/>
  <c r="P20" i="11"/>
  <c r="H16" i="8"/>
  <c r="R20" i="11"/>
  <c r="S20" i="11"/>
  <c r="I16" i="8"/>
  <c r="U20" i="11"/>
  <c r="V20" i="11"/>
  <c r="J16" i="8"/>
  <c r="X20" i="11"/>
  <c r="Y20" i="11"/>
  <c r="K16" i="8"/>
  <c r="AA20" i="11"/>
  <c r="AB20" i="11"/>
  <c r="L16" i="8"/>
  <c r="AD20" i="11"/>
  <c r="AE20" i="11"/>
  <c r="M16" i="8"/>
  <c r="AG20" i="11"/>
  <c r="AH20" i="11"/>
  <c r="N16" i="8"/>
  <c r="AJ20" i="11"/>
  <c r="AK20" i="11"/>
  <c r="O16" i="8"/>
  <c r="AM20" i="11"/>
  <c r="AN20" i="11"/>
  <c r="P16" i="8"/>
  <c r="AP20" i="11"/>
  <c r="AQ20" i="11"/>
  <c r="Q16" i="8"/>
  <c r="AS20" i="11"/>
  <c r="AT20" i="11"/>
  <c r="R16" i="8"/>
  <c r="AV20" i="11"/>
  <c r="AW20" i="11"/>
  <c r="S16" i="8"/>
  <c r="AY20" i="11"/>
  <c r="AZ20" i="11"/>
  <c r="T16" i="8"/>
  <c r="BB20" i="11"/>
  <c r="BC20" i="11"/>
  <c r="U16" i="8"/>
  <c r="BE20" i="11"/>
  <c r="BF20" i="11"/>
  <c r="V16" i="8"/>
  <c r="BH20" i="11"/>
  <c r="BI20" i="11"/>
  <c r="W16" i="8"/>
  <c r="BK20" i="11"/>
  <c r="BL20" i="11"/>
  <c r="X16" i="8"/>
  <c r="BN20" i="11"/>
  <c r="BO20" i="11"/>
  <c r="Y16" i="8"/>
  <c r="BQ20" i="11"/>
  <c r="BR20" i="11"/>
  <c r="Z16" i="8"/>
  <c r="BT20" i="11"/>
  <c r="BU20" i="11"/>
  <c r="AA16" i="8"/>
  <c r="BW20" i="11"/>
  <c r="BX20" i="11"/>
  <c r="AB16" i="8"/>
  <c r="BZ20" i="11"/>
  <c r="CA20" i="11"/>
  <c r="AC16" i="8"/>
  <c r="CC20" i="11"/>
  <c r="CD20" i="11"/>
  <c r="AD16" i="8"/>
  <c r="CF20" i="11"/>
  <c r="CG20" i="11"/>
  <c r="AE16" i="8"/>
  <c r="CI20" i="11"/>
  <c r="CJ20" i="11"/>
  <c r="AF16" i="8"/>
  <c r="CL20" i="11"/>
  <c r="CM20" i="11"/>
  <c r="AG16" i="8"/>
  <c r="CO20" i="11"/>
  <c r="CP20" i="11"/>
  <c r="AH16" i="8"/>
  <c r="CR20" i="11"/>
  <c r="CS20" i="11"/>
  <c r="AI16" i="8"/>
  <c r="CU20" i="11"/>
  <c r="CV20" i="11"/>
  <c r="AJ16" i="8"/>
  <c r="CX20" i="11"/>
  <c r="CY20" i="11"/>
  <c r="AK16" i="8"/>
  <c r="DA20" i="11"/>
  <c r="DB20" i="11"/>
  <c r="DD20" i="11"/>
  <c r="DE20" i="11"/>
  <c r="B21" i="11"/>
  <c r="C17" i="8"/>
  <c r="C21" i="11"/>
  <c r="D21" i="11"/>
  <c r="E21" i="11"/>
  <c r="D17" i="8"/>
  <c r="F21" i="11"/>
  <c r="G21" i="11"/>
  <c r="H21" i="11"/>
  <c r="E17" i="8"/>
  <c r="I21" i="11"/>
  <c r="J21" i="11"/>
  <c r="K21" i="11"/>
  <c r="F17" i="8"/>
  <c r="L21" i="11"/>
  <c r="N21" i="11"/>
  <c r="G17" i="8"/>
  <c r="O21" i="11"/>
  <c r="P21" i="11"/>
  <c r="Q21" i="11"/>
  <c r="H17" i="8"/>
  <c r="R21" i="11"/>
  <c r="S21" i="11"/>
  <c r="T21" i="11"/>
  <c r="I17" i="8"/>
  <c r="U21" i="11"/>
  <c r="V21" i="11"/>
  <c r="W21" i="11"/>
  <c r="J17" i="8"/>
  <c r="X21" i="11"/>
  <c r="Z21" i="11"/>
  <c r="K17" i="8"/>
  <c r="AA21" i="11"/>
  <c r="AB21" i="11"/>
  <c r="AC21" i="11"/>
  <c r="L17" i="8"/>
  <c r="AD21" i="11"/>
  <c r="AE21" i="11"/>
  <c r="AF21" i="11"/>
  <c r="M17" i="8"/>
  <c r="AG21" i="11"/>
  <c r="AH21" i="11"/>
  <c r="AI21" i="11"/>
  <c r="N17" i="8"/>
  <c r="AJ21" i="11"/>
  <c r="AL21" i="11"/>
  <c r="O17" i="8"/>
  <c r="AM21" i="11"/>
  <c r="AN21" i="11"/>
  <c r="AO21" i="11"/>
  <c r="P17" i="8"/>
  <c r="AP21" i="11"/>
  <c r="AQ21" i="11"/>
  <c r="AR21" i="11"/>
  <c r="Q17" i="8"/>
  <c r="AS21" i="11"/>
  <c r="AT21" i="11"/>
  <c r="AU21" i="11"/>
  <c r="R17" i="8"/>
  <c r="AV21" i="11"/>
  <c r="AX21" i="11"/>
  <c r="S17" i="8"/>
  <c r="AY21" i="11"/>
  <c r="AZ21" i="11"/>
  <c r="BA21" i="11"/>
  <c r="T17" i="8"/>
  <c r="BB21" i="11"/>
  <c r="BC21" i="11"/>
  <c r="BD21" i="11"/>
  <c r="U17" i="8"/>
  <c r="BE21" i="11"/>
  <c r="BF21" i="11"/>
  <c r="BG21" i="11"/>
  <c r="V17" i="8"/>
  <c r="BH21" i="11"/>
  <c r="BJ21" i="11"/>
  <c r="W17" i="8"/>
  <c r="BK21" i="11"/>
  <c r="BL21" i="11"/>
  <c r="BM21" i="11"/>
  <c r="X17" i="8"/>
  <c r="BN21" i="11"/>
  <c r="BO21" i="11"/>
  <c r="BP21" i="11"/>
  <c r="Y17" i="8"/>
  <c r="BQ21" i="11"/>
  <c r="BR21" i="11"/>
  <c r="BS21" i="11"/>
  <c r="Z17" i="8"/>
  <c r="BT21" i="11"/>
  <c r="BV21" i="11"/>
  <c r="AA17" i="8"/>
  <c r="BW21" i="11"/>
  <c r="BX21" i="11"/>
  <c r="BY21" i="11"/>
  <c r="AB17" i="8"/>
  <c r="BZ21" i="11"/>
  <c r="CA21" i="11"/>
  <c r="CB21" i="11"/>
  <c r="AC17" i="8"/>
  <c r="CC21" i="11"/>
  <c r="CD21" i="11"/>
  <c r="CE21" i="11"/>
  <c r="AD17" i="8"/>
  <c r="CF21" i="11"/>
  <c r="CH21" i="11"/>
  <c r="AE17" i="8"/>
  <c r="CI21" i="11"/>
  <c r="CJ21" i="11"/>
  <c r="CK21" i="11"/>
  <c r="AF17" i="8"/>
  <c r="CL21" i="11"/>
  <c r="CM21" i="11"/>
  <c r="CN21" i="11"/>
  <c r="AG17" i="8"/>
  <c r="CO21" i="11"/>
  <c r="CP21" i="11"/>
  <c r="CQ21" i="11"/>
  <c r="AH17" i="8"/>
  <c r="CR21" i="11"/>
  <c r="CT21" i="11"/>
  <c r="AI17" i="8"/>
  <c r="CU21" i="11"/>
  <c r="CV21" i="11"/>
  <c r="CW21" i="11"/>
  <c r="AJ17" i="8"/>
  <c r="CX21" i="11"/>
  <c r="CY21" i="11"/>
  <c r="CZ21" i="11"/>
  <c r="AK17" i="8"/>
  <c r="DA21" i="11"/>
  <c r="DB21" i="11"/>
  <c r="DC21" i="11"/>
  <c r="DD21" i="11"/>
  <c r="C18" i="8"/>
  <c r="C22" i="11"/>
  <c r="D22" i="11"/>
  <c r="D18" i="8"/>
  <c r="F22" i="11"/>
  <c r="G22" i="11"/>
  <c r="E18" i="8"/>
  <c r="I22" i="11"/>
  <c r="J22" i="11"/>
  <c r="F18" i="8"/>
  <c r="L22" i="11"/>
  <c r="M22" i="11"/>
  <c r="G18" i="8"/>
  <c r="O22" i="11"/>
  <c r="P22" i="11"/>
  <c r="H18" i="8"/>
  <c r="R22" i="11"/>
  <c r="S22" i="11"/>
  <c r="I18" i="8"/>
  <c r="U22" i="11"/>
  <c r="V22" i="11"/>
  <c r="J18" i="8"/>
  <c r="X22" i="11"/>
  <c r="Y22" i="11"/>
  <c r="K18" i="8"/>
  <c r="AA22" i="11"/>
  <c r="AB22" i="11"/>
  <c r="L18" i="8"/>
  <c r="AD22" i="11"/>
  <c r="AE22" i="11"/>
  <c r="M18" i="8"/>
  <c r="AG22" i="11"/>
  <c r="AH22" i="11"/>
  <c r="N18" i="8"/>
  <c r="AJ22" i="11"/>
  <c r="AK22" i="11"/>
  <c r="O18" i="8"/>
  <c r="AM22" i="11"/>
  <c r="AN22" i="11"/>
  <c r="P18" i="8"/>
  <c r="AP22" i="11"/>
  <c r="AQ22" i="11"/>
  <c r="Q18" i="8"/>
  <c r="AS22" i="11"/>
  <c r="AT22" i="11"/>
  <c r="R18" i="8"/>
  <c r="AV22" i="11"/>
  <c r="AW22" i="11"/>
  <c r="S18" i="8"/>
  <c r="AY22" i="11"/>
  <c r="AZ22" i="11"/>
  <c r="T18" i="8"/>
  <c r="BB22" i="11"/>
  <c r="BC22" i="11"/>
  <c r="U18" i="8"/>
  <c r="BE22" i="11"/>
  <c r="BF22" i="11"/>
  <c r="V18" i="8"/>
  <c r="BH22" i="11"/>
  <c r="BI22" i="11"/>
  <c r="W18" i="8"/>
  <c r="BK22" i="11"/>
  <c r="BL22" i="11"/>
  <c r="X18" i="8"/>
  <c r="BN22" i="11"/>
  <c r="BO22" i="11"/>
  <c r="Y18" i="8"/>
  <c r="BQ22" i="11"/>
  <c r="BR22" i="11"/>
  <c r="Z18" i="8"/>
  <c r="BT22" i="11"/>
  <c r="BU22" i="11"/>
  <c r="AA18" i="8"/>
  <c r="BW22" i="11"/>
  <c r="BX22" i="11"/>
  <c r="AB18" i="8"/>
  <c r="BZ22" i="11"/>
  <c r="CA22" i="11"/>
  <c r="AC18" i="8"/>
  <c r="CC22" i="11"/>
  <c r="CD22" i="11"/>
  <c r="AD18" i="8"/>
  <c r="CF22" i="11"/>
  <c r="CG22" i="11"/>
  <c r="AE18" i="8"/>
  <c r="CI22" i="11"/>
  <c r="CJ22" i="11"/>
  <c r="AF18" i="8"/>
  <c r="CL22" i="11"/>
  <c r="CM22" i="11"/>
  <c r="AG18" i="8"/>
  <c r="CO22" i="11"/>
  <c r="CP22" i="11"/>
  <c r="AH18" i="8"/>
  <c r="CR22" i="11"/>
  <c r="CS22" i="11"/>
  <c r="AI18" i="8"/>
  <c r="CU22" i="11"/>
  <c r="CV22" i="11"/>
  <c r="AJ18" i="8"/>
  <c r="CX22" i="11"/>
  <c r="CY22" i="11"/>
  <c r="AK18" i="8"/>
  <c r="DA22" i="11"/>
  <c r="DB22" i="11"/>
  <c r="DD22" i="11"/>
  <c r="DE22" i="11"/>
  <c r="B23" i="11"/>
  <c r="D23" i="11"/>
  <c r="E23" i="11"/>
  <c r="G23" i="11"/>
  <c r="H23" i="11"/>
  <c r="J23" i="11"/>
  <c r="K23" i="11"/>
  <c r="M23" i="11"/>
  <c r="N23" i="11"/>
  <c r="P23" i="11"/>
  <c r="Q23" i="11"/>
  <c r="S23" i="11"/>
  <c r="T23" i="11"/>
  <c r="V23" i="11"/>
  <c r="W23" i="11"/>
  <c r="Y23" i="11"/>
  <c r="Z23" i="11"/>
  <c r="AB23" i="11"/>
  <c r="AC23" i="11"/>
  <c r="AE23" i="11"/>
  <c r="AF23" i="11"/>
  <c r="AH23" i="11"/>
  <c r="AI23" i="11"/>
  <c r="AK23" i="11"/>
  <c r="AL23" i="11"/>
  <c r="AN23" i="11"/>
  <c r="AO23" i="11"/>
  <c r="AQ23" i="11"/>
  <c r="AR23" i="11"/>
  <c r="AT23" i="11"/>
  <c r="AU23" i="11"/>
  <c r="AW23" i="11"/>
  <c r="AX23" i="11"/>
  <c r="AZ23" i="11"/>
  <c r="BA23" i="11"/>
  <c r="BC23" i="11"/>
  <c r="BD23" i="11"/>
  <c r="BF23" i="11"/>
  <c r="BG23" i="11"/>
  <c r="BI23" i="11"/>
  <c r="BJ23" i="11"/>
  <c r="BL23" i="11"/>
  <c r="BM23" i="11"/>
  <c r="BO23" i="11"/>
  <c r="BP23" i="11"/>
  <c r="BR23" i="11"/>
  <c r="BS23" i="11"/>
  <c r="BU23" i="11"/>
  <c r="BV23" i="11"/>
  <c r="BX23" i="11"/>
  <c r="BY23" i="11"/>
  <c r="CA23" i="11"/>
  <c r="CB23" i="11"/>
  <c r="CD23" i="11"/>
  <c r="CE23" i="11"/>
  <c r="CG23" i="11"/>
  <c r="CH23" i="11"/>
  <c r="CJ23" i="11"/>
  <c r="CK23" i="11"/>
  <c r="CM23" i="11"/>
  <c r="CN23" i="11"/>
  <c r="CP23" i="11"/>
  <c r="CQ23" i="11"/>
  <c r="CS23" i="11"/>
  <c r="CT23" i="11"/>
  <c r="CV23" i="11"/>
  <c r="CW23" i="11"/>
  <c r="CY23" i="11"/>
  <c r="CZ23" i="11"/>
  <c r="DB23" i="11"/>
  <c r="DC23" i="11"/>
  <c r="DE23" i="11"/>
  <c r="C19" i="8"/>
  <c r="C24" i="11"/>
  <c r="D24" i="11"/>
  <c r="D19" i="8"/>
  <c r="F24" i="11"/>
  <c r="G24" i="11"/>
  <c r="E19" i="8"/>
  <c r="I24" i="11"/>
  <c r="J24" i="11"/>
  <c r="F19" i="8"/>
  <c r="L24" i="11"/>
  <c r="M24" i="11"/>
  <c r="G19" i="8"/>
  <c r="O24" i="11"/>
  <c r="P24" i="11"/>
  <c r="H19" i="8"/>
  <c r="R24" i="11"/>
  <c r="S24" i="11"/>
  <c r="I19" i="8"/>
  <c r="U24" i="11"/>
  <c r="V24" i="11"/>
  <c r="J19" i="8"/>
  <c r="X24" i="11"/>
  <c r="Y24" i="11"/>
  <c r="K19" i="8"/>
  <c r="AA24" i="11"/>
  <c r="AB24" i="11"/>
  <c r="L19" i="8"/>
  <c r="AD24" i="11"/>
  <c r="AE24" i="11"/>
  <c r="M19" i="8"/>
  <c r="AG24" i="11"/>
  <c r="AH24" i="11"/>
  <c r="N19" i="8"/>
  <c r="AJ24" i="11"/>
  <c r="AK24" i="11"/>
  <c r="O19" i="8"/>
  <c r="AM24" i="11"/>
  <c r="AN24" i="11"/>
  <c r="P19" i="8"/>
  <c r="AP24" i="11"/>
  <c r="AQ24" i="11"/>
  <c r="Q19" i="8"/>
  <c r="AS24" i="11"/>
  <c r="AT24" i="11"/>
  <c r="R19" i="8"/>
  <c r="AV24" i="11"/>
  <c r="AW24" i="11"/>
  <c r="S19" i="8"/>
  <c r="AY24" i="11"/>
  <c r="AZ24" i="11"/>
  <c r="T19" i="8"/>
  <c r="BB24" i="11"/>
  <c r="BC24" i="11"/>
  <c r="U19" i="8"/>
  <c r="BE24" i="11"/>
  <c r="BF24" i="11"/>
  <c r="V19" i="8"/>
  <c r="BH24" i="11"/>
  <c r="BI24" i="11"/>
  <c r="W19" i="8"/>
  <c r="BK24" i="11"/>
  <c r="BL24" i="11"/>
  <c r="X19" i="8"/>
  <c r="BN24" i="11"/>
  <c r="BO24" i="11"/>
  <c r="Y19" i="8"/>
  <c r="BQ24" i="11"/>
  <c r="BR24" i="11"/>
  <c r="Z19" i="8"/>
  <c r="BT24" i="11"/>
  <c r="BU24" i="11"/>
  <c r="AA19" i="8"/>
  <c r="BW24" i="11"/>
  <c r="BX24" i="11"/>
  <c r="AB19" i="8"/>
  <c r="BZ24" i="11"/>
  <c r="CA24" i="11"/>
  <c r="AC19" i="8"/>
  <c r="CC24" i="11"/>
  <c r="CD24" i="11"/>
  <c r="AD19" i="8"/>
  <c r="CF24" i="11"/>
  <c r="CG24" i="11"/>
  <c r="AE19" i="8"/>
  <c r="CI24" i="11"/>
  <c r="CJ24" i="11"/>
  <c r="AF19" i="8"/>
  <c r="CL24" i="11"/>
  <c r="CM24" i="11"/>
  <c r="AG19" i="8"/>
  <c r="CO24" i="11"/>
  <c r="CP24" i="11"/>
  <c r="AH19" i="8"/>
  <c r="CR24" i="11"/>
  <c r="CS24" i="11"/>
  <c r="AI19" i="8"/>
  <c r="CU24" i="11"/>
  <c r="CV24" i="11"/>
  <c r="AJ19" i="8"/>
  <c r="CX24" i="11"/>
  <c r="CY24" i="11"/>
  <c r="AK19" i="8"/>
  <c r="DA24" i="11"/>
  <c r="DB24" i="11"/>
  <c r="DD24" i="11"/>
  <c r="DE24" i="11"/>
  <c r="B25" i="11"/>
  <c r="C20" i="8"/>
  <c r="C25" i="11"/>
  <c r="D25" i="11"/>
  <c r="E25" i="11"/>
  <c r="D20" i="8"/>
  <c r="F25" i="11"/>
  <c r="H25" i="11"/>
  <c r="E20" i="8"/>
  <c r="I25" i="11"/>
  <c r="J25" i="11"/>
  <c r="K25" i="11"/>
  <c r="F20" i="8"/>
  <c r="L25" i="11"/>
  <c r="M25" i="11"/>
  <c r="N25" i="11"/>
  <c r="G20" i="8"/>
  <c r="O25" i="11"/>
  <c r="P25" i="11"/>
  <c r="Q25" i="11"/>
  <c r="H20" i="8"/>
  <c r="R25" i="11"/>
  <c r="S25" i="11"/>
  <c r="T25" i="11"/>
  <c r="I20" i="8"/>
  <c r="U25" i="11"/>
  <c r="V25" i="11"/>
  <c r="W25" i="11"/>
  <c r="J20" i="8"/>
  <c r="X25" i="11"/>
  <c r="Y25" i="11"/>
  <c r="Z25" i="11"/>
  <c r="K20" i="8"/>
  <c r="AA25" i="11"/>
  <c r="AB25" i="11"/>
  <c r="AC25" i="11"/>
  <c r="L20" i="8"/>
  <c r="AD25" i="11"/>
  <c r="AF25" i="11"/>
  <c r="M20" i="8"/>
  <c r="AG25" i="11"/>
  <c r="AH25" i="11"/>
  <c r="AI25" i="11"/>
  <c r="N20" i="8"/>
  <c r="AJ25" i="11"/>
  <c r="AK25" i="11"/>
  <c r="AL25" i="11"/>
  <c r="O20" i="8"/>
  <c r="AM25" i="11"/>
  <c r="AN25" i="11"/>
  <c r="AO25" i="11"/>
  <c r="P20" i="8"/>
  <c r="AP25" i="11"/>
  <c r="AQ25" i="11"/>
  <c r="AR25" i="11"/>
  <c r="Q20" i="8"/>
  <c r="AS25" i="11"/>
  <c r="AT25" i="11"/>
  <c r="AU25" i="11"/>
  <c r="R20" i="8"/>
  <c r="AV25" i="11"/>
  <c r="AW25" i="11"/>
  <c r="AX25" i="11"/>
  <c r="S20" i="8"/>
  <c r="AY25" i="11"/>
  <c r="AZ25" i="11"/>
  <c r="BA25" i="11"/>
  <c r="T20" i="8"/>
  <c r="BB25" i="11"/>
  <c r="BD25" i="11"/>
  <c r="U20" i="8"/>
  <c r="BE25" i="11"/>
  <c r="BF25" i="11"/>
  <c r="BG25" i="11"/>
  <c r="V20" i="8"/>
  <c r="BH25" i="11"/>
  <c r="BI25" i="11"/>
  <c r="BJ25" i="11"/>
  <c r="W20" i="8"/>
  <c r="BK25" i="11"/>
  <c r="BL25" i="11"/>
  <c r="BM25" i="11"/>
  <c r="X20" i="8"/>
  <c r="BN25" i="11"/>
  <c r="BO25" i="11"/>
  <c r="BP25" i="11"/>
  <c r="Y20" i="8"/>
  <c r="BQ25" i="11"/>
  <c r="BR25" i="11"/>
  <c r="BS25" i="11"/>
  <c r="Z20" i="8"/>
  <c r="BT25" i="11"/>
  <c r="BU25" i="11"/>
  <c r="BV25" i="11"/>
  <c r="AA20" i="8"/>
  <c r="BW25" i="11"/>
  <c r="BX25" i="11"/>
  <c r="BY25" i="11"/>
  <c r="AB20" i="8"/>
  <c r="BZ25" i="11"/>
  <c r="CB25" i="11"/>
  <c r="AC20" i="8"/>
  <c r="CC25" i="11"/>
  <c r="CD25" i="11"/>
  <c r="CE25" i="11"/>
  <c r="AD20" i="8"/>
  <c r="CF25" i="11"/>
  <c r="CG25" i="11"/>
  <c r="CH25" i="11"/>
  <c r="AE20" i="8"/>
  <c r="CI25" i="11"/>
  <c r="CJ25" i="11"/>
  <c r="CK25" i="11"/>
  <c r="AF20" i="8"/>
  <c r="CL25" i="11"/>
  <c r="CM25" i="11"/>
  <c r="CN25" i="11"/>
  <c r="AG20" i="8"/>
  <c r="CO25" i="11"/>
  <c r="CP25" i="11"/>
  <c r="CQ25" i="11"/>
  <c r="AH20" i="8"/>
  <c r="CR25" i="11"/>
  <c r="CS25" i="11"/>
  <c r="CT25" i="11"/>
  <c r="AI20" i="8"/>
  <c r="CU25" i="11"/>
  <c r="CV25" i="11"/>
  <c r="CW25" i="11"/>
  <c r="AJ20" i="8"/>
  <c r="CX25" i="11"/>
  <c r="CZ25" i="11"/>
  <c r="AK20" i="8"/>
  <c r="DA25" i="11"/>
  <c r="DB25" i="11"/>
  <c r="DC25" i="11"/>
  <c r="DD25" i="11"/>
  <c r="DE25" i="11"/>
  <c r="B26" i="11"/>
  <c r="C21" i="8"/>
  <c r="C26" i="11"/>
  <c r="D26" i="11"/>
  <c r="E26" i="11"/>
  <c r="D21" i="8"/>
  <c r="F26" i="11"/>
  <c r="G26" i="11"/>
  <c r="H26" i="11"/>
  <c r="E21" i="8"/>
  <c r="I26" i="11"/>
  <c r="J26" i="11"/>
  <c r="K26" i="11"/>
  <c r="F21" i="8"/>
  <c r="L26" i="11"/>
  <c r="M26" i="11"/>
  <c r="N26" i="11"/>
  <c r="G21" i="8"/>
  <c r="O26" i="11"/>
  <c r="P26" i="11"/>
  <c r="Q26" i="11"/>
  <c r="H21" i="8"/>
  <c r="R26" i="11"/>
  <c r="T26" i="11"/>
  <c r="I21" i="8"/>
  <c r="U26" i="11"/>
  <c r="V26" i="11"/>
  <c r="W26" i="11"/>
  <c r="J21" i="8"/>
  <c r="X26" i="11"/>
  <c r="Y26" i="11"/>
  <c r="Z26" i="11"/>
  <c r="K21" i="8"/>
  <c r="AA26" i="11"/>
  <c r="AB26" i="11"/>
  <c r="AC26" i="11"/>
  <c r="L21" i="8"/>
  <c r="AD26" i="11"/>
  <c r="AE26" i="11"/>
  <c r="AF26" i="11"/>
  <c r="M21" i="8"/>
  <c r="AG26" i="11"/>
  <c r="AH26" i="11"/>
  <c r="AI26" i="11"/>
  <c r="N21" i="8"/>
  <c r="AJ26" i="11"/>
  <c r="AK26" i="11"/>
  <c r="AL26" i="11"/>
  <c r="O21" i="8"/>
  <c r="AM26" i="11"/>
  <c r="AN26" i="11"/>
  <c r="AO26" i="11"/>
  <c r="P21" i="8"/>
  <c r="AP26" i="11"/>
  <c r="AQ26" i="11"/>
  <c r="AR26" i="11"/>
  <c r="Q21" i="8"/>
  <c r="AS26" i="11"/>
  <c r="AT26" i="11"/>
  <c r="AU26" i="11"/>
  <c r="R21" i="8"/>
  <c r="AV26" i="11"/>
  <c r="AW26" i="11"/>
  <c r="AX26" i="11"/>
  <c r="S21" i="8"/>
  <c r="AY26" i="11"/>
  <c r="AZ26" i="11"/>
  <c r="BA26" i="11"/>
  <c r="T21" i="8"/>
  <c r="BB26" i="11"/>
  <c r="BD26" i="11"/>
  <c r="U21" i="8"/>
  <c r="BE26" i="11"/>
  <c r="BF26" i="11"/>
  <c r="BG26" i="11"/>
  <c r="V21" i="8"/>
  <c r="BH26" i="11"/>
  <c r="BI26" i="11"/>
  <c r="BJ26" i="11"/>
  <c r="W21" i="8"/>
  <c r="BK26" i="11"/>
  <c r="BL26" i="11"/>
  <c r="BM26" i="11"/>
  <c r="X21" i="8"/>
  <c r="BN26" i="11"/>
  <c r="BP26" i="11"/>
  <c r="Y21" i="8"/>
  <c r="BQ26" i="11"/>
  <c r="BR26" i="11"/>
  <c r="BS26" i="11"/>
  <c r="Z21" i="8"/>
  <c r="BT26" i="11"/>
  <c r="BU26" i="11"/>
  <c r="BV26" i="11"/>
  <c r="AA21" i="8"/>
  <c r="BW26" i="11"/>
  <c r="BX26" i="11"/>
  <c r="BY26" i="11"/>
  <c r="AB21" i="8"/>
  <c r="BZ26" i="11"/>
  <c r="CA26" i="11"/>
  <c r="CB26" i="11"/>
  <c r="AC21" i="8"/>
  <c r="CC26" i="11"/>
  <c r="CD26" i="11"/>
  <c r="CE26" i="11"/>
  <c r="AD21" i="8"/>
  <c r="CF26" i="11"/>
  <c r="CG26" i="11"/>
  <c r="CH26" i="11"/>
  <c r="AE21" i="8"/>
  <c r="CI26" i="11"/>
  <c r="CJ26" i="11"/>
  <c r="CK26" i="11"/>
  <c r="AF21" i="8"/>
  <c r="CL26" i="11"/>
  <c r="CM26" i="11"/>
  <c r="CN26" i="11"/>
  <c r="AG21" i="8"/>
  <c r="CO26" i="11"/>
  <c r="CP26" i="11"/>
  <c r="CQ26" i="11"/>
  <c r="AH21" i="8"/>
  <c r="CR26" i="11"/>
  <c r="CS26" i="11"/>
  <c r="CT26" i="11"/>
  <c r="AI21" i="8"/>
  <c r="CU26" i="11"/>
  <c r="CV26" i="11"/>
  <c r="CW26" i="11"/>
  <c r="AJ21" i="8"/>
  <c r="CX26" i="11"/>
  <c r="CZ26" i="11"/>
  <c r="AK21" i="8"/>
  <c r="DA26" i="11"/>
  <c r="DB26" i="11"/>
  <c r="DC26" i="11"/>
  <c r="DD26" i="11"/>
  <c r="DE26" i="11"/>
  <c r="B27" i="11"/>
  <c r="C22" i="8"/>
  <c r="C27" i="11"/>
  <c r="D27" i="11"/>
  <c r="E27" i="11"/>
  <c r="D22" i="8"/>
  <c r="F27" i="11"/>
  <c r="H27" i="11"/>
  <c r="E22" i="8"/>
  <c r="I27" i="11"/>
  <c r="J27" i="11"/>
  <c r="K27" i="11"/>
  <c r="F22" i="8"/>
  <c r="L27" i="11"/>
  <c r="M27" i="11"/>
  <c r="N27" i="11"/>
  <c r="G22" i="8"/>
  <c r="O27" i="11"/>
  <c r="P27" i="11"/>
  <c r="Q27" i="11"/>
  <c r="H22" i="8"/>
  <c r="R27" i="11"/>
  <c r="S27" i="11"/>
  <c r="T27" i="11"/>
  <c r="I22" i="8"/>
  <c r="U27" i="11"/>
  <c r="V27" i="11"/>
  <c r="W27" i="11"/>
  <c r="J22" i="8"/>
  <c r="X27" i="11"/>
  <c r="Y27" i="11"/>
  <c r="Z27" i="11"/>
  <c r="K22" i="8"/>
  <c r="AA27" i="11"/>
  <c r="AB27" i="11"/>
  <c r="AC27" i="11"/>
  <c r="L22" i="8"/>
  <c r="AD27" i="11"/>
  <c r="AE27" i="11"/>
  <c r="AF27" i="11"/>
  <c r="M22" i="8"/>
  <c r="AG27" i="11"/>
  <c r="AH27" i="11"/>
  <c r="AI27" i="11"/>
  <c r="N22" i="8"/>
  <c r="AJ27" i="11"/>
  <c r="AK27" i="11"/>
  <c r="AL27" i="11"/>
  <c r="O22" i="8"/>
  <c r="AM27" i="11"/>
  <c r="AN27" i="11"/>
  <c r="AO27" i="11"/>
  <c r="P22" i="8"/>
  <c r="AP27" i="11"/>
  <c r="AR27" i="11"/>
  <c r="Q22" i="8"/>
  <c r="AS27" i="11"/>
  <c r="AT27" i="11"/>
  <c r="AU27" i="11"/>
  <c r="R22" i="8"/>
  <c r="AV27" i="11"/>
  <c r="AW27" i="11"/>
  <c r="AX27" i="11"/>
  <c r="S22" i="8"/>
  <c r="AY27" i="11"/>
  <c r="AZ27" i="11"/>
  <c r="BA27" i="11"/>
  <c r="T22" i="8"/>
  <c r="BB27" i="11"/>
  <c r="BD27" i="11"/>
  <c r="U22" i="8"/>
  <c r="BE27" i="11"/>
  <c r="BF27" i="11"/>
  <c r="BG27" i="11"/>
  <c r="V22" i="8"/>
  <c r="BH27" i="11"/>
  <c r="BI27" i="11"/>
  <c r="BJ27" i="11"/>
  <c r="W22" i="8"/>
  <c r="BK27" i="11"/>
  <c r="BL27" i="11"/>
  <c r="BM27" i="11"/>
  <c r="X22" i="8"/>
  <c r="BN27" i="11"/>
  <c r="BO27" i="11"/>
  <c r="BP27" i="11"/>
  <c r="Y22" i="8"/>
  <c r="BQ27" i="11"/>
  <c r="BR27" i="11"/>
  <c r="BS27" i="11"/>
  <c r="Z22" i="8"/>
  <c r="BT27" i="11"/>
  <c r="BU27" i="11"/>
  <c r="BV27" i="11"/>
  <c r="AA22" i="8"/>
  <c r="BW27" i="11"/>
  <c r="BX27" i="11"/>
  <c r="BY27" i="11"/>
  <c r="AB22" i="8"/>
  <c r="BZ27" i="11"/>
  <c r="CA27" i="11"/>
  <c r="CB27" i="11"/>
  <c r="AC22" i="8"/>
  <c r="CC27" i="11"/>
  <c r="CD27" i="11"/>
  <c r="CE27" i="11"/>
  <c r="AD22" i="8"/>
  <c r="CF27" i="11"/>
  <c r="CG27" i="11"/>
  <c r="CH27" i="11"/>
  <c r="AE22" i="8"/>
  <c r="CI27" i="11"/>
  <c r="CJ27" i="11"/>
  <c r="CK27" i="11"/>
  <c r="AF22" i="8"/>
  <c r="CL27" i="11"/>
  <c r="CN27" i="11"/>
  <c r="AG22" i="8"/>
  <c r="CO27" i="11"/>
  <c r="CP27" i="11"/>
  <c r="CQ27" i="11"/>
  <c r="AH22" i="8"/>
  <c r="CR27" i="11"/>
  <c r="CS27" i="11"/>
  <c r="CT27" i="11"/>
  <c r="AI22" i="8"/>
  <c r="CU27" i="11"/>
  <c r="CV27" i="11"/>
  <c r="CW27" i="11"/>
  <c r="AJ22" i="8"/>
  <c r="CX27" i="11"/>
  <c r="CZ27" i="11"/>
  <c r="AK22" i="8"/>
  <c r="DA27" i="11"/>
  <c r="DB27" i="11"/>
  <c r="DC27" i="11"/>
  <c r="DD27" i="11"/>
  <c r="DE27" i="11"/>
  <c r="B28" i="11"/>
  <c r="D28" i="11"/>
  <c r="E28" i="11"/>
  <c r="G28" i="11"/>
  <c r="H28" i="11"/>
  <c r="J28" i="11"/>
  <c r="K28" i="11"/>
  <c r="M28" i="11"/>
  <c r="N28" i="11"/>
  <c r="P28" i="11"/>
  <c r="Q28" i="11"/>
  <c r="S28" i="11"/>
  <c r="T28" i="11"/>
  <c r="V28" i="11"/>
  <c r="W28" i="11"/>
  <c r="Y28" i="11"/>
  <c r="Z28" i="11"/>
  <c r="AB28" i="11"/>
  <c r="AC28" i="11"/>
  <c r="AE28" i="11"/>
  <c r="AF28" i="11"/>
  <c r="AH28" i="11"/>
  <c r="AI28" i="11"/>
  <c r="AK28" i="11"/>
  <c r="AL28" i="11"/>
  <c r="AN28" i="11"/>
  <c r="AO28" i="11"/>
  <c r="AQ28" i="11"/>
  <c r="AR28" i="11"/>
  <c r="AT28" i="11"/>
  <c r="AU28" i="11"/>
  <c r="AW28" i="11"/>
  <c r="AX28" i="11"/>
  <c r="AZ28" i="11"/>
  <c r="BA28" i="11"/>
  <c r="BC28" i="11"/>
  <c r="BD28" i="11"/>
  <c r="BF28" i="11"/>
  <c r="BG28" i="11"/>
  <c r="BI28" i="11"/>
  <c r="BJ28" i="11"/>
  <c r="BL28" i="11"/>
  <c r="BM28" i="11"/>
  <c r="BO28" i="11"/>
  <c r="BP28" i="11"/>
  <c r="BR28" i="11"/>
  <c r="BS28" i="11"/>
  <c r="BU28" i="11"/>
  <c r="BV28" i="11"/>
  <c r="BX28" i="11"/>
  <c r="BY28" i="11"/>
  <c r="CA28" i="11"/>
  <c r="CB28" i="11"/>
  <c r="CD28" i="11"/>
  <c r="CE28" i="11"/>
  <c r="CG28" i="11"/>
  <c r="CH28" i="11"/>
  <c r="CJ28" i="11"/>
  <c r="CK28" i="11"/>
  <c r="CM28" i="11"/>
  <c r="CN28" i="11"/>
  <c r="CP28" i="11"/>
  <c r="CQ28" i="11"/>
  <c r="CS28" i="11"/>
  <c r="CT28" i="11"/>
  <c r="CV28" i="11"/>
  <c r="CW28" i="11"/>
  <c r="CY28" i="11"/>
  <c r="CZ28" i="11"/>
  <c r="DB28" i="11"/>
  <c r="DC28" i="11"/>
  <c r="DE28" i="11"/>
  <c r="B29" i="11"/>
  <c r="D29" i="11"/>
  <c r="E29" i="11"/>
  <c r="G29" i="11"/>
  <c r="H29" i="11"/>
  <c r="J29" i="11"/>
  <c r="K29" i="11"/>
  <c r="M29" i="11"/>
  <c r="N29" i="11"/>
  <c r="P29" i="11"/>
  <c r="Q29" i="11"/>
  <c r="S29" i="11"/>
  <c r="T29" i="11"/>
  <c r="V29" i="11"/>
  <c r="W29" i="11"/>
  <c r="Y29" i="11"/>
  <c r="Z29" i="11"/>
  <c r="AB29" i="11"/>
  <c r="AC29" i="11"/>
  <c r="AE29" i="11"/>
  <c r="AF29" i="11"/>
  <c r="AH29" i="11"/>
  <c r="AI29" i="11"/>
  <c r="AK29" i="11"/>
  <c r="AL29" i="11"/>
  <c r="AN29" i="11"/>
  <c r="AO29" i="11"/>
  <c r="AQ29" i="11"/>
  <c r="AR29" i="11"/>
  <c r="AT29" i="11"/>
  <c r="AU29" i="11"/>
  <c r="AW29" i="11"/>
  <c r="AX29" i="11"/>
  <c r="AZ29" i="11"/>
  <c r="BA29" i="11"/>
  <c r="BC29" i="11"/>
  <c r="BD29" i="11"/>
  <c r="BF29" i="11"/>
  <c r="BG29" i="11"/>
  <c r="BI29" i="11"/>
  <c r="BJ29" i="11"/>
  <c r="BL29" i="11"/>
  <c r="BM29" i="11"/>
  <c r="BO29" i="11"/>
  <c r="BP29" i="11"/>
  <c r="BR29" i="11"/>
  <c r="BS29" i="11"/>
  <c r="BU29" i="11"/>
  <c r="BV29" i="11"/>
  <c r="BX29" i="11"/>
  <c r="BY29" i="11"/>
  <c r="CA29" i="11"/>
  <c r="CB29" i="11"/>
  <c r="CD29" i="11"/>
  <c r="CE29" i="11"/>
  <c r="CG29" i="11"/>
  <c r="CH29" i="11"/>
  <c r="CJ29" i="11"/>
  <c r="CK29" i="11"/>
  <c r="CM29" i="11"/>
  <c r="CN29" i="11"/>
  <c r="CP29" i="11"/>
  <c r="CQ29" i="11"/>
  <c r="CS29" i="11"/>
  <c r="CT29" i="11"/>
  <c r="CV29" i="11"/>
  <c r="CW29" i="11"/>
  <c r="CY29" i="11"/>
  <c r="CZ29" i="11"/>
  <c r="DB29" i="11"/>
  <c r="DC29" i="11"/>
  <c r="DE29" i="11"/>
  <c r="B30" i="11"/>
  <c r="D30" i="11"/>
  <c r="E30" i="11"/>
  <c r="G30" i="11"/>
  <c r="H30" i="11"/>
  <c r="J30" i="11"/>
  <c r="K30" i="11"/>
  <c r="M30" i="11"/>
  <c r="N30" i="11"/>
  <c r="P30" i="11"/>
  <c r="Q30" i="11"/>
  <c r="S30" i="11"/>
  <c r="T30" i="11"/>
  <c r="V30" i="11"/>
  <c r="W30" i="11"/>
  <c r="Y30" i="11"/>
  <c r="Z30" i="11"/>
  <c r="AB30" i="11"/>
  <c r="AC30" i="11"/>
  <c r="AE30" i="11"/>
  <c r="AF30" i="11"/>
  <c r="AH30" i="11"/>
  <c r="AI30" i="11"/>
  <c r="AK30" i="11"/>
  <c r="AL30" i="11"/>
  <c r="AN30" i="11"/>
  <c r="AO30" i="11"/>
  <c r="AQ30" i="11"/>
  <c r="AR30" i="11"/>
  <c r="AT30" i="11"/>
  <c r="AU30" i="11"/>
  <c r="AW30" i="11"/>
  <c r="AX30" i="11"/>
  <c r="AZ30" i="11"/>
  <c r="BA30" i="11"/>
  <c r="BC30" i="11"/>
  <c r="BD30" i="11"/>
  <c r="BF30" i="11"/>
  <c r="BG30" i="11"/>
  <c r="BI30" i="11"/>
  <c r="BJ30" i="11"/>
  <c r="BL30" i="11"/>
  <c r="BM30" i="11"/>
  <c r="BO30" i="11"/>
  <c r="BP30" i="11"/>
  <c r="BR30" i="11"/>
  <c r="BS30" i="11"/>
  <c r="BU30" i="11"/>
  <c r="BV30" i="11"/>
  <c r="BX30" i="11"/>
  <c r="BY30" i="11"/>
  <c r="CA30" i="11"/>
  <c r="CB30" i="11"/>
  <c r="CD30" i="11"/>
  <c r="CE30" i="11"/>
  <c r="CG30" i="11"/>
  <c r="CH30" i="11"/>
  <c r="CJ30" i="11"/>
  <c r="CK30" i="11"/>
  <c r="CM30" i="11"/>
  <c r="CN30" i="11"/>
  <c r="CP30" i="11"/>
  <c r="CQ30" i="11"/>
  <c r="CS30" i="11"/>
  <c r="CT30" i="11"/>
  <c r="CV30" i="11"/>
  <c r="CW30" i="11"/>
  <c r="CY30" i="11"/>
  <c r="CZ30" i="11"/>
  <c r="DB30" i="11"/>
  <c r="DC30" i="11"/>
  <c r="DE30" i="11"/>
  <c r="B31" i="11"/>
  <c r="D31" i="11"/>
  <c r="E31" i="11"/>
  <c r="G31" i="11"/>
  <c r="H31" i="11"/>
  <c r="J31" i="11"/>
  <c r="K31" i="11"/>
  <c r="M31" i="11"/>
  <c r="N31" i="11"/>
  <c r="P31" i="11"/>
  <c r="Q31" i="11"/>
  <c r="S31" i="11"/>
  <c r="T31" i="11"/>
  <c r="V31" i="11"/>
  <c r="W31" i="11"/>
  <c r="Y31" i="11"/>
  <c r="Z31" i="11"/>
  <c r="AB31" i="11"/>
  <c r="AC31" i="11"/>
  <c r="AE31" i="11"/>
  <c r="AF31" i="11"/>
  <c r="AH31" i="11"/>
  <c r="AI31" i="11"/>
  <c r="AK31" i="11"/>
  <c r="AL31" i="11"/>
  <c r="AN31" i="11"/>
  <c r="AO31" i="11"/>
  <c r="AQ31" i="11"/>
  <c r="AR31" i="11"/>
  <c r="AT31" i="11"/>
  <c r="AU31" i="11"/>
  <c r="AW31" i="11"/>
  <c r="AX31" i="11"/>
  <c r="AZ31" i="11"/>
  <c r="BA31" i="11"/>
  <c r="BC31" i="11"/>
  <c r="BD31" i="11"/>
  <c r="BF31" i="11"/>
  <c r="BG31" i="11"/>
  <c r="BI31" i="11"/>
  <c r="BJ31" i="11"/>
  <c r="BL31" i="11"/>
  <c r="BM31" i="11"/>
  <c r="BO31" i="11"/>
  <c r="BP31" i="11"/>
  <c r="BR31" i="11"/>
  <c r="BS31" i="11"/>
  <c r="BU31" i="11"/>
  <c r="BV31" i="11"/>
  <c r="BX31" i="11"/>
  <c r="BY31" i="11"/>
  <c r="CA31" i="11"/>
  <c r="CB31" i="11"/>
  <c r="CD31" i="11"/>
  <c r="CE31" i="11"/>
  <c r="CG31" i="11"/>
  <c r="CH31" i="11"/>
  <c r="CJ31" i="11"/>
  <c r="CK31" i="11"/>
  <c r="CM31" i="11"/>
  <c r="CN31" i="11"/>
  <c r="CP31" i="11"/>
  <c r="CQ31" i="11"/>
  <c r="CS31" i="11"/>
  <c r="CT31" i="11"/>
  <c r="CV31" i="11"/>
  <c r="CW31" i="11"/>
  <c r="CY31" i="11"/>
  <c r="CZ31" i="11"/>
  <c r="DB31" i="11"/>
  <c r="DC31" i="11"/>
  <c r="DE31" i="11"/>
  <c r="C23" i="8"/>
  <c r="C32" i="11"/>
  <c r="D32" i="11"/>
  <c r="D23" i="8"/>
  <c r="F32" i="11"/>
  <c r="G32" i="11"/>
  <c r="E23" i="8"/>
  <c r="I32" i="11"/>
  <c r="J32" i="11"/>
  <c r="F23" i="8"/>
  <c r="L32" i="11"/>
  <c r="M32" i="11"/>
  <c r="G23" i="8"/>
  <c r="O32" i="11"/>
  <c r="P32" i="11"/>
  <c r="H23" i="8"/>
  <c r="R32" i="11"/>
  <c r="S32" i="11"/>
  <c r="I23" i="8"/>
  <c r="U32" i="11"/>
  <c r="V32" i="11"/>
  <c r="J23" i="8"/>
  <c r="X32" i="11"/>
  <c r="Y32" i="11"/>
  <c r="K23" i="8"/>
  <c r="AA32" i="11"/>
  <c r="AB32" i="11"/>
  <c r="L23" i="8"/>
  <c r="AD32" i="11"/>
  <c r="AE32" i="11"/>
  <c r="M23" i="8"/>
  <c r="AG32" i="11"/>
  <c r="AH32" i="11"/>
  <c r="N23" i="8"/>
  <c r="AJ32" i="11"/>
  <c r="AK32" i="11"/>
  <c r="O23" i="8"/>
  <c r="AM32" i="11"/>
  <c r="AN32" i="11"/>
  <c r="P23" i="8"/>
  <c r="AP32" i="11"/>
  <c r="AQ32" i="11"/>
  <c r="Q23" i="8"/>
  <c r="AS32" i="11"/>
  <c r="AT32" i="11"/>
  <c r="R23" i="8"/>
  <c r="AV32" i="11"/>
  <c r="AW32" i="11"/>
  <c r="S23" i="8"/>
  <c r="AY32" i="11"/>
  <c r="AZ32" i="11"/>
  <c r="T23" i="8"/>
  <c r="BB32" i="11"/>
  <c r="BC32" i="11"/>
  <c r="U23" i="8"/>
  <c r="BE32" i="11"/>
  <c r="BF32" i="11"/>
  <c r="V23" i="8"/>
  <c r="BH32" i="11"/>
  <c r="BI32" i="11"/>
  <c r="W23" i="8"/>
  <c r="BK32" i="11"/>
  <c r="BL32" i="11"/>
  <c r="X23" i="8"/>
  <c r="BN32" i="11"/>
  <c r="BO32" i="11"/>
  <c r="Y23" i="8"/>
  <c r="BQ32" i="11"/>
  <c r="BR32" i="11"/>
  <c r="Z23" i="8"/>
  <c r="BT32" i="11"/>
  <c r="BU32" i="11"/>
  <c r="AA23" i="8"/>
  <c r="BW32" i="11"/>
  <c r="BX32" i="11"/>
  <c r="AB23" i="8"/>
  <c r="BZ32" i="11"/>
  <c r="CA32" i="11"/>
  <c r="AC23" i="8"/>
  <c r="CC32" i="11"/>
  <c r="CD32" i="11"/>
  <c r="AD23" i="8"/>
  <c r="CF32" i="11"/>
  <c r="CG32" i="11"/>
  <c r="AE23" i="8"/>
  <c r="CI32" i="11"/>
  <c r="CJ32" i="11"/>
  <c r="AF23" i="8"/>
  <c r="CL32" i="11"/>
  <c r="CM32" i="11"/>
  <c r="AG23" i="8"/>
  <c r="CO32" i="11"/>
  <c r="CP32" i="11"/>
  <c r="AH23" i="8"/>
  <c r="CR32" i="11"/>
  <c r="CS32" i="11"/>
  <c r="AI23" i="8"/>
  <c r="CU32" i="11"/>
  <c r="CV32" i="11"/>
  <c r="AJ23" i="8"/>
  <c r="CX32" i="11"/>
  <c r="CY32" i="11"/>
  <c r="AK23" i="8"/>
  <c r="DA32" i="11"/>
  <c r="DB32" i="11"/>
  <c r="DD32" i="11"/>
  <c r="DE32" i="11"/>
  <c r="B33" i="11"/>
  <c r="C24" i="8"/>
  <c r="C33" i="11"/>
  <c r="D33" i="11"/>
  <c r="E33" i="11"/>
  <c r="D24" i="8"/>
  <c r="F33" i="11"/>
  <c r="G33" i="11"/>
  <c r="H33" i="11"/>
  <c r="E24" i="8"/>
  <c r="I33" i="11"/>
  <c r="J33" i="11"/>
  <c r="K33" i="11"/>
  <c r="F24" i="8"/>
  <c r="L33" i="11"/>
  <c r="M33" i="11"/>
  <c r="N33" i="11"/>
  <c r="G24" i="8"/>
  <c r="O33" i="11"/>
  <c r="P33" i="11"/>
  <c r="Q33" i="11"/>
  <c r="H24" i="8"/>
  <c r="R33" i="11"/>
  <c r="S33" i="11"/>
  <c r="T33" i="11"/>
  <c r="I24" i="8"/>
  <c r="U33" i="11"/>
  <c r="V33" i="11"/>
  <c r="W33" i="11"/>
  <c r="J24" i="8"/>
  <c r="X33" i="11"/>
  <c r="Y33" i="11"/>
  <c r="Z33" i="11"/>
  <c r="K24" i="8"/>
  <c r="AA33" i="11"/>
  <c r="AB33" i="11"/>
  <c r="AC33" i="11"/>
  <c r="L24" i="8"/>
  <c r="AD33" i="11"/>
  <c r="AE33" i="11"/>
  <c r="AF33" i="11"/>
  <c r="M24" i="8"/>
  <c r="AG33" i="11"/>
  <c r="AH33" i="11"/>
  <c r="AI33" i="11"/>
  <c r="N24" i="8"/>
  <c r="AJ33" i="11"/>
  <c r="AK33" i="11"/>
  <c r="AL33" i="11"/>
  <c r="O24" i="8"/>
  <c r="AM33" i="11"/>
  <c r="AN33" i="11"/>
  <c r="AO33" i="11"/>
  <c r="P24" i="8"/>
  <c r="AP33" i="11"/>
  <c r="AQ33" i="11"/>
  <c r="AR33" i="11"/>
  <c r="Q24" i="8"/>
  <c r="AS33" i="11"/>
  <c r="AT33" i="11"/>
  <c r="AU33" i="11"/>
  <c r="R24" i="8"/>
  <c r="AV33" i="11"/>
  <c r="AW33" i="11"/>
  <c r="AX33" i="11"/>
  <c r="S24" i="8"/>
  <c r="AY33" i="11"/>
  <c r="AZ33" i="11"/>
  <c r="BA33" i="11"/>
  <c r="T24" i="8"/>
  <c r="BB33" i="11"/>
  <c r="BC33" i="11"/>
  <c r="BD33" i="11"/>
  <c r="U24" i="8"/>
  <c r="BE33" i="11"/>
  <c r="BF33" i="11"/>
  <c r="BG33" i="11"/>
  <c r="V24" i="8"/>
  <c r="BH33" i="11"/>
  <c r="BI33" i="11"/>
  <c r="BJ33" i="11"/>
  <c r="W24" i="8"/>
  <c r="BK33" i="11"/>
  <c r="BL33" i="11"/>
  <c r="BM33" i="11"/>
  <c r="X24" i="8"/>
  <c r="BN33" i="11"/>
  <c r="BO33" i="11"/>
  <c r="BP33" i="11"/>
  <c r="Y24" i="8"/>
  <c r="BQ33" i="11"/>
  <c r="BR33" i="11"/>
  <c r="BS33" i="11"/>
  <c r="Z24" i="8"/>
  <c r="BT33" i="11"/>
  <c r="BU33" i="11"/>
  <c r="BV33" i="11"/>
  <c r="AA24" i="8"/>
  <c r="BW33" i="11"/>
  <c r="BX33" i="11"/>
  <c r="BY33" i="11"/>
  <c r="AB24" i="8"/>
  <c r="BZ33" i="11"/>
  <c r="CA33" i="11"/>
  <c r="CB33" i="11"/>
  <c r="AC24" i="8"/>
  <c r="CC33" i="11"/>
  <c r="CD33" i="11"/>
  <c r="CE33" i="11"/>
  <c r="AD24" i="8"/>
  <c r="CF33" i="11"/>
  <c r="CG33" i="11"/>
  <c r="CH33" i="11"/>
  <c r="AE24" i="8"/>
  <c r="CI33" i="11"/>
  <c r="CJ33" i="11"/>
  <c r="CK33" i="11"/>
  <c r="AF24" i="8"/>
  <c r="CL33" i="11"/>
  <c r="CM33" i="11"/>
  <c r="CN33" i="11"/>
  <c r="AG24" i="8"/>
  <c r="CO33" i="11"/>
  <c r="CP33" i="11"/>
  <c r="CQ33" i="11"/>
  <c r="AH24" i="8"/>
  <c r="CR33" i="11"/>
  <c r="CS33" i="11"/>
  <c r="CT33" i="11"/>
  <c r="AI24" i="8"/>
  <c r="CU33" i="11"/>
  <c r="CV33" i="11"/>
  <c r="CW33" i="11"/>
  <c r="AJ24" i="8"/>
  <c r="CX33" i="11"/>
  <c r="CY33" i="11"/>
  <c r="CZ33" i="11"/>
  <c r="AK24" i="8"/>
  <c r="DA33" i="11"/>
  <c r="DB33" i="11"/>
  <c r="DC33" i="11"/>
  <c r="DD33" i="11"/>
  <c r="DE33" i="11"/>
  <c r="C25" i="8"/>
  <c r="C34" i="11"/>
  <c r="D5" i="11"/>
  <c r="D34" i="11"/>
  <c r="D25" i="8"/>
  <c r="F34" i="11"/>
  <c r="G5" i="11"/>
  <c r="E25" i="8"/>
  <c r="I34" i="11"/>
  <c r="J5" i="11"/>
  <c r="J34" i="11"/>
  <c r="F25" i="8"/>
  <c r="L34" i="11"/>
  <c r="M5" i="11"/>
  <c r="G25" i="8"/>
  <c r="O34" i="11"/>
  <c r="P5" i="11"/>
  <c r="P34" i="11"/>
  <c r="H25" i="8"/>
  <c r="R34" i="11"/>
  <c r="S5" i="11"/>
  <c r="I25" i="8"/>
  <c r="U34" i="11"/>
  <c r="V5" i="11"/>
  <c r="V34" i="11"/>
  <c r="J25" i="8"/>
  <c r="X34" i="11"/>
  <c r="Y5" i="11"/>
  <c r="K25" i="8"/>
  <c r="AA34" i="11"/>
  <c r="AB5" i="11"/>
  <c r="AB34" i="11"/>
  <c r="L25" i="8"/>
  <c r="AD34" i="11"/>
  <c r="AE5" i="11"/>
  <c r="M25" i="8"/>
  <c r="AG34" i="11"/>
  <c r="AH5" i="11"/>
  <c r="AH34" i="11"/>
  <c r="N25" i="8"/>
  <c r="AJ34" i="11"/>
  <c r="AK5" i="11"/>
  <c r="O25" i="8"/>
  <c r="AM34" i="11"/>
  <c r="AN5" i="11"/>
  <c r="AN34" i="11"/>
  <c r="P25" i="8"/>
  <c r="AP34" i="11"/>
  <c r="AQ5" i="11"/>
  <c r="Q25" i="8"/>
  <c r="AS34" i="11"/>
  <c r="AT5" i="11"/>
  <c r="AT34" i="11"/>
  <c r="R25" i="8"/>
  <c r="AV34" i="11"/>
  <c r="AW5" i="11"/>
  <c r="S25" i="8"/>
  <c r="AY34" i="11"/>
  <c r="AZ5" i="11"/>
  <c r="AZ34" i="11"/>
  <c r="T25" i="8"/>
  <c r="BB34" i="11"/>
  <c r="BC5" i="11"/>
  <c r="U25" i="8"/>
  <c r="BE34" i="11"/>
  <c r="BF5" i="11"/>
  <c r="BF34" i="11"/>
  <c r="V25" i="8"/>
  <c r="BH34" i="11"/>
  <c r="BI5" i="11"/>
  <c r="W25" i="8"/>
  <c r="BK34" i="11"/>
  <c r="BL5" i="11"/>
  <c r="BL34" i="11"/>
  <c r="X25" i="8"/>
  <c r="BN34" i="11"/>
  <c r="BO5" i="11"/>
  <c r="Y25" i="8"/>
  <c r="BQ34" i="11"/>
  <c r="BR5" i="11"/>
  <c r="BR34" i="11"/>
  <c r="Z25" i="8"/>
  <c r="BT34" i="11"/>
  <c r="BU5" i="11"/>
  <c r="AA25" i="8"/>
  <c r="BW34" i="11"/>
  <c r="BX5" i="11"/>
  <c r="BX34" i="11"/>
  <c r="AB25" i="8"/>
  <c r="BZ34" i="11"/>
  <c r="CA5" i="11"/>
  <c r="AC25" i="8"/>
  <c r="CC34" i="11"/>
  <c r="CD5" i="11"/>
  <c r="CD34" i="11"/>
  <c r="AD25" i="8"/>
  <c r="CF34" i="11"/>
  <c r="CG5" i="11"/>
  <c r="AE25" i="8"/>
  <c r="CI34" i="11"/>
  <c r="CJ5" i="11"/>
  <c r="CJ34" i="11"/>
  <c r="AF25" i="8"/>
  <c r="CL34" i="11"/>
  <c r="CM5" i="11"/>
  <c r="AG25" i="8"/>
  <c r="CO34" i="11"/>
  <c r="CP5" i="11"/>
  <c r="CP34" i="11"/>
  <c r="AH25" i="8"/>
  <c r="CR34" i="11"/>
  <c r="CS5" i="11"/>
  <c r="AI25" i="8"/>
  <c r="CU34" i="11"/>
  <c r="CV5" i="11"/>
  <c r="CV34" i="11"/>
  <c r="AJ25" i="8"/>
  <c r="CX34" i="11"/>
  <c r="CY5" i="11"/>
  <c r="AK25" i="8"/>
  <c r="DA34" i="11"/>
  <c r="DB5" i="11"/>
  <c r="DB34" i="11"/>
  <c r="DD34" i="11"/>
  <c r="DE5" i="11"/>
  <c r="B36" i="11"/>
  <c r="C27" i="8"/>
  <c r="C36" i="11"/>
  <c r="E36" i="11"/>
  <c r="D27" i="8"/>
  <c r="F36" i="11"/>
  <c r="H36" i="11"/>
  <c r="E27" i="8"/>
  <c r="I36" i="11"/>
  <c r="K36" i="11"/>
  <c r="F27" i="8"/>
  <c r="L36" i="11"/>
  <c r="N36" i="11"/>
  <c r="G27" i="8"/>
  <c r="O36" i="11"/>
  <c r="Q36" i="11"/>
  <c r="H27" i="8"/>
  <c r="R36" i="11"/>
  <c r="T36" i="11"/>
  <c r="I27" i="8"/>
  <c r="U36" i="11"/>
  <c r="W36" i="11"/>
  <c r="J27" i="8"/>
  <c r="X36" i="11"/>
  <c r="Z36" i="11"/>
  <c r="K27" i="8"/>
  <c r="AA36" i="11"/>
  <c r="AC36" i="11"/>
  <c r="L27" i="8"/>
  <c r="AD36" i="11"/>
  <c r="AF36" i="11"/>
  <c r="M27" i="8"/>
  <c r="AG36" i="11"/>
  <c r="AI36" i="11"/>
  <c r="N27" i="8"/>
  <c r="AJ36" i="11"/>
  <c r="AL36" i="11"/>
  <c r="O27" i="8"/>
  <c r="AM36" i="11"/>
  <c r="AO36" i="11"/>
  <c r="P27" i="8"/>
  <c r="AP36" i="11"/>
  <c r="AR36" i="11"/>
  <c r="Q27" i="8"/>
  <c r="AS36" i="11"/>
  <c r="AU36" i="11"/>
  <c r="R27" i="8"/>
  <c r="AV36" i="11"/>
  <c r="AX36" i="11"/>
  <c r="S27" i="8"/>
  <c r="AY36" i="11"/>
  <c r="BA36" i="11"/>
  <c r="T27" i="8"/>
  <c r="BB36" i="11"/>
  <c r="BD36" i="11"/>
  <c r="U27" i="8"/>
  <c r="BE36" i="11"/>
  <c r="BG36" i="11"/>
  <c r="V27" i="8"/>
  <c r="BH36" i="11"/>
  <c r="BJ36" i="11"/>
  <c r="W27" i="8"/>
  <c r="BK36" i="11"/>
  <c r="BM36" i="11"/>
  <c r="X27" i="8"/>
  <c r="BN36" i="11"/>
  <c r="BP36" i="11"/>
  <c r="Y27" i="8"/>
  <c r="BQ36" i="11"/>
  <c r="BS36" i="11"/>
  <c r="Z27" i="8"/>
  <c r="BT36" i="11"/>
  <c r="BV36" i="11"/>
  <c r="AA27" i="8"/>
  <c r="BW36" i="11"/>
  <c r="BY36" i="11"/>
  <c r="AB27" i="8"/>
  <c r="BZ36" i="11"/>
  <c r="CB36" i="11"/>
  <c r="AC27" i="8"/>
  <c r="CC36" i="11"/>
  <c r="CE36" i="11"/>
  <c r="AD27" i="8"/>
  <c r="CF36" i="11"/>
  <c r="CH36" i="11"/>
  <c r="AE27" i="8"/>
  <c r="CI36" i="11"/>
  <c r="CK36" i="11"/>
  <c r="AF27" i="8"/>
  <c r="CL36" i="11"/>
  <c r="CN36" i="11"/>
  <c r="AG27" i="8"/>
  <c r="CO36" i="11"/>
  <c r="CQ36" i="11"/>
  <c r="AH27" i="8"/>
  <c r="CR36" i="11"/>
  <c r="CT36" i="11"/>
  <c r="AI27" i="8"/>
  <c r="CU36" i="11"/>
  <c r="CW36" i="11"/>
  <c r="AJ27" i="8"/>
  <c r="CX36" i="11"/>
  <c r="CZ36" i="11"/>
  <c r="AK27" i="8"/>
  <c r="DA36" i="11"/>
  <c r="DC36" i="11"/>
  <c r="DD36" i="11"/>
  <c r="B37" i="11"/>
  <c r="E37" i="11"/>
  <c r="H37" i="11"/>
  <c r="K37" i="11"/>
  <c r="N37" i="11"/>
  <c r="Q37" i="11"/>
  <c r="T37" i="11"/>
  <c r="W37" i="11"/>
  <c r="Z37" i="11"/>
  <c r="AC37" i="11"/>
  <c r="AF37" i="11"/>
  <c r="AI37" i="11"/>
  <c r="AL37" i="11"/>
  <c r="AO37" i="11"/>
  <c r="AR37" i="11"/>
  <c r="AU37" i="11"/>
  <c r="AX37" i="11"/>
  <c r="BA37" i="11"/>
  <c r="BD37" i="11"/>
  <c r="BG37" i="11"/>
  <c r="BJ37" i="11"/>
  <c r="BM37" i="11"/>
  <c r="BP37" i="11"/>
  <c r="BS37" i="11"/>
  <c r="BV37" i="11"/>
  <c r="BY37" i="11"/>
  <c r="CB37" i="11"/>
  <c r="CE37" i="11"/>
  <c r="CH37" i="11"/>
  <c r="CK37" i="11"/>
  <c r="CN37" i="11"/>
  <c r="CQ37" i="11"/>
  <c r="CT37" i="11"/>
  <c r="CW37" i="11"/>
  <c r="CZ37" i="11"/>
  <c r="DC37" i="11"/>
  <c r="B38" i="11"/>
  <c r="C28" i="8"/>
  <c r="C38" i="11"/>
  <c r="E38" i="11"/>
  <c r="D28" i="8"/>
  <c r="F38" i="11"/>
  <c r="G38" i="11"/>
  <c r="H38" i="11"/>
  <c r="E28" i="8"/>
  <c r="I38" i="11"/>
  <c r="J38" i="11"/>
  <c r="K38" i="11"/>
  <c r="F28" i="8"/>
  <c r="L38" i="11"/>
  <c r="M38" i="11"/>
  <c r="N38" i="11"/>
  <c r="G28" i="8"/>
  <c r="O38" i="11"/>
  <c r="P38" i="11"/>
  <c r="Q38" i="11"/>
  <c r="H28" i="8"/>
  <c r="R38" i="11"/>
  <c r="S38" i="11"/>
  <c r="T38" i="11"/>
  <c r="I28" i="8"/>
  <c r="U38" i="11"/>
  <c r="V38" i="11"/>
  <c r="W38" i="11"/>
  <c r="J28" i="8"/>
  <c r="X38" i="11"/>
  <c r="Y38" i="11"/>
  <c r="Z38" i="11"/>
  <c r="K28" i="8"/>
  <c r="AA38" i="11"/>
  <c r="AC38" i="11"/>
  <c r="L28" i="8"/>
  <c r="AD38" i="11"/>
  <c r="AE38" i="11"/>
  <c r="AF38" i="11"/>
  <c r="M28" i="8"/>
  <c r="AG38" i="11"/>
  <c r="AH38" i="11"/>
  <c r="AI38" i="11"/>
  <c r="N28" i="8"/>
  <c r="AJ38" i="11"/>
  <c r="AK38" i="11"/>
  <c r="AL38" i="11"/>
  <c r="O28" i="8"/>
  <c r="AM38" i="11"/>
  <c r="AN38" i="11"/>
  <c r="AO38" i="11"/>
  <c r="P28" i="8"/>
  <c r="AP38" i="11"/>
  <c r="AQ38" i="11"/>
  <c r="AR38" i="11"/>
  <c r="Q28" i="8"/>
  <c r="AS38" i="11"/>
  <c r="AT38" i="11"/>
  <c r="AU38" i="11"/>
  <c r="R28" i="8"/>
  <c r="AV38" i="11"/>
  <c r="AW38" i="11"/>
  <c r="AX38" i="11"/>
  <c r="S28" i="8"/>
  <c r="AY38" i="11"/>
  <c r="BA38" i="11"/>
  <c r="T28" i="8"/>
  <c r="BB38" i="11"/>
  <c r="BC38" i="11"/>
  <c r="BD38" i="11"/>
  <c r="U28" i="8"/>
  <c r="BE38" i="11"/>
  <c r="BF38" i="11"/>
  <c r="BG38" i="11"/>
  <c r="V28" i="8"/>
  <c r="BH38" i="11"/>
  <c r="BI38" i="11"/>
  <c r="BJ38" i="11"/>
  <c r="W28" i="8"/>
  <c r="BK38" i="11"/>
  <c r="BL38" i="11"/>
  <c r="BM38" i="11"/>
  <c r="X28" i="8"/>
  <c r="BN38" i="11"/>
  <c r="BO38" i="11"/>
  <c r="BP38" i="11"/>
  <c r="Y28" i="8"/>
  <c r="BQ38" i="11"/>
  <c r="BR38" i="11"/>
  <c r="BS38" i="11"/>
  <c r="Z28" i="8"/>
  <c r="BT38" i="11"/>
  <c r="BU38" i="11"/>
  <c r="BV38" i="11"/>
  <c r="AA28" i="8"/>
  <c r="BW38" i="11"/>
  <c r="BY38" i="11"/>
  <c r="AB28" i="8"/>
  <c r="BZ38" i="11"/>
  <c r="CA38" i="11"/>
  <c r="CB38" i="11"/>
  <c r="AC28" i="8"/>
  <c r="CC38" i="11"/>
  <c r="CD38" i="11"/>
  <c r="CE38" i="11"/>
  <c r="AD28" i="8"/>
  <c r="CF38" i="11"/>
  <c r="CG38" i="11"/>
  <c r="CH38" i="11"/>
  <c r="AE28" i="8"/>
  <c r="CI38" i="11"/>
  <c r="CJ38" i="11"/>
  <c r="CK38" i="11"/>
  <c r="AF28" i="8"/>
  <c r="CL38" i="11"/>
  <c r="CM38" i="11"/>
  <c r="CN38" i="11"/>
  <c r="AG28" i="8"/>
  <c r="CO38" i="11"/>
  <c r="CP38" i="11"/>
  <c r="CQ38" i="11"/>
  <c r="AH28" i="8"/>
  <c r="CR38" i="11"/>
  <c r="CS38" i="11"/>
  <c r="CT38" i="11"/>
  <c r="AI28" i="8"/>
  <c r="CU38" i="11"/>
  <c r="CW38" i="11"/>
  <c r="AJ28" i="8"/>
  <c r="CX38" i="11"/>
  <c r="CY38" i="11"/>
  <c r="CZ38" i="11"/>
  <c r="AK28" i="8"/>
  <c r="DA38" i="11"/>
  <c r="DB38" i="11"/>
  <c r="DC38" i="11"/>
  <c r="DD38" i="11"/>
  <c r="DE38" i="11"/>
  <c r="B39" i="11"/>
  <c r="C29" i="8"/>
  <c r="C39" i="11"/>
  <c r="D39" i="11"/>
  <c r="E39" i="11"/>
  <c r="D29" i="8"/>
  <c r="F39" i="11"/>
  <c r="G39" i="11"/>
  <c r="H39" i="11"/>
  <c r="E29" i="8"/>
  <c r="I39" i="11"/>
  <c r="J39" i="11"/>
  <c r="K39" i="11"/>
  <c r="F29" i="8"/>
  <c r="L39" i="11"/>
  <c r="M39" i="11"/>
  <c r="N39" i="11"/>
  <c r="G29" i="8"/>
  <c r="O39" i="11"/>
  <c r="Q39" i="11"/>
  <c r="H29" i="8"/>
  <c r="R39" i="11"/>
  <c r="S39" i="11"/>
  <c r="T39" i="11"/>
  <c r="I29" i="8"/>
  <c r="U39" i="11"/>
  <c r="V39" i="11"/>
  <c r="W39" i="11"/>
  <c r="J29" i="8"/>
  <c r="X39" i="11"/>
  <c r="Y39" i="11"/>
  <c r="Z39" i="11"/>
  <c r="K29" i="8"/>
  <c r="AA39" i="11"/>
  <c r="AB39" i="11"/>
  <c r="AC39" i="11"/>
  <c r="L29" i="8"/>
  <c r="AD39" i="11"/>
  <c r="AE39" i="11"/>
  <c r="AF39" i="11"/>
  <c r="M29" i="8"/>
  <c r="AG39" i="11"/>
  <c r="AH39" i="11"/>
  <c r="AI39" i="11"/>
  <c r="N29" i="8"/>
  <c r="AJ39" i="11"/>
  <c r="AK39" i="11"/>
  <c r="AL39" i="11"/>
  <c r="O29" i="8"/>
  <c r="AM39" i="11"/>
  <c r="AO39" i="11"/>
  <c r="P29" i="8"/>
  <c r="AP39" i="11"/>
  <c r="AQ39" i="11"/>
  <c r="AR39" i="11"/>
  <c r="Q29" i="8"/>
  <c r="AS39" i="11"/>
  <c r="AT39" i="11"/>
  <c r="AU39" i="11"/>
  <c r="R29" i="8"/>
  <c r="AV39" i="11"/>
  <c r="AW39" i="11"/>
  <c r="AX39" i="11"/>
  <c r="S29" i="8"/>
  <c r="AY39" i="11"/>
  <c r="AZ39" i="11"/>
  <c r="BA39" i="11"/>
  <c r="T29" i="8"/>
  <c r="BB39" i="11"/>
  <c r="BC39" i="11"/>
  <c r="BD39" i="11"/>
  <c r="U29" i="8"/>
  <c r="BE39" i="11"/>
  <c r="BF39" i="11"/>
  <c r="BG39" i="11"/>
  <c r="V29" i="8"/>
  <c r="BH39" i="11"/>
  <c r="BI39" i="11"/>
  <c r="BJ39" i="11"/>
  <c r="W29" i="8"/>
  <c r="BK39" i="11"/>
  <c r="BM39" i="11"/>
  <c r="X29" i="8"/>
  <c r="BN39" i="11"/>
  <c r="BO39" i="11"/>
  <c r="BP39" i="11"/>
  <c r="Y29" i="8"/>
  <c r="BQ39" i="11"/>
  <c r="BR39" i="11"/>
  <c r="BS39" i="11"/>
  <c r="Z29" i="8"/>
  <c r="BT39" i="11"/>
  <c r="BU39" i="11"/>
  <c r="BV39" i="11"/>
  <c r="AA29" i="8"/>
  <c r="BW39" i="11"/>
  <c r="BX39" i="11"/>
  <c r="BY39" i="11"/>
  <c r="AB29" i="8"/>
  <c r="BZ39" i="11"/>
  <c r="CA39" i="11"/>
  <c r="CB39" i="11"/>
  <c r="AC29" i="8"/>
  <c r="CC39" i="11"/>
  <c r="CD39" i="11"/>
  <c r="CE39" i="11"/>
  <c r="AD29" i="8"/>
  <c r="CF39" i="11"/>
  <c r="CG39" i="11"/>
  <c r="CH39" i="11"/>
  <c r="AE29" i="8"/>
  <c r="CI39" i="11"/>
  <c r="CK39" i="11"/>
  <c r="AF29" i="8"/>
  <c r="CL39" i="11"/>
  <c r="CM39" i="11"/>
  <c r="CN39" i="11"/>
  <c r="AG29" i="8"/>
  <c r="CO39" i="11"/>
  <c r="CP39" i="11"/>
  <c r="CQ39" i="11"/>
  <c r="AH29" i="8"/>
  <c r="CR39" i="11"/>
  <c r="CS39" i="11"/>
  <c r="CT39" i="11"/>
  <c r="AI29" i="8"/>
  <c r="CU39" i="11"/>
  <c r="CV39" i="11"/>
  <c r="CW39" i="11"/>
  <c r="AJ29" i="8"/>
  <c r="CX39" i="11"/>
  <c r="CY39" i="11"/>
  <c r="CZ39" i="11"/>
  <c r="AK29" i="8"/>
  <c r="DA39" i="11"/>
  <c r="DB39" i="11"/>
  <c r="DC39" i="11"/>
  <c r="DD39" i="11"/>
  <c r="DE39" i="11"/>
  <c r="B40" i="11"/>
  <c r="C30" i="8"/>
  <c r="C40" i="11"/>
  <c r="E40" i="11"/>
  <c r="D30" i="8"/>
  <c r="F40" i="11"/>
  <c r="G40" i="11"/>
  <c r="H40" i="11"/>
  <c r="E30" i="8"/>
  <c r="I40" i="11"/>
  <c r="J40" i="11"/>
  <c r="K40" i="11"/>
  <c r="F30" i="8"/>
  <c r="L40" i="11"/>
  <c r="M40" i="11"/>
  <c r="N40" i="11"/>
  <c r="G30" i="8"/>
  <c r="O40" i="11"/>
  <c r="P40" i="11"/>
  <c r="Q40" i="11"/>
  <c r="H30" i="8"/>
  <c r="R40" i="11"/>
  <c r="S40" i="11"/>
  <c r="T40" i="11"/>
  <c r="I30" i="8"/>
  <c r="U40" i="11"/>
  <c r="V40" i="11"/>
  <c r="W40" i="11"/>
  <c r="J30" i="8"/>
  <c r="X40" i="11"/>
  <c r="Y40" i="11"/>
  <c r="Z40" i="11"/>
  <c r="K30" i="8"/>
  <c r="AA40" i="11"/>
  <c r="AC40" i="11"/>
  <c r="L30" i="8"/>
  <c r="AD40" i="11"/>
  <c r="AE40" i="11"/>
  <c r="AF40" i="11"/>
  <c r="M30" i="8"/>
  <c r="AG40" i="11"/>
  <c r="AH40" i="11"/>
  <c r="AI40" i="11"/>
  <c r="N30" i="8"/>
  <c r="AJ40" i="11"/>
  <c r="AK40" i="11"/>
  <c r="AL40" i="11"/>
  <c r="O30" i="8"/>
  <c r="AM40" i="11"/>
  <c r="AN40" i="11"/>
  <c r="AO40" i="11"/>
  <c r="P30" i="8"/>
  <c r="AP40" i="11"/>
  <c r="AQ40" i="11"/>
  <c r="AR40" i="11"/>
  <c r="Q30" i="8"/>
  <c r="AS40" i="11"/>
  <c r="AT40" i="11"/>
  <c r="AU40" i="11"/>
  <c r="R30" i="8"/>
  <c r="AV40" i="11"/>
  <c r="AW40" i="11"/>
  <c r="AX40" i="11"/>
  <c r="S30" i="8"/>
  <c r="AY40" i="11"/>
  <c r="BA40" i="11"/>
  <c r="T30" i="8"/>
  <c r="BB40" i="11"/>
  <c r="BC40" i="11"/>
  <c r="BD40" i="11"/>
  <c r="U30" i="8"/>
  <c r="BE40" i="11"/>
  <c r="BF40" i="11"/>
  <c r="BG40" i="11"/>
  <c r="V30" i="8"/>
  <c r="BH40" i="11"/>
  <c r="BI40" i="11"/>
  <c r="BJ40" i="11"/>
  <c r="W30" i="8"/>
  <c r="BK40" i="11"/>
  <c r="BL40" i="11"/>
  <c r="BM40" i="11"/>
  <c r="X30" i="8"/>
  <c r="BN40" i="11"/>
  <c r="BO40" i="11"/>
  <c r="BP40" i="11"/>
  <c r="Y30" i="8"/>
  <c r="BQ40" i="11"/>
  <c r="BR40" i="11"/>
  <c r="BS40" i="11"/>
  <c r="Z30" i="8"/>
  <c r="BT40" i="11"/>
  <c r="BU40" i="11"/>
  <c r="BV40" i="11"/>
  <c r="AA30" i="8"/>
  <c r="BW40" i="11"/>
  <c r="BY40" i="11"/>
  <c r="AB30" i="8"/>
  <c r="BZ40" i="11"/>
  <c r="CA40" i="11"/>
  <c r="CB40" i="11"/>
  <c r="AC30" i="8"/>
  <c r="CC40" i="11"/>
  <c r="CD40" i="11"/>
  <c r="CE40" i="11"/>
  <c r="AD30" i="8"/>
  <c r="CF40" i="11"/>
  <c r="CG40" i="11"/>
  <c r="CH40" i="11"/>
  <c r="AE30" i="8"/>
  <c r="CI40" i="11"/>
  <c r="CJ40" i="11"/>
  <c r="CK40" i="11"/>
  <c r="AF30" i="8"/>
  <c r="CL40" i="11"/>
  <c r="CM40" i="11"/>
  <c r="CN40" i="11"/>
  <c r="AG30" i="8"/>
  <c r="CO40" i="11"/>
  <c r="CP40" i="11"/>
  <c r="CQ40" i="11"/>
  <c r="AH30" i="8"/>
  <c r="CR40" i="11"/>
  <c r="CS40" i="11"/>
  <c r="CT40" i="11"/>
  <c r="AI30" i="8"/>
  <c r="CU40" i="11"/>
  <c r="CV40" i="11"/>
  <c r="CW40" i="11"/>
  <c r="AJ30" i="8"/>
  <c r="CX40" i="11"/>
  <c r="CY40" i="11"/>
  <c r="CZ40" i="11"/>
  <c r="AK30" i="8"/>
  <c r="DA40" i="11"/>
  <c r="DB40" i="11"/>
  <c r="DC40" i="11"/>
  <c r="DD40" i="11"/>
  <c r="DE40" i="11"/>
  <c r="B41" i="11"/>
  <c r="C33" i="8"/>
  <c r="C41" i="11"/>
  <c r="D41" i="11"/>
  <c r="E41" i="11"/>
  <c r="D33" i="8"/>
  <c r="F41" i="11"/>
  <c r="G41" i="11"/>
  <c r="H41" i="11"/>
  <c r="E33" i="8"/>
  <c r="I41" i="11"/>
  <c r="J41" i="11"/>
  <c r="K41" i="11"/>
  <c r="F33" i="8"/>
  <c r="L41" i="11"/>
  <c r="M41" i="11"/>
  <c r="N41" i="11"/>
  <c r="G33" i="8"/>
  <c r="O41" i="11"/>
  <c r="P41" i="11"/>
  <c r="Q41" i="11"/>
  <c r="H33" i="8"/>
  <c r="R41" i="11"/>
  <c r="S41" i="11"/>
  <c r="T41" i="11"/>
  <c r="I33" i="8"/>
  <c r="U41" i="11"/>
  <c r="V41" i="11"/>
  <c r="W41" i="11"/>
  <c r="J33" i="8"/>
  <c r="X41" i="11"/>
  <c r="Y41" i="11"/>
  <c r="Z41" i="11"/>
  <c r="K33" i="8"/>
  <c r="AA41" i="11"/>
  <c r="AB41" i="11"/>
  <c r="AC41" i="11"/>
  <c r="L33" i="8"/>
  <c r="AD41" i="11"/>
  <c r="AE41" i="11"/>
  <c r="AF41" i="11"/>
  <c r="M33" i="8"/>
  <c r="AG41" i="11"/>
  <c r="AH41" i="11"/>
  <c r="AI41" i="11"/>
  <c r="N33" i="8"/>
  <c r="AJ41" i="11"/>
  <c r="AK41" i="11"/>
  <c r="AL41" i="11"/>
  <c r="O33" i="8"/>
  <c r="AM41" i="11"/>
  <c r="AN41" i="11"/>
  <c r="AO41" i="11"/>
  <c r="P33" i="8"/>
  <c r="AP41" i="11"/>
  <c r="AQ41" i="11"/>
  <c r="AR41" i="11"/>
  <c r="Q33" i="8"/>
  <c r="AS41" i="11"/>
  <c r="AT41" i="11"/>
  <c r="AU41" i="11"/>
  <c r="R33" i="8"/>
  <c r="AV41" i="11"/>
  <c r="AW41" i="11"/>
  <c r="AX41" i="11"/>
  <c r="S33" i="8"/>
  <c r="AY41" i="11"/>
  <c r="AZ41" i="11"/>
  <c r="BA41" i="11"/>
  <c r="T33" i="8"/>
  <c r="BB41" i="11"/>
  <c r="BC41" i="11"/>
  <c r="BD41" i="11"/>
  <c r="U33" i="8"/>
  <c r="BE41" i="11"/>
  <c r="BF41" i="11"/>
  <c r="BG41" i="11"/>
  <c r="V33" i="8"/>
  <c r="BH41" i="11"/>
  <c r="BI41" i="11"/>
  <c r="BJ41" i="11"/>
  <c r="W33" i="8"/>
  <c r="BK41" i="11"/>
  <c r="BL41" i="11"/>
  <c r="BM41" i="11"/>
  <c r="X33" i="8"/>
  <c r="BN41" i="11"/>
  <c r="BO41" i="11"/>
  <c r="BP41" i="11"/>
  <c r="Y33" i="8"/>
  <c r="BQ41" i="11"/>
  <c r="BR41" i="11"/>
  <c r="BS41" i="11"/>
  <c r="Z33" i="8"/>
  <c r="BT41" i="11"/>
  <c r="BU41" i="11"/>
  <c r="BV41" i="11"/>
  <c r="AA33" i="8"/>
  <c r="BW41" i="11"/>
  <c r="BX41" i="11"/>
  <c r="BY41" i="11"/>
  <c r="AB33" i="8"/>
  <c r="BZ41" i="11"/>
  <c r="CA41" i="11"/>
  <c r="CB41" i="11"/>
  <c r="AC33" i="8"/>
  <c r="CC41" i="11"/>
  <c r="CD41" i="11"/>
  <c r="CE41" i="11"/>
  <c r="AD33" i="8"/>
  <c r="CF41" i="11"/>
  <c r="CG41" i="11"/>
  <c r="CH41" i="11"/>
  <c r="AE33" i="8"/>
  <c r="CI41" i="11"/>
  <c r="CJ41" i="11"/>
  <c r="CK41" i="11"/>
  <c r="AF33" i="8"/>
  <c r="CL41" i="11"/>
  <c r="CM41" i="11"/>
  <c r="CN41" i="11"/>
  <c r="AG33" i="8"/>
  <c r="CO41" i="11"/>
  <c r="CP41" i="11"/>
  <c r="CQ41" i="11"/>
  <c r="AH33" i="8"/>
  <c r="CR41" i="11"/>
  <c r="CS41" i="11"/>
  <c r="CT41" i="11"/>
  <c r="AI33" i="8"/>
  <c r="CU41" i="11"/>
  <c r="CV41" i="11"/>
  <c r="CW41" i="11"/>
  <c r="AJ33" i="8"/>
  <c r="CX41" i="11"/>
  <c r="CY41" i="11"/>
  <c r="CZ41" i="11"/>
  <c r="AK33" i="8"/>
  <c r="DA41" i="11"/>
  <c r="DB41" i="11"/>
  <c r="DC41" i="11"/>
  <c r="DD41" i="11"/>
  <c r="DE41" i="11"/>
  <c r="C34" i="8"/>
  <c r="C42" i="11"/>
  <c r="D42" i="11"/>
  <c r="D34" i="8"/>
  <c r="F42" i="11"/>
  <c r="G42" i="11"/>
  <c r="E34" i="8"/>
  <c r="I42" i="11"/>
  <c r="J42" i="11"/>
  <c r="F34" i="8"/>
  <c r="L42" i="11"/>
  <c r="M42" i="11"/>
  <c r="G34" i="8"/>
  <c r="O42" i="11"/>
  <c r="P42" i="11"/>
  <c r="H34" i="8"/>
  <c r="R42" i="11"/>
  <c r="S42" i="11"/>
  <c r="I34" i="8"/>
  <c r="U42" i="11"/>
  <c r="V42" i="11"/>
  <c r="J34" i="8"/>
  <c r="X42" i="11"/>
  <c r="Y42" i="11"/>
  <c r="K34" i="8"/>
  <c r="AA42" i="11"/>
  <c r="AB42" i="11"/>
  <c r="L34" i="8"/>
  <c r="AD42" i="11"/>
  <c r="AE42" i="11"/>
  <c r="M34" i="8"/>
  <c r="AG42" i="11"/>
  <c r="AH42" i="11"/>
  <c r="N34" i="8"/>
  <c r="AJ42" i="11"/>
  <c r="AK42" i="11"/>
  <c r="O34" i="8"/>
  <c r="AM42" i="11"/>
  <c r="AN42" i="11"/>
  <c r="P34" i="8"/>
  <c r="AP42" i="11"/>
  <c r="AQ42" i="11"/>
  <c r="Q34" i="8"/>
  <c r="AS42" i="11"/>
  <c r="AT42" i="11"/>
  <c r="R34" i="8"/>
  <c r="AV42" i="11"/>
  <c r="AW42" i="11"/>
  <c r="S34" i="8"/>
  <c r="AY42" i="11"/>
  <c r="AZ42" i="11"/>
  <c r="T34" i="8"/>
  <c r="BB42" i="11"/>
  <c r="BC42" i="11"/>
  <c r="U34" i="8"/>
  <c r="BE42" i="11"/>
  <c r="BF42" i="11"/>
  <c r="V34" i="8"/>
  <c r="BH42" i="11"/>
  <c r="BI42" i="11"/>
  <c r="W34" i="8"/>
  <c r="BK42" i="11"/>
  <c r="BL42" i="11"/>
  <c r="X34" i="8"/>
  <c r="BN42" i="11"/>
  <c r="BO42" i="11"/>
  <c r="Y34" i="8"/>
  <c r="BQ42" i="11"/>
  <c r="BR42" i="11"/>
  <c r="Z34" i="8"/>
  <c r="BT42" i="11"/>
  <c r="BU42" i="11"/>
  <c r="AA34" i="8"/>
  <c r="BW42" i="11"/>
  <c r="BX42" i="11"/>
  <c r="AB34" i="8"/>
  <c r="BZ42" i="11"/>
  <c r="CA42" i="11"/>
  <c r="AC34" i="8"/>
  <c r="CC42" i="11"/>
  <c r="CD42" i="11"/>
  <c r="AD34" i="8"/>
  <c r="CF42" i="11"/>
  <c r="CG42" i="11"/>
  <c r="AE34" i="8"/>
  <c r="CI42" i="11"/>
  <c r="CJ42" i="11"/>
  <c r="AF34" i="8"/>
  <c r="CL42" i="11"/>
  <c r="CM42" i="11"/>
  <c r="AG34" i="8"/>
  <c r="CO42" i="11"/>
  <c r="CP42" i="11"/>
  <c r="AH34" i="8"/>
  <c r="CR42" i="11"/>
  <c r="CS42" i="11"/>
  <c r="AI34" i="8"/>
  <c r="CU42" i="11"/>
  <c r="CV42" i="11"/>
  <c r="AJ34" i="8"/>
  <c r="CX42" i="11"/>
  <c r="CY42" i="11"/>
  <c r="AK34" i="8"/>
  <c r="DA42" i="11"/>
  <c r="DB42" i="11"/>
  <c r="DD42" i="11"/>
  <c r="DE42" i="11"/>
  <c r="B43" i="11"/>
  <c r="D43" i="11"/>
  <c r="E43" i="11"/>
  <c r="G43" i="11"/>
  <c r="H43" i="11"/>
  <c r="J43" i="11"/>
  <c r="K43" i="11"/>
  <c r="M43" i="11"/>
  <c r="N43" i="11"/>
  <c r="P43" i="11"/>
  <c r="Q43" i="11"/>
  <c r="S43" i="11"/>
  <c r="T43" i="11"/>
  <c r="V43" i="11"/>
  <c r="W43" i="11"/>
  <c r="Y43" i="11"/>
  <c r="Z43" i="11"/>
  <c r="AB43" i="11"/>
  <c r="AC43" i="11"/>
  <c r="AE43" i="11"/>
  <c r="AF43" i="11"/>
  <c r="AH43" i="11"/>
  <c r="AI43" i="11"/>
  <c r="AK43" i="11"/>
  <c r="AL43" i="11"/>
  <c r="AN43" i="11"/>
  <c r="AO43" i="11"/>
  <c r="AQ43" i="11"/>
  <c r="AR43" i="11"/>
  <c r="AT43" i="11"/>
  <c r="AU43" i="11"/>
  <c r="AW43" i="11"/>
  <c r="AX43" i="11"/>
  <c r="AZ43" i="11"/>
  <c r="BA43" i="11"/>
  <c r="BC43" i="11"/>
  <c r="BD43" i="11"/>
  <c r="BF43" i="11"/>
  <c r="BG43" i="11"/>
  <c r="BI43" i="11"/>
  <c r="BJ43" i="11"/>
  <c r="BL43" i="11"/>
  <c r="BM43" i="11"/>
  <c r="BO43" i="11"/>
  <c r="BP43" i="11"/>
  <c r="BR43" i="11"/>
  <c r="BS43" i="11"/>
  <c r="BU43" i="11"/>
  <c r="BV43" i="11"/>
  <c r="BX43" i="11"/>
  <c r="BY43" i="11"/>
  <c r="CA43" i="11"/>
  <c r="CB43" i="11"/>
  <c r="CD43" i="11"/>
  <c r="CE43" i="11"/>
  <c r="CG43" i="11"/>
  <c r="CH43" i="11"/>
  <c r="CJ43" i="11"/>
  <c r="CK43" i="11"/>
  <c r="CM43" i="11"/>
  <c r="CN43" i="11"/>
  <c r="CP43" i="11"/>
  <c r="CQ43" i="11"/>
  <c r="CS43" i="11"/>
  <c r="CT43" i="11"/>
  <c r="CV43" i="11"/>
  <c r="CW43" i="11"/>
  <c r="CY43" i="11"/>
  <c r="CZ43" i="11"/>
  <c r="DB43" i="11"/>
  <c r="DC43" i="11"/>
  <c r="DE43" i="11"/>
  <c r="B44" i="11"/>
  <c r="C35" i="8"/>
  <c r="C44" i="11"/>
  <c r="D44" i="11"/>
  <c r="E44" i="11"/>
  <c r="D35" i="8"/>
  <c r="F44" i="11"/>
  <c r="G44" i="11"/>
  <c r="H44" i="11"/>
  <c r="E35" i="8"/>
  <c r="I44" i="11"/>
  <c r="J44" i="11"/>
  <c r="K44" i="11"/>
  <c r="F35" i="8"/>
  <c r="L44" i="11"/>
  <c r="M44" i="11"/>
  <c r="N44" i="11"/>
  <c r="G35" i="8"/>
  <c r="O44" i="11"/>
  <c r="P44" i="11"/>
  <c r="Q44" i="11"/>
  <c r="H35" i="8"/>
  <c r="R44" i="11"/>
  <c r="S44" i="11"/>
  <c r="T44" i="11"/>
  <c r="I35" i="8"/>
  <c r="U44" i="11"/>
  <c r="V44" i="11"/>
  <c r="W44" i="11"/>
  <c r="J35" i="8"/>
  <c r="X44" i="11"/>
  <c r="Y44" i="11"/>
  <c r="Z44" i="11"/>
  <c r="K35" i="8"/>
  <c r="AA44" i="11"/>
  <c r="AB44" i="11"/>
  <c r="AC44" i="11"/>
  <c r="L35" i="8"/>
  <c r="AD44" i="11"/>
  <c r="AE44" i="11"/>
  <c r="AF44" i="11"/>
  <c r="M35" i="8"/>
  <c r="AG44" i="11"/>
  <c r="AH44" i="11"/>
  <c r="AI44" i="11"/>
  <c r="N35" i="8"/>
  <c r="AJ44" i="11"/>
  <c r="AK44" i="11"/>
  <c r="AL44" i="11"/>
  <c r="O35" i="8"/>
  <c r="AM44" i="11"/>
  <c r="AN44" i="11"/>
  <c r="AO44" i="11"/>
  <c r="P35" i="8"/>
  <c r="AP44" i="11"/>
  <c r="AQ44" i="11"/>
  <c r="AR44" i="11"/>
  <c r="Q35" i="8"/>
  <c r="AS44" i="11"/>
  <c r="AT44" i="11"/>
  <c r="AU44" i="11"/>
  <c r="R35" i="8"/>
  <c r="AV44" i="11"/>
  <c r="AW44" i="11"/>
  <c r="AX44" i="11"/>
  <c r="S35" i="8"/>
  <c r="AY44" i="11"/>
  <c r="AZ44" i="11"/>
  <c r="BA44" i="11"/>
  <c r="T35" i="8"/>
  <c r="BB44" i="11"/>
  <c r="BC44" i="11"/>
  <c r="BD44" i="11"/>
  <c r="U35" i="8"/>
  <c r="BE44" i="11"/>
  <c r="BF44" i="11"/>
  <c r="BG44" i="11"/>
  <c r="V35" i="8"/>
  <c r="BH44" i="11"/>
  <c r="BI44" i="11"/>
  <c r="BJ44" i="11"/>
  <c r="W35" i="8"/>
  <c r="BK44" i="11"/>
  <c r="BL44" i="11"/>
  <c r="BM44" i="11"/>
  <c r="X35" i="8"/>
  <c r="BN44" i="11"/>
  <c r="BO44" i="11"/>
  <c r="BP44" i="11"/>
  <c r="Y35" i="8"/>
  <c r="BQ44" i="11"/>
  <c r="BR44" i="11"/>
  <c r="BS44" i="11"/>
  <c r="Z35" i="8"/>
  <c r="BT44" i="11"/>
  <c r="BU44" i="11"/>
  <c r="BV44" i="11"/>
  <c r="AA35" i="8"/>
  <c r="BW44" i="11"/>
  <c r="BX44" i="11"/>
  <c r="BY44" i="11"/>
  <c r="AB35" i="8"/>
  <c r="BZ44" i="11"/>
  <c r="CA44" i="11"/>
  <c r="CB44" i="11"/>
  <c r="AC35" i="8"/>
  <c r="CC44" i="11"/>
  <c r="CD44" i="11"/>
  <c r="CE44" i="11"/>
  <c r="AD35" i="8"/>
  <c r="CF44" i="11"/>
  <c r="CG44" i="11"/>
  <c r="CH44" i="11"/>
  <c r="AE35" i="8"/>
  <c r="CI44" i="11"/>
  <c r="CJ44" i="11"/>
  <c r="CK44" i="11"/>
  <c r="AF35" i="8"/>
  <c r="CL44" i="11"/>
  <c r="CM44" i="11"/>
  <c r="CN44" i="11"/>
  <c r="AG35" i="8"/>
  <c r="CO44" i="11"/>
  <c r="CP44" i="11"/>
  <c r="CQ44" i="11"/>
  <c r="AH35" i="8"/>
  <c r="CR44" i="11"/>
  <c r="CS44" i="11"/>
  <c r="CT44" i="11"/>
  <c r="AI35" i="8"/>
  <c r="CU44" i="11"/>
  <c r="CV44" i="11"/>
  <c r="CW44" i="11"/>
  <c r="AJ35" i="8"/>
  <c r="CX44" i="11"/>
  <c r="CY44" i="11"/>
  <c r="CZ44" i="11"/>
  <c r="AK35" i="8"/>
  <c r="DA44" i="11"/>
  <c r="DB44" i="11"/>
  <c r="DC44" i="11"/>
  <c r="DD44" i="11"/>
  <c r="DE44" i="11"/>
  <c r="B45" i="11"/>
  <c r="E45" i="11"/>
  <c r="H45" i="11"/>
  <c r="K45" i="11"/>
  <c r="N45" i="11"/>
  <c r="Q45" i="11"/>
  <c r="T45" i="11"/>
  <c r="W45" i="11"/>
  <c r="Z45" i="11"/>
  <c r="AC45" i="11"/>
  <c r="AF45" i="11"/>
  <c r="AI45" i="11"/>
  <c r="AL45" i="11"/>
  <c r="AO45" i="11"/>
  <c r="AR45" i="11"/>
  <c r="AU45" i="11"/>
  <c r="AX45" i="11"/>
  <c r="BA45" i="11"/>
  <c r="BD45" i="11"/>
  <c r="BG45" i="11"/>
  <c r="BJ45" i="11"/>
  <c r="BM45" i="11"/>
  <c r="BP45" i="11"/>
  <c r="BS45" i="11"/>
  <c r="BV45" i="11"/>
  <c r="BY45" i="11"/>
  <c r="CB45" i="11"/>
  <c r="CE45" i="11"/>
  <c r="CH45" i="11"/>
  <c r="CK45" i="11"/>
  <c r="CN45" i="11"/>
  <c r="CQ45" i="11"/>
  <c r="CT45" i="11"/>
  <c r="CW45" i="11"/>
  <c r="CZ45" i="11"/>
  <c r="DC45" i="11"/>
  <c r="B46" i="11"/>
  <c r="E46" i="11"/>
  <c r="H46" i="11"/>
  <c r="K46" i="11"/>
  <c r="N46" i="11"/>
  <c r="Q46" i="11"/>
  <c r="T46" i="11"/>
  <c r="W46" i="11"/>
  <c r="Z46" i="11"/>
  <c r="AC46" i="11"/>
  <c r="AF46" i="11"/>
  <c r="AI46" i="11"/>
  <c r="AL46" i="11"/>
  <c r="AO46" i="11"/>
  <c r="AR46" i="11"/>
  <c r="AU46" i="11"/>
  <c r="AX46" i="11"/>
  <c r="BA46" i="11"/>
  <c r="BD46" i="11"/>
  <c r="BG46" i="11"/>
  <c r="BJ46" i="11"/>
  <c r="BM46" i="11"/>
  <c r="BP46" i="11"/>
  <c r="BS46" i="11"/>
  <c r="BV46" i="11"/>
  <c r="BY46" i="11"/>
  <c r="CB46" i="11"/>
  <c r="CE46" i="11"/>
  <c r="CH46" i="11"/>
  <c r="CK46" i="11"/>
  <c r="CN46" i="11"/>
  <c r="CQ46" i="11"/>
  <c r="CT46" i="11"/>
  <c r="CW46" i="11"/>
  <c r="CZ46" i="11"/>
  <c r="DC46" i="11"/>
  <c r="B47" i="11"/>
  <c r="E47" i="11"/>
  <c r="H47" i="11"/>
  <c r="K47" i="11"/>
  <c r="N47" i="11"/>
  <c r="Q47" i="11"/>
  <c r="T47" i="11"/>
  <c r="W47" i="11"/>
  <c r="Z47" i="11"/>
  <c r="AC47" i="11"/>
  <c r="AF47" i="11"/>
  <c r="AI47" i="11"/>
  <c r="AL47" i="11"/>
  <c r="AO47" i="11"/>
  <c r="AR47" i="11"/>
  <c r="AU47" i="11"/>
  <c r="AX47" i="11"/>
  <c r="BA47" i="11"/>
  <c r="BD47" i="11"/>
  <c r="BG47" i="11"/>
  <c r="BJ47" i="11"/>
  <c r="BM47" i="11"/>
  <c r="BP47" i="11"/>
  <c r="BS47" i="11"/>
  <c r="BV47" i="11"/>
  <c r="BY47" i="11"/>
  <c r="CB47" i="11"/>
  <c r="CE47" i="11"/>
  <c r="CH47" i="11"/>
  <c r="CK47" i="11"/>
  <c r="CN47" i="11"/>
  <c r="CQ47" i="11"/>
  <c r="CT47" i="11"/>
  <c r="CW47" i="11"/>
  <c r="CZ47" i="11"/>
  <c r="DC47" i="11"/>
  <c r="B48" i="11"/>
  <c r="E48" i="11"/>
  <c r="H48" i="11"/>
  <c r="K48" i="11"/>
  <c r="N48" i="11"/>
  <c r="Q48" i="11"/>
  <c r="T48" i="11"/>
  <c r="W48" i="11"/>
  <c r="Z48" i="11"/>
  <c r="AC48" i="11"/>
  <c r="AF48" i="11"/>
  <c r="AI48" i="11"/>
  <c r="AL48" i="11"/>
  <c r="AO48" i="11"/>
  <c r="AR48" i="11"/>
  <c r="AU48" i="11"/>
  <c r="AX48" i="11"/>
  <c r="BA48" i="11"/>
  <c r="BD48" i="11"/>
  <c r="BG48" i="11"/>
  <c r="BJ48" i="11"/>
  <c r="BM48" i="11"/>
  <c r="BP48" i="11"/>
  <c r="BS48" i="11"/>
  <c r="BV48" i="11"/>
  <c r="BY48" i="11"/>
  <c r="CB48" i="11"/>
  <c r="CE48" i="11"/>
  <c r="CH48" i="11"/>
  <c r="CK48" i="11"/>
  <c r="CN48" i="11"/>
  <c r="CQ48" i="11"/>
  <c r="CT48" i="11"/>
  <c r="CW48" i="11"/>
  <c r="CZ48" i="11"/>
  <c r="DC48" i="11"/>
  <c r="B49" i="11"/>
  <c r="C36" i="8"/>
  <c r="C49" i="11"/>
  <c r="D49" i="11"/>
  <c r="E49" i="11"/>
  <c r="D36" i="8"/>
  <c r="F49" i="11"/>
  <c r="G49" i="11"/>
  <c r="H49" i="11"/>
  <c r="E36" i="8"/>
  <c r="I49" i="11"/>
  <c r="J49" i="11"/>
  <c r="K49" i="11"/>
  <c r="F36" i="8"/>
  <c r="L49" i="11"/>
  <c r="M49" i="11"/>
  <c r="N49" i="11"/>
  <c r="G36" i="8"/>
  <c r="O49" i="11"/>
  <c r="P49" i="11"/>
  <c r="Q49" i="11"/>
  <c r="H36" i="8"/>
  <c r="R49" i="11"/>
  <c r="S49" i="11"/>
  <c r="T49" i="11"/>
  <c r="I36" i="8"/>
  <c r="U49" i="11"/>
  <c r="V49" i="11"/>
  <c r="W49" i="11"/>
  <c r="J36" i="8"/>
  <c r="X49" i="11"/>
  <c r="Y49" i="11"/>
  <c r="Z49" i="11"/>
  <c r="K36" i="8"/>
  <c r="AA49" i="11"/>
  <c r="AB49" i="11"/>
  <c r="AC49" i="11"/>
  <c r="L36" i="8"/>
  <c r="AD49" i="11"/>
  <c r="AE49" i="11"/>
  <c r="AF49" i="11"/>
  <c r="M36" i="8"/>
  <c r="AG49" i="11"/>
  <c r="AH49" i="11"/>
  <c r="AI49" i="11"/>
  <c r="N36" i="8"/>
  <c r="AJ49" i="11"/>
  <c r="AK49" i="11"/>
  <c r="AL49" i="11"/>
  <c r="O36" i="8"/>
  <c r="AM49" i="11"/>
  <c r="AN49" i="11"/>
  <c r="AO49" i="11"/>
  <c r="P36" i="8"/>
  <c r="AP49" i="11"/>
  <c r="AQ49" i="11"/>
  <c r="AR49" i="11"/>
  <c r="Q36" i="8"/>
  <c r="AS49" i="11"/>
  <c r="AT49" i="11"/>
  <c r="AU49" i="11"/>
  <c r="R36" i="8"/>
  <c r="AV49" i="11"/>
  <c r="AW49" i="11"/>
  <c r="AX49" i="11"/>
  <c r="S36" i="8"/>
  <c r="AY49" i="11"/>
  <c r="AZ49" i="11"/>
  <c r="BA49" i="11"/>
  <c r="T36" i="8"/>
  <c r="BB49" i="11"/>
  <c r="BC49" i="11"/>
  <c r="BD49" i="11"/>
  <c r="U36" i="8"/>
  <c r="BE49" i="11"/>
  <c r="BF49" i="11"/>
  <c r="BG49" i="11"/>
  <c r="V36" i="8"/>
  <c r="BH49" i="11"/>
  <c r="BI49" i="11"/>
  <c r="BJ49" i="11"/>
  <c r="W36" i="8"/>
  <c r="BK49" i="11"/>
  <c r="BL49" i="11"/>
  <c r="BM49" i="11"/>
  <c r="X36" i="8"/>
  <c r="BN49" i="11"/>
  <c r="BO49" i="11"/>
  <c r="BP49" i="11"/>
  <c r="Y36" i="8"/>
  <c r="BQ49" i="11"/>
  <c r="BR49" i="11"/>
  <c r="BS49" i="11"/>
  <c r="Z36" i="8"/>
  <c r="BT49" i="11"/>
  <c r="BU49" i="11"/>
  <c r="BV49" i="11"/>
  <c r="AA36" i="8"/>
  <c r="BW49" i="11"/>
  <c r="BX49" i="11"/>
  <c r="BY49" i="11"/>
  <c r="AB36" i="8"/>
  <c r="BZ49" i="11"/>
  <c r="CA49" i="11"/>
  <c r="CB49" i="11"/>
  <c r="AC36" i="8"/>
  <c r="CC49" i="11"/>
  <c r="CD49" i="11"/>
  <c r="CE49" i="11"/>
  <c r="AD36" i="8"/>
  <c r="CF49" i="11"/>
  <c r="CG49" i="11"/>
  <c r="CH49" i="11"/>
  <c r="AE36" i="8"/>
  <c r="CI49" i="11"/>
  <c r="CJ49" i="11"/>
  <c r="CK49" i="11"/>
  <c r="AF36" i="8"/>
  <c r="CL49" i="11"/>
  <c r="CM49" i="11"/>
  <c r="CN49" i="11"/>
  <c r="AG36" i="8"/>
  <c r="CO49" i="11"/>
  <c r="CP49" i="11"/>
  <c r="CQ49" i="11"/>
  <c r="AH36" i="8"/>
  <c r="CR49" i="11"/>
  <c r="CS49" i="11"/>
  <c r="CT49" i="11"/>
  <c r="AI36" i="8"/>
  <c r="CU49" i="11"/>
  <c r="CV49" i="11"/>
  <c r="CW49" i="11"/>
  <c r="AJ36" i="8"/>
  <c r="CX49" i="11"/>
  <c r="CY49" i="11"/>
  <c r="CZ49" i="11"/>
  <c r="AK36" i="8"/>
  <c r="DA49" i="11"/>
  <c r="DB49" i="11"/>
  <c r="DC49" i="11"/>
  <c r="DD49" i="11"/>
  <c r="DE49" i="11"/>
  <c r="B50" i="11"/>
  <c r="C37" i="8"/>
  <c r="C50" i="11"/>
  <c r="D50" i="11"/>
  <c r="E50" i="11"/>
  <c r="D37" i="8"/>
  <c r="F50" i="11"/>
  <c r="G50" i="11"/>
  <c r="H50" i="11"/>
  <c r="E37" i="8"/>
  <c r="I50" i="11"/>
  <c r="J50" i="11"/>
  <c r="K50" i="11"/>
  <c r="F37" i="8"/>
  <c r="L50" i="11"/>
  <c r="M50" i="11"/>
  <c r="N50" i="11"/>
  <c r="G37" i="8"/>
  <c r="O50" i="11"/>
  <c r="P50" i="11"/>
  <c r="Q50" i="11"/>
  <c r="H37" i="8"/>
  <c r="R50" i="11"/>
  <c r="S50" i="11"/>
  <c r="T50" i="11"/>
  <c r="I37" i="8"/>
  <c r="U50" i="11"/>
  <c r="V50" i="11"/>
  <c r="W50" i="11"/>
  <c r="J37" i="8"/>
  <c r="X50" i="11"/>
  <c r="Y50" i="11"/>
  <c r="Z50" i="11"/>
  <c r="K37" i="8"/>
  <c r="AA50" i="11"/>
  <c r="AB50" i="11"/>
  <c r="AC50" i="11"/>
  <c r="L37" i="8"/>
  <c r="AD50" i="11"/>
  <c r="AE50" i="11"/>
  <c r="AF50" i="11"/>
  <c r="M37" i="8"/>
  <c r="AG50" i="11"/>
  <c r="AH50" i="11"/>
  <c r="AI50" i="11"/>
  <c r="N37" i="8"/>
  <c r="AJ50" i="11"/>
  <c r="AK50" i="11"/>
  <c r="AL50" i="11"/>
  <c r="O37" i="8"/>
  <c r="AM50" i="11"/>
  <c r="AN50" i="11"/>
  <c r="AO50" i="11"/>
  <c r="P37" i="8"/>
  <c r="AP50" i="11"/>
  <c r="AQ50" i="11"/>
  <c r="AR50" i="11"/>
  <c r="Q37" i="8"/>
  <c r="AS50" i="11"/>
  <c r="AT50" i="11"/>
  <c r="AU50" i="11"/>
  <c r="R37" i="8"/>
  <c r="AV50" i="11"/>
  <c r="AW50" i="11"/>
  <c r="AX50" i="11"/>
  <c r="S37" i="8"/>
  <c r="AY50" i="11"/>
  <c r="AZ50" i="11"/>
  <c r="BA50" i="11"/>
  <c r="T37" i="8"/>
  <c r="BB50" i="11"/>
  <c r="BC50" i="11"/>
  <c r="BD50" i="11"/>
  <c r="U37" i="8"/>
  <c r="BE50" i="11"/>
  <c r="BF50" i="11"/>
  <c r="BG50" i="11"/>
  <c r="V37" i="8"/>
  <c r="BH50" i="11"/>
  <c r="BI50" i="11"/>
  <c r="BJ50" i="11"/>
  <c r="W37" i="8"/>
  <c r="BK50" i="11"/>
  <c r="BL50" i="11"/>
  <c r="BM50" i="11"/>
  <c r="X37" i="8"/>
  <c r="BN50" i="11"/>
  <c r="BO50" i="11"/>
  <c r="BP50" i="11"/>
  <c r="Y37" i="8"/>
  <c r="BQ50" i="11"/>
  <c r="BR50" i="11"/>
  <c r="BS50" i="11"/>
  <c r="Z37" i="8"/>
  <c r="BT50" i="11"/>
  <c r="BU50" i="11"/>
  <c r="BV50" i="11"/>
  <c r="AA37" i="8"/>
  <c r="BW50" i="11"/>
  <c r="BX50" i="11"/>
  <c r="BY50" i="11"/>
  <c r="AB37" i="8"/>
  <c r="BZ50" i="11"/>
  <c r="CA50" i="11"/>
  <c r="CB50" i="11"/>
  <c r="AC37" i="8"/>
  <c r="CC50" i="11"/>
  <c r="CD50" i="11"/>
  <c r="CE50" i="11"/>
  <c r="AD37" i="8"/>
  <c r="CF50" i="11"/>
  <c r="CG50" i="11"/>
  <c r="CH50" i="11"/>
  <c r="AE37" i="8"/>
  <c r="CI50" i="11"/>
  <c r="CJ50" i="11"/>
  <c r="CK50" i="11"/>
  <c r="AF37" i="8"/>
  <c r="CL50" i="11"/>
  <c r="CM50" i="11"/>
  <c r="CN50" i="11"/>
  <c r="AG37" i="8"/>
  <c r="CO50" i="11"/>
  <c r="CP50" i="11"/>
  <c r="CQ50" i="11"/>
  <c r="AH37" i="8"/>
  <c r="CR50" i="11"/>
  <c r="CS50" i="11"/>
  <c r="CT50" i="11"/>
  <c r="AI37" i="8"/>
  <c r="CU50" i="11"/>
  <c r="CV50" i="11"/>
  <c r="CW50" i="11"/>
  <c r="AJ37" i="8"/>
  <c r="CX50" i="11"/>
  <c r="CY50" i="11"/>
  <c r="CZ50" i="11"/>
  <c r="AK37" i="8"/>
  <c r="DA50" i="11"/>
  <c r="DB50" i="11"/>
  <c r="DC50" i="11"/>
  <c r="DD50" i="11"/>
  <c r="DE50" i="11"/>
  <c r="B51" i="11"/>
  <c r="C38" i="8"/>
  <c r="C51" i="11"/>
  <c r="D51" i="11"/>
  <c r="E51" i="11"/>
  <c r="D38" i="8"/>
  <c r="F51" i="11"/>
  <c r="G51" i="11"/>
  <c r="H51" i="11"/>
  <c r="E38" i="8"/>
  <c r="I51" i="11"/>
  <c r="J51" i="11"/>
  <c r="K51" i="11"/>
  <c r="F38" i="8"/>
  <c r="L51" i="11"/>
  <c r="M51" i="11"/>
  <c r="N51" i="11"/>
  <c r="G38" i="8"/>
  <c r="O51" i="11"/>
  <c r="P51" i="11"/>
  <c r="Q51" i="11"/>
  <c r="H38" i="8"/>
  <c r="R51" i="11"/>
  <c r="S51" i="11"/>
  <c r="T51" i="11"/>
  <c r="I38" i="8"/>
  <c r="U51" i="11"/>
  <c r="V51" i="11"/>
  <c r="W51" i="11"/>
  <c r="J38" i="8"/>
  <c r="X51" i="11"/>
  <c r="Y51" i="11"/>
  <c r="Z51" i="11"/>
  <c r="K38" i="8"/>
  <c r="AA51" i="11"/>
  <c r="AB51" i="11"/>
  <c r="AC51" i="11"/>
  <c r="L38" i="8"/>
  <c r="AD51" i="11"/>
  <c r="AE51" i="11"/>
  <c r="AF51" i="11"/>
  <c r="M38" i="8"/>
  <c r="AG51" i="11"/>
  <c r="AH51" i="11"/>
  <c r="AI51" i="11"/>
  <c r="N38" i="8"/>
  <c r="AJ51" i="11"/>
  <c r="AL51" i="11"/>
  <c r="O38" i="8"/>
  <c r="AM51" i="11"/>
  <c r="AN51" i="11"/>
  <c r="AO51" i="11"/>
  <c r="P38" i="8"/>
  <c r="AP51" i="11"/>
  <c r="AQ51" i="11"/>
  <c r="AR51" i="11"/>
  <c r="Q38" i="8"/>
  <c r="AS51" i="11"/>
  <c r="AT51" i="11"/>
  <c r="AU51" i="11"/>
  <c r="R38" i="8"/>
  <c r="AV51" i="11"/>
  <c r="AW51" i="11"/>
  <c r="AX51" i="11"/>
  <c r="S38" i="8"/>
  <c r="AY51" i="11"/>
  <c r="AZ51" i="11"/>
  <c r="BA51" i="11"/>
  <c r="T38" i="8"/>
  <c r="BB51" i="11"/>
  <c r="BC51" i="11"/>
  <c r="BD51" i="11"/>
  <c r="U38" i="8"/>
  <c r="BE51" i="11"/>
  <c r="BF51" i="11"/>
  <c r="BG51" i="11"/>
  <c r="V38" i="8"/>
  <c r="BH51" i="11"/>
  <c r="BI51" i="11"/>
  <c r="BJ51" i="11"/>
  <c r="W38" i="8"/>
  <c r="BK51" i="11"/>
  <c r="BL51" i="11"/>
  <c r="BM51" i="11"/>
  <c r="X38" i="8"/>
  <c r="BN51" i="11"/>
  <c r="BO51" i="11"/>
  <c r="BP51" i="11"/>
  <c r="Y38" i="8"/>
  <c r="BQ51" i="11"/>
  <c r="BR51" i="11"/>
  <c r="BS51" i="11"/>
  <c r="Z38" i="8"/>
  <c r="BT51" i="11"/>
  <c r="BV51" i="11"/>
  <c r="AA38" i="8"/>
  <c r="BW51" i="11"/>
  <c r="BX51" i="11"/>
  <c r="BY51" i="11"/>
  <c r="AB38" i="8"/>
  <c r="BZ51" i="11"/>
  <c r="CA51" i="11"/>
  <c r="CB51" i="11"/>
  <c r="AC38" i="8"/>
  <c r="CC51" i="11"/>
  <c r="CD51" i="11"/>
  <c r="CE51" i="11"/>
  <c r="AD38" i="8"/>
  <c r="CF51" i="11"/>
  <c r="CG51" i="11"/>
  <c r="CH51" i="11"/>
  <c r="AE38" i="8"/>
  <c r="CI51" i="11"/>
  <c r="CJ51" i="11"/>
  <c r="CK51" i="11"/>
  <c r="AF38" i="8"/>
  <c r="CL51" i="11"/>
  <c r="CM51" i="11"/>
  <c r="CN51" i="11"/>
  <c r="AG38" i="8"/>
  <c r="CO51" i="11"/>
  <c r="CP51" i="11"/>
  <c r="CQ51" i="11"/>
  <c r="AH38" i="8"/>
  <c r="CR51" i="11"/>
  <c r="CS51" i="11"/>
  <c r="CT51" i="11"/>
  <c r="AI38" i="8"/>
  <c r="CU51" i="11"/>
  <c r="CV51" i="11"/>
  <c r="CW51" i="11"/>
  <c r="AJ38" i="8"/>
  <c r="CX51" i="11"/>
  <c r="CY51" i="11"/>
  <c r="CZ51" i="11"/>
  <c r="AK38" i="8"/>
  <c r="DA51" i="11"/>
  <c r="DB51" i="11"/>
  <c r="DC51" i="11"/>
  <c r="DD51" i="11"/>
  <c r="DE51" i="11"/>
  <c r="B52" i="11"/>
  <c r="D52" i="11"/>
  <c r="E52" i="11"/>
  <c r="G52" i="11"/>
  <c r="H52" i="11"/>
  <c r="J52" i="11"/>
  <c r="K52" i="11"/>
  <c r="M52" i="11"/>
  <c r="N52" i="11"/>
  <c r="P52" i="11"/>
  <c r="Q52" i="11"/>
  <c r="S52" i="11"/>
  <c r="T52" i="11"/>
  <c r="V52" i="11"/>
  <c r="W52" i="11"/>
  <c r="Y52" i="11"/>
  <c r="Z52" i="11"/>
  <c r="AB52" i="11"/>
  <c r="AC52" i="11"/>
  <c r="AE52" i="11"/>
  <c r="AF52" i="11"/>
  <c r="AH52" i="11"/>
  <c r="AI52" i="11"/>
  <c r="AK52" i="11"/>
  <c r="AL52" i="11"/>
  <c r="AN52" i="11"/>
  <c r="AO52" i="11"/>
  <c r="AQ52" i="11"/>
  <c r="AR52" i="11"/>
  <c r="AT52" i="11"/>
  <c r="AU52" i="11"/>
  <c r="AW52" i="11"/>
  <c r="AX52" i="11"/>
  <c r="AZ52" i="11"/>
  <c r="BA52" i="11"/>
  <c r="BC52" i="11"/>
  <c r="BD52" i="11"/>
  <c r="BF52" i="11"/>
  <c r="BG52" i="11"/>
  <c r="BI52" i="11"/>
  <c r="BJ52" i="11"/>
  <c r="BL52" i="11"/>
  <c r="BM52" i="11"/>
  <c r="BO52" i="11"/>
  <c r="BP52" i="11"/>
  <c r="BR52" i="11"/>
  <c r="BS52" i="11"/>
  <c r="BU52" i="11"/>
  <c r="BV52" i="11"/>
  <c r="BX52" i="11"/>
  <c r="BY52" i="11"/>
  <c r="CA52" i="11"/>
  <c r="CB52" i="11"/>
  <c r="CD52" i="11"/>
  <c r="CE52" i="11"/>
  <c r="CG52" i="11"/>
  <c r="CH52" i="11"/>
  <c r="CJ52" i="11"/>
  <c r="CK52" i="11"/>
  <c r="CM52" i="11"/>
  <c r="CN52" i="11"/>
  <c r="CP52" i="11"/>
  <c r="CQ52" i="11"/>
  <c r="CS52" i="11"/>
  <c r="CT52" i="11"/>
  <c r="CV52" i="11"/>
  <c r="CW52" i="11"/>
  <c r="CY52" i="11"/>
  <c r="CZ52" i="11"/>
  <c r="DB52" i="11"/>
  <c r="DC52" i="11"/>
  <c r="DE52" i="11"/>
  <c r="B53" i="11"/>
  <c r="C39" i="8"/>
  <c r="C53" i="11"/>
  <c r="D53" i="11"/>
  <c r="E53" i="11"/>
  <c r="D39" i="8"/>
  <c r="F53" i="11"/>
  <c r="G53" i="11"/>
  <c r="H53" i="11"/>
  <c r="E39" i="8"/>
  <c r="I53" i="11"/>
  <c r="J53" i="11"/>
  <c r="K53" i="11"/>
  <c r="F39" i="8"/>
  <c r="L53" i="11"/>
  <c r="M53" i="11"/>
  <c r="N53" i="11"/>
  <c r="G39" i="8"/>
  <c r="O53" i="11"/>
  <c r="P53" i="11"/>
  <c r="Q53" i="11"/>
  <c r="H39" i="8"/>
  <c r="R53" i="11"/>
  <c r="S53" i="11"/>
  <c r="T53" i="11"/>
  <c r="I39" i="8"/>
  <c r="U53" i="11"/>
  <c r="V53" i="11"/>
  <c r="W53" i="11"/>
  <c r="J39" i="8"/>
  <c r="X53" i="11"/>
  <c r="Y53" i="11"/>
  <c r="Z53" i="11"/>
  <c r="K39" i="8"/>
  <c r="AA53" i="11"/>
  <c r="AB53" i="11"/>
  <c r="AC53" i="11"/>
  <c r="L39" i="8"/>
  <c r="AD53" i="11"/>
  <c r="AE53" i="11"/>
  <c r="AF53" i="11"/>
  <c r="M39" i="8"/>
  <c r="AG53" i="11"/>
  <c r="AH53" i="11"/>
  <c r="AI53" i="11"/>
  <c r="N39" i="8"/>
  <c r="AJ53" i="11"/>
  <c r="AK53" i="11"/>
  <c r="AL53" i="11"/>
  <c r="O39" i="8"/>
  <c r="AM53" i="11"/>
  <c r="AN53" i="11"/>
  <c r="AO53" i="11"/>
  <c r="P39" i="8"/>
  <c r="AP53" i="11"/>
  <c r="AQ53" i="11"/>
  <c r="AR53" i="11"/>
  <c r="Q39" i="8"/>
  <c r="AS53" i="11"/>
  <c r="AT53" i="11"/>
  <c r="AU53" i="11"/>
  <c r="R39" i="8"/>
  <c r="AV53" i="11"/>
  <c r="AW53" i="11"/>
  <c r="AX53" i="11"/>
  <c r="S39" i="8"/>
  <c r="AY53" i="11"/>
  <c r="AZ53" i="11"/>
  <c r="BA53" i="11"/>
  <c r="T39" i="8"/>
  <c r="BB53" i="11"/>
  <c r="BC53" i="11"/>
  <c r="BD53" i="11"/>
  <c r="U39" i="8"/>
  <c r="BE53" i="11"/>
  <c r="BF53" i="11"/>
  <c r="BG53" i="11"/>
  <c r="V39" i="8"/>
  <c r="BH53" i="11"/>
  <c r="BI53" i="11"/>
  <c r="BJ53" i="11"/>
  <c r="W39" i="8"/>
  <c r="BK53" i="11"/>
  <c r="BL53" i="11"/>
  <c r="BM53" i="11"/>
  <c r="X39" i="8"/>
  <c r="BN53" i="11"/>
  <c r="BO53" i="11"/>
  <c r="BP53" i="11"/>
  <c r="Y39" i="8"/>
  <c r="BQ53" i="11"/>
  <c r="BR53" i="11"/>
  <c r="BS53" i="11"/>
  <c r="Z39" i="8"/>
  <c r="BT53" i="11"/>
  <c r="BU53" i="11"/>
  <c r="BV53" i="11"/>
  <c r="AA39" i="8"/>
  <c r="BW53" i="11"/>
  <c r="BX53" i="11"/>
  <c r="BY53" i="11"/>
  <c r="AB39" i="8"/>
  <c r="BZ53" i="11"/>
  <c r="CA53" i="11"/>
  <c r="CB53" i="11"/>
  <c r="AC39" i="8"/>
  <c r="CC53" i="11"/>
  <c r="CD53" i="11"/>
  <c r="CE53" i="11"/>
  <c r="AD39" i="8"/>
  <c r="CF53" i="11"/>
  <c r="CG53" i="11"/>
  <c r="CH53" i="11"/>
  <c r="AE39" i="8"/>
  <c r="CI53" i="11"/>
  <c r="CJ53" i="11"/>
  <c r="CK53" i="11"/>
  <c r="AF39" i="8"/>
  <c r="CL53" i="11"/>
  <c r="CM53" i="11"/>
  <c r="CN53" i="11"/>
  <c r="AG39" i="8"/>
  <c r="CO53" i="11"/>
  <c r="CP53" i="11"/>
  <c r="CQ53" i="11"/>
  <c r="AH39" i="8"/>
  <c r="CR53" i="11"/>
  <c r="CS53" i="11"/>
  <c r="CT53" i="11"/>
  <c r="AI39" i="8"/>
  <c r="CU53" i="11"/>
  <c r="CV53" i="11"/>
  <c r="CW53" i="11"/>
  <c r="AJ39" i="8"/>
  <c r="CX53" i="11"/>
  <c r="CY53" i="11"/>
  <c r="CZ53" i="11"/>
  <c r="AK39" i="8"/>
  <c r="DA53" i="11"/>
  <c r="DB53" i="11"/>
  <c r="DC53" i="11"/>
  <c r="DD53" i="11"/>
  <c r="DE53" i="11"/>
  <c r="B54" i="11"/>
  <c r="D54" i="11"/>
  <c r="E54" i="11"/>
  <c r="G54" i="11"/>
  <c r="H54" i="11"/>
  <c r="J54" i="11"/>
  <c r="K54" i="11"/>
  <c r="M54" i="11"/>
  <c r="N54" i="11"/>
  <c r="P54" i="11"/>
  <c r="Q54" i="11"/>
  <c r="S54" i="11"/>
  <c r="T54" i="11"/>
  <c r="V54" i="11"/>
  <c r="W54" i="11"/>
  <c r="Y54" i="11"/>
  <c r="Z54" i="11"/>
  <c r="AB54" i="11"/>
  <c r="AC54" i="11"/>
  <c r="AE54" i="11"/>
  <c r="AF54" i="11"/>
  <c r="AH54" i="11"/>
  <c r="AI54" i="11"/>
  <c r="AK54" i="11"/>
  <c r="AL54" i="11"/>
  <c r="AN54" i="11"/>
  <c r="AO54" i="11"/>
  <c r="AQ54" i="11"/>
  <c r="AR54" i="11"/>
  <c r="AT54" i="11"/>
  <c r="AU54" i="11"/>
  <c r="AW54" i="11"/>
  <c r="AX54" i="11"/>
  <c r="AZ54" i="11"/>
  <c r="BA54" i="11"/>
  <c r="BC54" i="11"/>
  <c r="BD54" i="11"/>
  <c r="BF54" i="11"/>
  <c r="BG54" i="11"/>
  <c r="BI54" i="11"/>
  <c r="BJ54" i="11"/>
  <c r="BL54" i="11"/>
  <c r="BM54" i="11"/>
  <c r="BO54" i="11"/>
  <c r="BP54" i="11"/>
  <c r="BR54" i="11"/>
  <c r="BS54" i="11"/>
  <c r="BU54" i="11"/>
  <c r="BV54" i="11"/>
  <c r="BX54" i="11"/>
  <c r="BY54" i="11"/>
  <c r="CA54" i="11"/>
  <c r="CB54" i="11"/>
  <c r="CD54" i="11"/>
  <c r="CE54" i="11"/>
  <c r="CG54" i="11"/>
  <c r="CH54" i="11"/>
  <c r="CJ54" i="11"/>
  <c r="CK54" i="11"/>
  <c r="CM54" i="11"/>
  <c r="CN54" i="11"/>
  <c r="CP54" i="11"/>
  <c r="CQ54" i="11"/>
  <c r="CS54" i="11"/>
  <c r="CT54" i="11"/>
  <c r="CV54" i="11"/>
  <c r="CW54" i="11"/>
  <c r="CY54" i="11"/>
  <c r="CZ54" i="11"/>
  <c r="DB54" i="11"/>
  <c r="DC54" i="11"/>
  <c r="DE54" i="11"/>
  <c r="B55" i="11"/>
  <c r="D55" i="11"/>
  <c r="E55" i="11"/>
  <c r="G55" i="11"/>
  <c r="H55" i="11"/>
  <c r="J55" i="11"/>
  <c r="K55" i="11"/>
  <c r="M55" i="11"/>
  <c r="N55" i="11"/>
  <c r="P55" i="11"/>
  <c r="Q55" i="11"/>
  <c r="S55" i="11"/>
  <c r="T55" i="11"/>
  <c r="V55" i="11"/>
  <c r="W55" i="11"/>
  <c r="Y55" i="11"/>
  <c r="Z55" i="11"/>
  <c r="AB55" i="11"/>
  <c r="AC55" i="11"/>
  <c r="AE55" i="11"/>
  <c r="AF55" i="11"/>
  <c r="AH55" i="11"/>
  <c r="AI55" i="11"/>
  <c r="AK55" i="11"/>
  <c r="AL55" i="11"/>
  <c r="AN55" i="11"/>
  <c r="AO55" i="11"/>
  <c r="AQ55" i="11"/>
  <c r="AR55" i="11"/>
  <c r="AT55" i="11"/>
  <c r="AU55" i="11"/>
  <c r="AW55" i="11"/>
  <c r="AX55" i="11"/>
  <c r="AZ55" i="11"/>
  <c r="BA55" i="11"/>
  <c r="BC55" i="11"/>
  <c r="BD55" i="11"/>
  <c r="BF55" i="11"/>
  <c r="BG55" i="11"/>
  <c r="BI55" i="11"/>
  <c r="BJ55" i="11"/>
  <c r="BL55" i="11"/>
  <c r="BM55" i="11"/>
  <c r="BO55" i="11"/>
  <c r="BP55" i="11"/>
  <c r="BR55" i="11"/>
  <c r="BS55" i="11"/>
  <c r="BU55" i="11"/>
  <c r="BV55" i="11"/>
  <c r="BX55" i="11"/>
  <c r="BY55" i="11"/>
  <c r="CA55" i="11"/>
  <c r="CB55" i="11"/>
  <c r="CD55" i="11"/>
  <c r="CE55" i="11"/>
  <c r="CG55" i="11"/>
  <c r="CH55" i="11"/>
  <c r="CJ55" i="11"/>
  <c r="CK55" i="11"/>
  <c r="CM55" i="11"/>
  <c r="CN55" i="11"/>
  <c r="CP55" i="11"/>
  <c r="CQ55" i="11"/>
  <c r="CS55" i="11"/>
  <c r="CT55" i="11"/>
  <c r="CV55" i="11"/>
  <c r="CW55" i="11"/>
  <c r="CY55" i="11"/>
  <c r="CZ55" i="11"/>
  <c r="DB55" i="11"/>
  <c r="DC55" i="11"/>
  <c r="DE55" i="11"/>
  <c r="B56" i="11"/>
  <c r="D56" i="11"/>
  <c r="E56" i="11"/>
  <c r="G56" i="11"/>
  <c r="H56" i="11"/>
  <c r="J56" i="11"/>
  <c r="K56" i="11"/>
  <c r="M56" i="11"/>
  <c r="N56" i="11"/>
  <c r="P56" i="11"/>
  <c r="Q56" i="11"/>
  <c r="S56" i="11"/>
  <c r="T56" i="11"/>
  <c r="V56" i="11"/>
  <c r="W56" i="11"/>
  <c r="Y56" i="11"/>
  <c r="Z56" i="11"/>
  <c r="AB56" i="11"/>
  <c r="AC56" i="11"/>
  <c r="AE56" i="11"/>
  <c r="AF56" i="11"/>
  <c r="AH56" i="11"/>
  <c r="AI56" i="11"/>
  <c r="AK56" i="11"/>
  <c r="AL56" i="11"/>
  <c r="AN56" i="11"/>
  <c r="AO56" i="11"/>
  <c r="AQ56" i="11"/>
  <c r="AR56" i="11"/>
  <c r="AT56" i="11"/>
  <c r="AU56" i="11"/>
  <c r="AW56" i="11"/>
  <c r="AX56" i="11"/>
  <c r="AZ56" i="11"/>
  <c r="BA56" i="11"/>
  <c r="BC56" i="11"/>
  <c r="BD56" i="11"/>
  <c r="BF56" i="11"/>
  <c r="BG56" i="11"/>
  <c r="BI56" i="11"/>
  <c r="BJ56" i="11"/>
  <c r="BL56" i="11"/>
  <c r="BM56" i="11"/>
  <c r="BO56" i="11"/>
  <c r="BP56" i="11"/>
  <c r="BR56" i="11"/>
  <c r="BS56" i="11"/>
  <c r="BU56" i="11"/>
  <c r="BV56" i="11"/>
  <c r="BX56" i="11"/>
  <c r="BY56" i="11"/>
  <c r="CA56" i="11"/>
  <c r="CB56" i="11"/>
  <c r="CD56" i="11"/>
  <c r="CE56" i="11"/>
  <c r="CG56" i="11"/>
  <c r="CH56" i="11"/>
  <c r="CJ56" i="11"/>
  <c r="CK56" i="11"/>
  <c r="CM56" i="11"/>
  <c r="CN56" i="11"/>
  <c r="CP56" i="11"/>
  <c r="CQ56" i="11"/>
  <c r="CS56" i="11"/>
  <c r="CT56" i="11"/>
  <c r="CV56" i="11"/>
  <c r="CW56" i="11"/>
  <c r="CY56" i="11"/>
  <c r="CZ56" i="11"/>
  <c r="DB56" i="11"/>
  <c r="DC56" i="11"/>
  <c r="DE56" i="11"/>
  <c r="B57" i="11"/>
  <c r="D57" i="11"/>
  <c r="E57" i="11"/>
  <c r="G57" i="11"/>
  <c r="H57" i="11"/>
  <c r="J57" i="11"/>
  <c r="K57" i="11"/>
  <c r="M57" i="11"/>
  <c r="N57" i="11"/>
  <c r="P57" i="11"/>
  <c r="Q57" i="11"/>
  <c r="S57" i="11"/>
  <c r="T57" i="11"/>
  <c r="V57" i="11"/>
  <c r="W57" i="11"/>
  <c r="Y57" i="11"/>
  <c r="Z57" i="11"/>
  <c r="AB57" i="11"/>
  <c r="AC57" i="11"/>
  <c r="AE57" i="11"/>
  <c r="AF57" i="11"/>
  <c r="AH57" i="11"/>
  <c r="AI57" i="11"/>
  <c r="AK57" i="11"/>
  <c r="AL57" i="11"/>
  <c r="AN57" i="11"/>
  <c r="AO57" i="11"/>
  <c r="AQ57" i="11"/>
  <c r="AR57" i="11"/>
  <c r="AT57" i="11"/>
  <c r="AU57" i="11"/>
  <c r="AW57" i="11"/>
  <c r="AX57" i="11"/>
  <c r="AZ57" i="11"/>
  <c r="BA57" i="11"/>
  <c r="BC57" i="11"/>
  <c r="BD57" i="11"/>
  <c r="BF57" i="11"/>
  <c r="BG57" i="11"/>
  <c r="BI57" i="11"/>
  <c r="BJ57" i="11"/>
  <c r="BL57" i="11"/>
  <c r="BM57" i="11"/>
  <c r="BO57" i="11"/>
  <c r="BP57" i="11"/>
  <c r="BR57" i="11"/>
  <c r="BS57" i="11"/>
  <c r="BU57" i="11"/>
  <c r="BV57" i="11"/>
  <c r="BX57" i="11"/>
  <c r="BY57" i="11"/>
  <c r="CA57" i="11"/>
  <c r="CB57" i="11"/>
  <c r="CD57" i="11"/>
  <c r="CE57" i="11"/>
  <c r="CG57" i="11"/>
  <c r="CH57" i="11"/>
  <c r="CJ57" i="11"/>
  <c r="CK57" i="11"/>
  <c r="CM57" i="11"/>
  <c r="CN57" i="11"/>
  <c r="CP57" i="11"/>
  <c r="CQ57" i="11"/>
  <c r="CS57" i="11"/>
  <c r="CT57" i="11"/>
  <c r="CV57" i="11"/>
  <c r="CW57" i="11"/>
  <c r="CY57" i="11"/>
  <c r="CZ57" i="11"/>
  <c r="DB57" i="11"/>
  <c r="DC57" i="11"/>
  <c r="DE57" i="11"/>
  <c r="B58" i="11"/>
  <c r="D58" i="11"/>
  <c r="E58" i="11"/>
  <c r="G58" i="11"/>
  <c r="H58" i="11"/>
  <c r="J58" i="11"/>
  <c r="K58" i="11"/>
  <c r="M58" i="11"/>
  <c r="N58" i="11"/>
  <c r="P58" i="11"/>
  <c r="Q58" i="11"/>
  <c r="S58" i="11"/>
  <c r="T58" i="11"/>
  <c r="V58" i="11"/>
  <c r="W58" i="11"/>
  <c r="Y58" i="11"/>
  <c r="Z58" i="11"/>
  <c r="AB58" i="11"/>
  <c r="AC58" i="11"/>
  <c r="AE58" i="11"/>
  <c r="AF58" i="11"/>
  <c r="AH58" i="11"/>
  <c r="AI58" i="11"/>
  <c r="AK58" i="11"/>
  <c r="AL58" i="11"/>
  <c r="AN58" i="11"/>
  <c r="AO58" i="11"/>
  <c r="AQ58" i="11"/>
  <c r="AR58" i="11"/>
  <c r="AT58" i="11"/>
  <c r="AU58" i="11"/>
  <c r="AW58" i="11"/>
  <c r="AX58" i="11"/>
  <c r="AZ58" i="11"/>
  <c r="BA58" i="11"/>
  <c r="BC58" i="11"/>
  <c r="BD58" i="11"/>
  <c r="BF58" i="11"/>
  <c r="BG58" i="11"/>
  <c r="BI58" i="11"/>
  <c r="BJ58" i="11"/>
  <c r="BL58" i="11"/>
  <c r="BM58" i="11"/>
  <c r="BO58" i="11"/>
  <c r="BP58" i="11"/>
  <c r="BR58" i="11"/>
  <c r="BS58" i="11"/>
  <c r="BU58" i="11"/>
  <c r="BV58" i="11"/>
  <c r="BX58" i="11"/>
  <c r="BY58" i="11"/>
  <c r="CA58" i="11"/>
  <c r="CB58" i="11"/>
  <c r="CD58" i="11"/>
  <c r="CE58" i="11"/>
  <c r="CG58" i="11"/>
  <c r="CH58" i="11"/>
  <c r="CJ58" i="11"/>
  <c r="CK58" i="11"/>
  <c r="CM58" i="11"/>
  <c r="CN58" i="11"/>
  <c r="CP58" i="11"/>
  <c r="CQ58" i="11"/>
  <c r="CS58" i="11"/>
  <c r="CT58" i="11"/>
  <c r="CV58" i="11"/>
  <c r="CW58" i="11"/>
  <c r="CY58" i="11"/>
  <c r="CZ58" i="11"/>
  <c r="DB58" i="11"/>
  <c r="DC58" i="11"/>
  <c r="DE58" i="11"/>
  <c r="B59" i="11"/>
  <c r="D59" i="11"/>
  <c r="E59" i="11"/>
  <c r="G59" i="11"/>
  <c r="H59" i="11"/>
  <c r="J59" i="11"/>
  <c r="K59" i="11"/>
  <c r="M59" i="11"/>
  <c r="N59" i="11"/>
  <c r="P59" i="11"/>
  <c r="Q59" i="11"/>
  <c r="S59" i="11"/>
  <c r="T59" i="11"/>
  <c r="V59" i="11"/>
  <c r="W59" i="11"/>
  <c r="Y59" i="11"/>
  <c r="Z59" i="11"/>
  <c r="AB59" i="11"/>
  <c r="AC59" i="11"/>
  <c r="AE59" i="11"/>
  <c r="AF59" i="11"/>
  <c r="AH59" i="11"/>
  <c r="AI59" i="11"/>
  <c r="AK59" i="11"/>
  <c r="AL59" i="11"/>
  <c r="AN59" i="11"/>
  <c r="AO59" i="11"/>
  <c r="AQ59" i="11"/>
  <c r="AR59" i="11"/>
  <c r="AT59" i="11"/>
  <c r="AU59" i="11"/>
  <c r="AW59" i="11"/>
  <c r="AX59" i="11"/>
  <c r="AZ59" i="11"/>
  <c r="BA59" i="11"/>
  <c r="BC59" i="11"/>
  <c r="BD59" i="11"/>
  <c r="BF59" i="11"/>
  <c r="BG59" i="11"/>
  <c r="BI59" i="11"/>
  <c r="BJ59" i="11"/>
  <c r="BL59" i="11"/>
  <c r="BM59" i="11"/>
  <c r="BO59" i="11"/>
  <c r="BP59" i="11"/>
  <c r="BR59" i="11"/>
  <c r="BS59" i="11"/>
  <c r="BU59" i="11"/>
  <c r="BV59" i="11"/>
  <c r="BX59" i="11"/>
  <c r="BY59" i="11"/>
  <c r="CA59" i="11"/>
  <c r="CB59" i="11"/>
  <c r="CD59" i="11"/>
  <c r="CE59" i="11"/>
  <c r="CG59" i="11"/>
  <c r="CH59" i="11"/>
  <c r="CJ59" i="11"/>
  <c r="CK59" i="11"/>
  <c r="CM59" i="11"/>
  <c r="CN59" i="11"/>
  <c r="CP59" i="11"/>
  <c r="CQ59" i="11"/>
  <c r="CS59" i="11"/>
  <c r="CT59" i="11"/>
  <c r="CV59" i="11"/>
  <c r="CW59" i="11"/>
  <c r="CY59" i="11"/>
  <c r="CZ59" i="11"/>
  <c r="DB59" i="11"/>
  <c r="DC59" i="11"/>
  <c r="DE59" i="11"/>
  <c r="B60" i="11"/>
  <c r="D60" i="11"/>
  <c r="E60" i="11"/>
  <c r="G60" i="11"/>
  <c r="H60" i="11"/>
  <c r="J60" i="11"/>
  <c r="K60" i="11"/>
  <c r="M60" i="11"/>
  <c r="N60" i="11"/>
  <c r="P60" i="11"/>
  <c r="Q60" i="11"/>
  <c r="S60" i="11"/>
  <c r="T60" i="11"/>
  <c r="V60" i="11"/>
  <c r="W60" i="11"/>
  <c r="Y60" i="11"/>
  <c r="Z60" i="11"/>
  <c r="AB60" i="11"/>
  <c r="AC60" i="11"/>
  <c r="AE60" i="11"/>
  <c r="AF60" i="11"/>
  <c r="AH60" i="11"/>
  <c r="AI60" i="11"/>
  <c r="AK60" i="11"/>
  <c r="AL60" i="11"/>
  <c r="AN60" i="11"/>
  <c r="AO60" i="11"/>
  <c r="AQ60" i="11"/>
  <c r="AR60" i="11"/>
  <c r="AT60" i="11"/>
  <c r="AU60" i="11"/>
  <c r="AW60" i="11"/>
  <c r="AX60" i="11"/>
  <c r="AZ60" i="11"/>
  <c r="BA60" i="11"/>
  <c r="BC60" i="11"/>
  <c r="BD60" i="11"/>
  <c r="BF60" i="11"/>
  <c r="BG60" i="11"/>
  <c r="BI60" i="11"/>
  <c r="BJ60" i="11"/>
  <c r="BL60" i="11"/>
  <c r="BM60" i="11"/>
  <c r="BO60" i="11"/>
  <c r="BP60" i="11"/>
  <c r="BR60" i="11"/>
  <c r="BS60" i="11"/>
  <c r="BU60" i="11"/>
  <c r="BV60" i="11"/>
  <c r="BX60" i="11"/>
  <c r="BY60" i="11"/>
  <c r="CA60" i="11"/>
  <c r="CB60" i="11"/>
  <c r="CD60" i="11"/>
  <c r="CE60" i="11"/>
  <c r="CG60" i="11"/>
  <c r="CH60" i="11"/>
  <c r="CJ60" i="11"/>
  <c r="CK60" i="11"/>
  <c r="CM60" i="11"/>
  <c r="CN60" i="11"/>
  <c r="CP60" i="11"/>
  <c r="CQ60" i="11"/>
  <c r="CS60" i="11"/>
  <c r="CT60" i="11"/>
  <c r="CV60" i="11"/>
  <c r="CW60" i="11"/>
  <c r="CY60" i="11"/>
  <c r="CZ60" i="11"/>
  <c r="DB60" i="11"/>
  <c r="DC60" i="11"/>
  <c r="DE60" i="11"/>
  <c r="B61" i="11"/>
  <c r="D61" i="11"/>
  <c r="E61" i="11"/>
  <c r="G61" i="11"/>
  <c r="H61" i="11"/>
  <c r="J61" i="11"/>
  <c r="K61" i="11"/>
  <c r="M61" i="11"/>
  <c r="N61" i="11"/>
  <c r="P61" i="11"/>
  <c r="Q61" i="11"/>
  <c r="S61" i="11"/>
  <c r="T61" i="11"/>
  <c r="V61" i="11"/>
  <c r="W61" i="11"/>
  <c r="Y61" i="11"/>
  <c r="Z61" i="11"/>
  <c r="AB61" i="11"/>
  <c r="AC61" i="11"/>
  <c r="AE61" i="11"/>
  <c r="AF61" i="11"/>
  <c r="AH61" i="11"/>
  <c r="AI61" i="11"/>
  <c r="AK61" i="11"/>
  <c r="AL61" i="11"/>
  <c r="AN61" i="11"/>
  <c r="AO61" i="11"/>
  <c r="AQ61" i="11"/>
  <c r="AR61" i="11"/>
  <c r="AT61" i="11"/>
  <c r="AU61" i="11"/>
  <c r="AW61" i="11"/>
  <c r="AX61" i="11"/>
  <c r="AZ61" i="11"/>
  <c r="BA61" i="11"/>
  <c r="BC61" i="11"/>
  <c r="BD61" i="11"/>
  <c r="BF61" i="11"/>
  <c r="BG61" i="11"/>
  <c r="BI61" i="11"/>
  <c r="BJ61" i="11"/>
  <c r="BL61" i="11"/>
  <c r="BM61" i="11"/>
  <c r="BO61" i="11"/>
  <c r="BP61" i="11"/>
  <c r="BR61" i="11"/>
  <c r="BS61" i="11"/>
  <c r="BU61" i="11"/>
  <c r="BV61" i="11"/>
  <c r="BX61" i="11"/>
  <c r="BY61" i="11"/>
  <c r="CA61" i="11"/>
  <c r="CB61" i="11"/>
  <c r="CD61" i="11"/>
  <c r="CE61" i="11"/>
  <c r="CG61" i="11"/>
  <c r="CH61" i="11"/>
  <c r="CJ61" i="11"/>
  <c r="CK61" i="11"/>
  <c r="CM61" i="11"/>
  <c r="CN61" i="11"/>
  <c r="CP61" i="11"/>
  <c r="CQ61" i="11"/>
  <c r="CS61" i="11"/>
  <c r="CT61" i="11"/>
  <c r="CV61" i="11"/>
  <c r="CW61" i="11"/>
  <c r="CY61" i="11"/>
  <c r="CZ61" i="11"/>
  <c r="DB61" i="11"/>
  <c r="DC61" i="11"/>
  <c r="DE61" i="11"/>
  <c r="B62" i="11"/>
  <c r="D62" i="11"/>
  <c r="E62" i="11"/>
  <c r="G62" i="11"/>
  <c r="H62" i="11"/>
  <c r="J62" i="11"/>
  <c r="K62" i="11"/>
  <c r="M62" i="11"/>
  <c r="N62" i="11"/>
  <c r="P62" i="11"/>
  <c r="Q62" i="11"/>
  <c r="S62" i="11"/>
  <c r="T62" i="11"/>
  <c r="V62" i="11"/>
  <c r="W62" i="11"/>
  <c r="Y62" i="11"/>
  <c r="Z62" i="11"/>
  <c r="AB62" i="11"/>
  <c r="AC62" i="11"/>
  <c r="AE62" i="11"/>
  <c r="AF62" i="11"/>
  <c r="AH62" i="11"/>
  <c r="AI62" i="11"/>
  <c r="AK62" i="11"/>
  <c r="AL62" i="11"/>
  <c r="AN62" i="11"/>
  <c r="AO62" i="11"/>
  <c r="AQ62" i="11"/>
  <c r="AR62" i="11"/>
  <c r="AT62" i="11"/>
  <c r="AU62" i="11"/>
  <c r="AW62" i="11"/>
  <c r="AX62" i="11"/>
  <c r="AZ62" i="11"/>
  <c r="BA62" i="11"/>
  <c r="BC62" i="11"/>
  <c r="BD62" i="11"/>
  <c r="BF62" i="11"/>
  <c r="BG62" i="11"/>
  <c r="BI62" i="11"/>
  <c r="BJ62" i="11"/>
  <c r="BL62" i="11"/>
  <c r="BM62" i="11"/>
  <c r="BO62" i="11"/>
  <c r="BP62" i="11"/>
  <c r="BR62" i="11"/>
  <c r="BS62" i="11"/>
  <c r="BU62" i="11"/>
  <c r="BV62" i="11"/>
  <c r="BX62" i="11"/>
  <c r="BY62" i="11"/>
  <c r="CA62" i="11"/>
  <c r="CB62" i="11"/>
  <c r="CD62" i="11"/>
  <c r="CE62" i="11"/>
  <c r="CG62" i="11"/>
  <c r="CH62" i="11"/>
  <c r="CJ62" i="11"/>
  <c r="CK62" i="11"/>
  <c r="CM62" i="11"/>
  <c r="CN62" i="11"/>
  <c r="CP62" i="11"/>
  <c r="CQ62" i="11"/>
  <c r="CS62" i="11"/>
  <c r="CT62" i="11"/>
  <c r="CV62" i="11"/>
  <c r="CW62" i="11"/>
  <c r="CY62" i="11"/>
  <c r="CZ62" i="11"/>
  <c r="DB62" i="11"/>
  <c r="DC62" i="11"/>
  <c r="DE62" i="11"/>
  <c r="B63" i="11"/>
  <c r="D63" i="11"/>
  <c r="E63" i="11"/>
  <c r="G63" i="11"/>
  <c r="H63" i="11"/>
  <c r="J63" i="11"/>
  <c r="K63" i="11"/>
  <c r="M63" i="11"/>
  <c r="N63" i="11"/>
  <c r="P63" i="11"/>
  <c r="Q63" i="11"/>
  <c r="S63" i="11"/>
  <c r="T63" i="11"/>
  <c r="V63" i="11"/>
  <c r="W63" i="11"/>
  <c r="Y63" i="11"/>
  <c r="Z63" i="11"/>
  <c r="AB63" i="11"/>
  <c r="AC63" i="11"/>
  <c r="AE63" i="11"/>
  <c r="AF63" i="11"/>
  <c r="AH63" i="11"/>
  <c r="AI63" i="11"/>
  <c r="AK63" i="11"/>
  <c r="AL63" i="11"/>
  <c r="AN63" i="11"/>
  <c r="AO63" i="11"/>
  <c r="AQ63" i="11"/>
  <c r="AR63" i="11"/>
  <c r="AT63" i="11"/>
  <c r="AU63" i="11"/>
  <c r="AW63" i="11"/>
  <c r="AX63" i="11"/>
  <c r="AZ63" i="11"/>
  <c r="BA63" i="11"/>
  <c r="BC63" i="11"/>
  <c r="BD63" i="11"/>
  <c r="BF63" i="11"/>
  <c r="BG63" i="11"/>
  <c r="BI63" i="11"/>
  <c r="BJ63" i="11"/>
  <c r="BL63" i="11"/>
  <c r="BM63" i="11"/>
  <c r="BO63" i="11"/>
  <c r="BP63" i="11"/>
  <c r="BR63" i="11"/>
  <c r="BS63" i="11"/>
  <c r="BU63" i="11"/>
  <c r="BV63" i="11"/>
  <c r="BX63" i="11"/>
  <c r="BY63" i="11"/>
  <c r="CA63" i="11"/>
  <c r="CB63" i="11"/>
  <c r="CD63" i="11"/>
  <c r="CE63" i="11"/>
  <c r="CG63" i="11"/>
  <c r="CH63" i="11"/>
  <c r="CJ63" i="11"/>
  <c r="CK63" i="11"/>
  <c r="CM63" i="11"/>
  <c r="CN63" i="11"/>
  <c r="CP63" i="11"/>
  <c r="CQ63" i="11"/>
  <c r="CS63" i="11"/>
  <c r="CT63" i="11"/>
  <c r="CV63" i="11"/>
  <c r="CW63" i="11"/>
  <c r="CY63" i="11"/>
  <c r="CZ63" i="11"/>
  <c r="DB63" i="11"/>
  <c r="DC63" i="11"/>
  <c r="DE63" i="11"/>
  <c r="B64" i="11"/>
  <c r="C40" i="8"/>
  <c r="C64" i="11"/>
  <c r="D64" i="11"/>
  <c r="E64" i="11"/>
  <c r="D40" i="8"/>
  <c r="F64" i="11"/>
  <c r="H64" i="11"/>
  <c r="E40" i="8"/>
  <c r="I64" i="11"/>
  <c r="J64" i="11"/>
  <c r="K64" i="11"/>
  <c r="F40" i="8"/>
  <c r="L64" i="11"/>
  <c r="M64" i="11"/>
  <c r="N64" i="11"/>
  <c r="G40" i="8"/>
  <c r="O64" i="11"/>
  <c r="P64" i="11"/>
  <c r="Q64" i="11"/>
  <c r="H40" i="8"/>
  <c r="R64" i="11"/>
  <c r="T64" i="11"/>
  <c r="I40" i="8"/>
  <c r="U64" i="11"/>
  <c r="V64" i="11"/>
  <c r="W64" i="11"/>
  <c r="J40" i="8"/>
  <c r="X64" i="11"/>
  <c r="Y64" i="11"/>
  <c r="Z64" i="11"/>
  <c r="K40" i="8"/>
  <c r="AA64" i="11"/>
  <c r="AB64" i="11"/>
  <c r="AC64" i="11"/>
  <c r="L40" i="8"/>
  <c r="AD64" i="11"/>
  <c r="AE64" i="11"/>
  <c r="AF64" i="11"/>
  <c r="M40" i="8"/>
  <c r="AG64" i="11"/>
  <c r="AH64" i="11"/>
  <c r="AI64" i="11"/>
  <c r="N40" i="8"/>
  <c r="AJ64" i="11"/>
  <c r="AK64" i="11"/>
  <c r="AL64" i="11"/>
  <c r="O40" i="8"/>
  <c r="AM64" i="11"/>
  <c r="AN64" i="11"/>
  <c r="AO64" i="11"/>
  <c r="P40" i="8"/>
  <c r="AP64" i="11"/>
  <c r="AR64" i="11"/>
  <c r="Q40" i="8"/>
  <c r="AS64" i="11"/>
  <c r="AT64" i="11"/>
  <c r="AU64" i="11"/>
  <c r="R40" i="8"/>
  <c r="AV64" i="11"/>
  <c r="AW64" i="11"/>
  <c r="AX64" i="11"/>
  <c r="S40" i="8"/>
  <c r="AY64" i="11"/>
  <c r="AZ64" i="11"/>
  <c r="BA64" i="11"/>
  <c r="T40" i="8"/>
  <c r="BB64" i="11"/>
  <c r="BD64" i="11"/>
  <c r="U40" i="8"/>
  <c r="BE64" i="11"/>
  <c r="BF64" i="11"/>
  <c r="BG64" i="11"/>
  <c r="V40" i="8"/>
  <c r="BH64" i="11"/>
  <c r="BI64" i="11"/>
  <c r="BJ64" i="11"/>
  <c r="W40" i="8"/>
  <c r="BK64" i="11"/>
  <c r="BL64" i="11"/>
  <c r="BM64" i="11"/>
  <c r="X40" i="8"/>
  <c r="BN64" i="11"/>
  <c r="BP64" i="11"/>
  <c r="Y40" i="8"/>
  <c r="BQ64" i="11"/>
  <c r="BR64" i="11"/>
  <c r="BS64" i="11"/>
  <c r="Z40" i="8"/>
  <c r="BT64" i="11"/>
  <c r="BU64" i="11"/>
  <c r="BV64" i="11"/>
  <c r="AA40" i="8"/>
  <c r="BW64" i="11"/>
  <c r="BX64" i="11"/>
  <c r="BY64" i="11"/>
  <c r="AB40" i="8"/>
  <c r="BZ64" i="11"/>
  <c r="CA64" i="11"/>
  <c r="CB64" i="11"/>
  <c r="AC40" i="8"/>
  <c r="CC64" i="11"/>
  <c r="CD64" i="11"/>
  <c r="CE64" i="11"/>
  <c r="AD40" i="8"/>
  <c r="CF64" i="11"/>
  <c r="CG64" i="11"/>
  <c r="CH64" i="11"/>
  <c r="AE40" i="8"/>
  <c r="CI64" i="11"/>
  <c r="CJ64" i="11"/>
  <c r="CK64" i="11"/>
  <c r="AF40" i="8"/>
  <c r="CL64" i="11"/>
  <c r="CN64" i="11"/>
  <c r="AG40" i="8"/>
  <c r="CO64" i="11"/>
  <c r="CP64" i="11"/>
  <c r="CQ64" i="11"/>
  <c r="AH40" i="8"/>
  <c r="CR64" i="11"/>
  <c r="CS64" i="11"/>
  <c r="CT64" i="11"/>
  <c r="AI40" i="8"/>
  <c r="CU64" i="11"/>
  <c r="CV64" i="11"/>
  <c r="CW64" i="11"/>
  <c r="AJ40" i="8"/>
  <c r="CX64" i="11"/>
  <c r="CZ64" i="11"/>
  <c r="AK40" i="8"/>
  <c r="DA64" i="11"/>
  <c r="DB64" i="11"/>
  <c r="DC64" i="11"/>
  <c r="DD64" i="11"/>
  <c r="DE64" i="11"/>
  <c r="B65" i="11"/>
  <c r="C41" i="8"/>
  <c r="C65" i="11"/>
  <c r="D65" i="11"/>
  <c r="E65" i="11"/>
  <c r="D41" i="8"/>
  <c r="F65" i="11"/>
  <c r="H65" i="11"/>
  <c r="E41" i="8"/>
  <c r="I65" i="11"/>
  <c r="J65" i="11"/>
  <c r="K65" i="11"/>
  <c r="F41" i="8"/>
  <c r="L65" i="11"/>
  <c r="M65" i="11"/>
  <c r="N65" i="11"/>
  <c r="G41" i="8"/>
  <c r="O65" i="11"/>
  <c r="P65" i="11"/>
  <c r="Q65" i="11"/>
  <c r="H41" i="8"/>
  <c r="R65" i="11"/>
  <c r="S65" i="11"/>
  <c r="T65" i="11"/>
  <c r="I41" i="8"/>
  <c r="U65" i="11"/>
  <c r="V65" i="11"/>
  <c r="W65" i="11"/>
  <c r="J41" i="8"/>
  <c r="X65" i="11"/>
  <c r="Y65" i="11"/>
  <c r="Z65" i="11"/>
  <c r="K41" i="8"/>
  <c r="AA65" i="11"/>
  <c r="AB65" i="11"/>
  <c r="AC65" i="11"/>
  <c r="L41" i="8"/>
  <c r="AD65" i="11"/>
  <c r="AF65" i="11"/>
  <c r="M41" i="8"/>
  <c r="AG65" i="11"/>
  <c r="AH65" i="11"/>
  <c r="AI65" i="11"/>
  <c r="N41" i="8"/>
  <c r="AJ65" i="11"/>
  <c r="AK65" i="11"/>
  <c r="AL65" i="11"/>
  <c r="O41" i="8"/>
  <c r="AM65" i="11"/>
  <c r="AN65" i="11"/>
  <c r="AO65" i="11"/>
  <c r="P41" i="8"/>
  <c r="AP65" i="11"/>
  <c r="AR65" i="11"/>
  <c r="Q41" i="8"/>
  <c r="AS65" i="11"/>
  <c r="AT65" i="11"/>
  <c r="AU65" i="11"/>
  <c r="R41" i="8"/>
  <c r="AV65" i="11"/>
  <c r="AW65" i="11"/>
  <c r="AX65" i="11"/>
  <c r="S41" i="8"/>
  <c r="AY65" i="11"/>
  <c r="AZ65" i="11"/>
  <c r="BA65" i="11"/>
  <c r="T41" i="8"/>
  <c r="BB65" i="11"/>
  <c r="BD65" i="11"/>
  <c r="U41" i="8"/>
  <c r="BE65" i="11"/>
  <c r="BF65" i="11"/>
  <c r="BG65" i="11"/>
  <c r="V41" i="8"/>
  <c r="BH65" i="11"/>
  <c r="BI65" i="11"/>
  <c r="BJ65" i="11"/>
  <c r="W41" i="8"/>
  <c r="BK65" i="11"/>
  <c r="BL65" i="11"/>
  <c r="BM65" i="11"/>
  <c r="X41" i="8"/>
  <c r="BN65" i="11"/>
  <c r="BO65" i="11"/>
  <c r="BP65" i="11"/>
  <c r="Y41" i="8"/>
  <c r="BQ65" i="11"/>
  <c r="BR65" i="11"/>
  <c r="BS65" i="11"/>
  <c r="Z41" i="8"/>
  <c r="BT65" i="11"/>
  <c r="BU65" i="11"/>
  <c r="BV65" i="11"/>
  <c r="AA41" i="8"/>
  <c r="BW65" i="11"/>
  <c r="BX65" i="11"/>
  <c r="BY65" i="11"/>
  <c r="AB41" i="8"/>
  <c r="BZ65" i="11"/>
  <c r="CA65" i="11"/>
  <c r="CB65" i="11"/>
  <c r="AC41" i="8"/>
  <c r="CC65" i="11"/>
  <c r="CD65" i="11"/>
  <c r="CE65" i="11"/>
  <c r="AD41" i="8"/>
  <c r="CF65" i="11"/>
  <c r="CG65" i="11"/>
  <c r="CH65" i="11"/>
  <c r="AE41" i="8"/>
  <c r="CI65" i="11"/>
  <c r="CJ65" i="11"/>
  <c r="CK65" i="11"/>
  <c r="AF41" i="8"/>
  <c r="CL65" i="11"/>
  <c r="CN65" i="11"/>
  <c r="AG41" i="8"/>
  <c r="CO65" i="11"/>
  <c r="CP65" i="11"/>
  <c r="CQ65" i="11"/>
  <c r="AH41" i="8"/>
  <c r="CR65" i="11"/>
  <c r="CS65" i="11"/>
  <c r="CT65" i="11"/>
  <c r="AI41" i="8"/>
  <c r="CU65" i="11"/>
  <c r="CV65" i="11"/>
  <c r="CW65" i="11"/>
  <c r="AJ41" i="8"/>
  <c r="CX65" i="11"/>
  <c r="CZ65" i="11"/>
  <c r="AK41" i="8"/>
  <c r="DA65" i="11"/>
  <c r="DB65" i="11"/>
  <c r="DC65" i="11"/>
  <c r="DD65" i="11"/>
  <c r="DE65" i="11"/>
  <c r="B66" i="11"/>
  <c r="C42" i="8"/>
  <c r="C66" i="11"/>
  <c r="D66" i="11"/>
  <c r="E66" i="11"/>
  <c r="D42" i="8"/>
  <c r="F66" i="11"/>
  <c r="G66" i="11"/>
  <c r="H66" i="11"/>
  <c r="E42" i="8"/>
  <c r="I66" i="11"/>
  <c r="J66" i="11"/>
  <c r="K66" i="11"/>
  <c r="F42" i="8"/>
  <c r="L66" i="11"/>
  <c r="M66" i="11"/>
  <c r="N66" i="11"/>
  <c r="G42" i="8"/>
  <c r="O66" i="11"/>
  <c r="P66" i="11"/>
  <c r="Q66" i="11"/>
  <c r="H42" i="8"/>
  <c r="R66" i="11"/>
  <c r="S66" i="11"/>
  <c r="T66" i="11"/>
  <c r="I42" i="8"/>
  <c r="U66" i="11"/>
  <c r="V66" i="11"/>
  <c r="W66" i="11"/>
  <c r="J42" i="8"/>
  <c r="X66" i="11"/>
  <c r="Y66" i="11"/>
  <c r="Z66" i="11"/>
  <c r="K42" i="8"/>
  <c r="AA66" i="11"/>
  <c r="AB66" i="11"/>
  <c r="AC66" i="11"/>
  <c r="L42" i="8"/>
  <c r="AD66" i="11"/>
  <c r="AF66" i="11"/>
  <c r="M42" i="8"/>
  <c r="AG66" i="11"/>
  <c r="AH66" i="11"/>
  <c r="AI66" i="11"/>
  <c r="N42" i="8"/>
  <c r="AJ66" i="11"/>
  <c r="AK66" i="11"/>
  <c r="AL66" i="11"/>
  <c r="O42" i="8"/>
  <c r="AM66" i="11"/>
  <c r="AN66" i="11"/>
  <c r="AO66" i="11"/>
  <c r="P42" i="8"/>
  <c r="AP66" i="11"/>
  <c r="AR66" i="11"/>
  <c r="Q42" i="8"/>
  <c r="AS66" i="11"/>
  <c r="AT66" i="11"/>
  <c r="AU66" i="11"/>
  <c r="R42" i="8"/>
  <c r="AV66" i="11"/>
  <c r="AW66" i="11"/>
  <c r="AX66" i="11"/>
  <c r="S42" i="8"/>
  <c r="AY66" i="11"/>
  <c r="AZ66" i="11"/>
  <c r="BA66" i="11"/>
  <c r="T42" i="8"/>
  <c r="BB66" i="11"/>
  <c r="BC66" i="11"/>
  <c r="BD66" i="11"/>
  <c r="U42" i="8"/>
  <c r="BE66" i="11"/>
  <c r="BF66" i="11"/>
  <c r="BG66" i="11"/>
  <c r="V42" i="8"/>
  <c r="BH66" i="11"/>
  <c r="BI66" i="11"/>
  <c r="BJ66" i="11"/>
  <c r="W42" i="8"/>
  <c r="BK66" i="11"/>
  <c r="BL66" i="11"/>
  <c r="BM66" i="11"/>
  <c r="X42" i="8"/>
  <c r="BN66" i="11"/>
  <c r="BP66" i="11"/>
  <c r="Y42" i="8"/>
  <c r="BQ66" i="11"/>
  <c r="BR66" i="11"/>
  <c r="BS66" i="11"/>
  <c r="Z42" i="8"/>
  <c r="BT66" i="11"/>
  <c r="BU66" i="11"/>
  <c r="BV66" i="11"/>
  <c r="AA42" i="8"/>
  <c r="BW66" i="11"/>
  <c r="BX66" i="11"/>
  <c r="BY66" i="11"/>
  <c r="AB42" i="8"/>
  <c r="BZ66" i="11"/>
  <c r="CB66" i="11"/>
  <c r="AC42" i="8"/>
  <c r="CC66" i="11"/>
  <c r="CD66" i="11"/>
  <c r="CE66" i="11"/>
  <c r="AD42" i="8"/>
  <c r="CF66" i="11"/>
  <c r="CG66" i="11"/>
  <c r="CH66" i="11"/>
  <c r="AE42" i="8"/>
  <c r="CI66" i="11"/>
  <c r="CJ66" i="11"/>
  <c r="CK66" i="11"/>
  <c r="AF42" i="8"/>
  <c r="CL66" i="11"/>
  <c r="CN66" i="11"/>
  <c r="AG42" i="8"/>
  <c r="CO66" i="11"/>
  <c r="CQ66" i="11"/>
  <c r="AH42" i="8"/>
  <c r="CR66" i="11"/>
  <c r="CS66" i="11"/>
  <c r="CT66" i="11"/>
  <c r="AI42" i="8"/>
  <c r="CU66" i="11"/>
  <c r="CV66" i="11"/>
  <c r="CW66" i="11"/>
  <c r="AJ42" i="8"/>
  <c r="CX66" i="11"/>
  <c r="CY66" i="11"/>
  <c r="CZ66" i="11"/>
  <c r="AK42" i="8"/>
  <c r="DA66" i="11"/>
  <c r="DB66" i="11"/>
  <c r="DC66" i="11"/>
  <c r="DD66" i="11"/>
  <c r="DE66" i="11"/>
  <c r="B67" i="11"/>
  <c r="C43" i="8"/>
  <c r="C67" i="11"/>
  <c r="D67" i="11"/>
  <c r="E67" i="11"/>
  <c r="D43" i="8"/>
  <c r="F67" i="11"/>
  <c r="H67" i="11"/>
  <c r="E43" i="8"/>
  <c r="I67" i="11"/>
  <c r="J67" i="11"/>
  <c r="K67" i="11"/>
  <c r="F43" i="8"/>
  <c r="L67" i="11"/>
  <c r="M67" i="11"/>
  <c r="N67" i="11"/>
  <c r="G43" i="8"/>
  <c r="O67" i="11"/>
  <c r="P67" i="11"/>
  <c r="Q67" i="11"/>
  <c r="H43" i="8"/>
  <c r="R67" i="11"/>
  <c r="T67" i="11"/>
  <c r="I43" i="8"/>
  <c r="U67" i="11"/>
  <c r="V67" i="11"/>
  <c r="W67" i="11"/>
  <c r="J43" i="8"/>
  <c r="X67" i="11"/>
  <c r="Y67" i="11"/>
  <c r="Z67" i="11"/>
  <c r="K43" i="8"/>
  <c r="AA67" i="11"/>
  <c r="AB67" i="11"/>
  <c r="AC67" i="11"/>
  <c r="L43" i="8"/>
  <c r="AD67" i="11"/>
  <c r="AF67" i="11"/>
  <c r="M43" i="8"/>
  <c r="AG67" i="11"/>
  <c r="AI67" i="11"/>
  <c r="N43" i="8"/>
  <c r="AJ67" i="11"/>
  <c r="AK67" i="11"/>
  <c r="AL67" i="11"/>
  <c r="O43" i="8"/>
  <c r="AM67" i="11"/>
  <c r="AN67" i="11"/>
  <c r="AO67" i="11"/>
  <c r="P43" i="8"/>
  <c r="AP67" i="11"/>
  <c r="AQ67" i="11"/>
  <c r="AR67" i="11"/>
  <c r="Q43" i="8"/>
  <c r="AS67" i="11"/>
  <c r="AT67" i="11"/>
  <c r="AU67" i="11"/>
  <c r="R43" i="8"/>
  <c r="AV67" i="11"/>
  <c r="AW67" i="11"/>
  <c r="AX67" i="11"/>
  <c r="S43" i="8"/>
  <c r="AY67" i="11"/>
  <c r="AZ67" i="11"/>
  <c r="BA67" i="11"/>
  <c r="T43" i="8"/>
  <c r="BB67" i="11"/>
  <c r="BD67" i="11"/>
  <c r="U43" i="8"/>
  <c r="BE67" i="11"/>
  <c r="BF67" i="11"/>
  <c r="BG67" i="11"/>
  <c r="V43" i="8"/>
  <c r="BH67" i="11"/>
  <c r="BI67" i="11"/>
  <c r="BJ67" i="11"/>
  <c r="W43" i="8"/>
  <c r="BK67" i="11"/>
  <c r="BL67" i="11"/>
  <c r="BM67" i="11"/>
  <c r="X43" i="8"/>
  <c r="BN67" i="11"/>
  <c r="BP67" i="11"/>
  <c r="Y43" i="8"/>
  <c r="BQ67" i="11"/>
  <c r="BR67" i="11"/>
  <c r="BS67" i="11"/>
  <c r="Z43" i="8"/>
  <c r="BT67" i="11"/>
  <c r="BU67" i="11"/>
  <c r="BV67" i="11"/>
  <c r="AA43" i="8"/>
  <c r="BW67" i="11"/>
  <c r="BX67" i="11"/>
  <c r="BY67" i="11"/>
  <c r="AB43" i="8"/>
  <c r="BZ67" i="11"/>
  <c r="CB67" i="11"/>
  <c r="AC43" i="8"/>
  <c r="CC67" i="11"/>
  <c r="CE67" i="11"/>
  <c r="AD43" i="8"/>
  <c r="CF67" i="11"/>
  <c r="CG67" i="11"/>
  <c r="CH67" i="11"/>
  <c r="AE43" i="8"/>
  <c r="CI67" i="11"/>
  <c r="CJ67" i="11"/>
  <c r="CK67" i="11"/>
  <c r="AF43" i="8"/>
  <c r="CL67" i="11"/>
  <c r="CM67" i="11"/>
  <c r="CN67" i="11"/>
  <c r="AG43" i="8"/>
  <c r="CO67" i="11"/>
  <c r="CP67" i="11"/>
  <c r="CQ67" i="11"/>
  <c r="AH43" i="8"/>
  <c r="CR67" i="11"/>
  <c r="CS67" i="11"/>
  <c r="CT67" i="11"/>
  <c r="AI43" i="8"/>
  <c r="CU67" i="11"/>
  <c r="CV67" i="11"/>
  <c r="CW67" i="11"/>
  <c r="AJ43" i="8"/>
  <c r="CX67" i="11"/>
  <c r="CZ67" i="11"/>
  <c r="AK43" i="8"/>
  <c r="DA67" i="11"/>
  <c r="DB67" i="11"/>
  <c r="DC67" i="11"/>
  <c r="DD67" i="11"/>
  <c r="DE67" i="11"/>
  <c r="B68" i="11"/>
  <c r="C44" i="8"/>
  <c r="C68" i="11"/>
  <c r="D68" i="11"/>
  <c r="E68" i="11"/>
  <c r="D44" i="8"/>
  <c r="F68" i="11"/>
  <c r="G68" i="11"/>
  <c r="H68" i="11"/>
  <c r="E44" i="8"/>
  <c r="I68" i="11"/>
  <c r="J68" i="11"/>
  <c r="K68" i="11"/>
  <c r="F44" i="8"/>
  <c r="L68" i="11"/>
  <c r="M68" i="11"/>
  <c r="N68" i="11"/>
  <c r="G44" i="8"/>
  <c r="O68" i="11"/>
  <c r="P68" i="11"/>
  <c r="Q68" i="11"/>
  <c r="H44" i="8"/>
  <c r="R68" i="11"/>
  <c r="T68" i="11"/>
  <c r="I44" i="8"/>
  <c r="U68" i="11"/>
  <c r="W68" i="11"/>
  <c r="J44" i="8"/>
  <c r="X68" i="11"/>
  <c r="Y68" i="11"/>
  <c r="Z68" i="11"/>
  <c r="K44" i="8"/>
  <c r="AA68" i="11"/>
  <c r="AB68" i="11"/>
  <c r="AC68" i="11"/>
  <c r="L44" i="8"/>
  <c r="AD68" i="11"/>
  <c r="AE68" i="11"/>
  <c r="AF68" i="11"/>
  <c r="M44" i="8"/>
  <c r="AG68" i="11"/>
  <c r="AH68" i="11"/>
  <c r="AI68" i="11"/>
  <c r="N44" i="8"/>
  <c r="AJ68" i="11"/>
  <c r="AK68" i="11"/>
  <c r="AL68" i="11"/>
  <c r="O44" i="8"/>
  <c r="AM68" i="11"/>
  <c r="AN68" i="11"/>
  <c r="AO68" i="11"/>
  <c r="P44" i="8"/>
  <c r="AP68" i="11"/>
  <c r="AR68" i="11"/>
  <c r="Q44" i="8"/>
  <c r="AS68" i="11"/>
  <c r="AT68" i="11"/>
  <c r="AU68" i="11"/>
  <c r="R44" i="8"/>
  <c r="AV68" i="11"/>
  <c r="AW68" i="11"/>
  <c r="AX68" i="11"/>
  <c r="S44" i="8"/>
  <c r="AY68" i="11"/>
  <c r="AZ68" i="11"/>
  <c r="BA68" i="11"/>
  <c r="T44" i="8"/>
  <c r="BB68" i="11"/>
  <c r="BC68" i="11"/>
  <c r="BD68" i="11"/>
  <c r="U44" i="8"/>
  <c r="BE68" i="11"/>
  <c r="BF68" i="11"/>
  <c r="BG68" i="11"/>
  <c r="V44" i="8"/>
  <c r="BH68" i="11"/>
  <c r="BI68" i="11"/>
  <c r="BJ68" i="11"/>
  <c r="W44" i="8"/>
  <c r="BK68" i="11"/>
  <c r="BL68" i="11"/>
  <c r="BM68" i="11"/>
  <c r="X44" i="8"/>
  <c r="BN68" i="11"/>
  <c r="BP68" i="11"/>
  <c r="Y44" i="8"/>
  <c r="BQ68" i="11"/>
  <c r="BS68" i="11"/>
  <c r="Z44" i="8"/>
  <c r="BT68" i="11"/>
  <c r="BU68" i="11"/>
  <c r="BV68" i="11"/>
  <c r="AA44" i="8"/>
  <c r="BW68" i="11"/>
  <c r="BX68" i="11"/>
  <c r="BY68" i="11"/>
  <c r="AB44" i="8"/>
  <c r="BZ68" i="11"/>
  <c r="CA68" i="11"/>
  <c r="CB68" i="11"/>
  <c r="AC44" i="8"/>
  <c r="CC68" i="11"/>
  <c r="CD68" i="11"/>
  <c r="CE68" i="11"/>
  <c r="AD44" i="8"/>
  <c r="CF68" i="11"/>
  <c r="CG68" i="11"/>
  <c r="CH68" i="11"/>
  <c r="AE44" i="8"/>
  <c r="CI68" i="11"/>
  <c r="CJ68" i="11"/>
  <c r="CK68" i="11"/>
  <c r="AF44" i="8"/>
  <c r="CL68" i="11"/>
  <c r="CN68" i="11"/>
  <c r="AG44" i="8"/>
  <c r="CO68" i="11"/>
  <c r="CP68" i="11"/>
  <c r="CQ68" i="11"/>
  <c r="AH44" i="8"/>
  <c r="CR68" i="11"/>
  <c r="CS68" i="11"/>
  <c r="CT68" i="11"/>
  <c r="AI44" i="8"/>
  <c r="CU68" i="11"/>
  <c r="CV68" i="11"/>
  <c r="CW68" i="11"/>
  <c r="AJ44" i="8"/>
  <c r="CX68" i="11"/>
  <c r="CY68" i="11"/>
  <c r="CZ68" i="11"/>
  <c r="AK44" i="8"/>
  <c r="DA68" i="11"/>
  <c r="DB68" i="11"/>
  <c r="DC68" i="11"/>
  <c r="DD68" i="11"/>
  <c r="DE68" i="11"/>
  <c r="C45" i="8"/>
  <c r="C69" i="11"/>
  <c r="D45" i="8"/>
  <c r="F69" i="11"/>
  <c r="E45" i="8"/>
  <c r="I69" i="11"/>
  <c r="F45" i="8"/>
  <c r="L69" i="11"/>
  <c r="G45" i="8"/>
  <c r="O69" i="11"/>
  <c r="H45" i="8"/>
  <c r="R69" i="11"/>
  <c r="I45" i="8"/>
  <c r="U69" i="11"/>
  <c r="J45" i="8"/>
  <c r="X69" i="11"/>
  <c r="K45" i="8"/>
  <c r="AA69" i="11"/>
  <c r="L45" i="8"/>
  <c r="AD69" i="11"/>
  <c r="M45" i="8"/>
  <c r="AG69" i="11"/>
  <c r="N45" i="8"/>
  <c r="AJ69" i="11"/>
  <c r="O45" i="8"/>
  <c r="AM69" i="11"/>
  <c r="P45" i="8"/>
  <c r="AP69" i="11"/>
  <c r="Q45" i="8"/>
  <c r="AS69" i="11"/>
  <c r="R45" i="8"/>
  <c r="AV69" i="11"/>
  <c r="S45" i="8"/>
  <c r="AY69" i="11"/>
  <c r="T45" i="8"/>
  <c r="BB69" i="11"/>
  <c r="U45" i="8"/>
  <c r="BE69" i="11"/>
  <c r="V45" i="8"/>
  <c r="BH69" i="11"/>
  <c r="W45" i="8"/>
  <c r="BK69" i="11"/>
  <c r="X45" i="8"/>
  <c r="BN69" i="11"/>
  <c r="Y45" i="8"/>
  <c r="BQ69" i="11"/>
  <c r="Z45" i="8"/>
  <c r="BT69" i="11"/>
  <c r="AA45" i="8"/>
  <c r="BW69" i="11"/>
  <c r="AB45" i="8"/>
  <c r="BZ69" i="11"/>
  <c r="AC45" i="8"/>
  <c r="CC69" i="11"/>
  <c r="AD45" i="8"/>
  <c r="CF69" i="11"/>
  <c r="AE45" i="8"/>
  <c r="CI69" i="11"/>
  <c r="AF45" i="8"/>
  <c r="CL69" i="11"/>
  <c r="AG45" i="8"/>
  <c r="CO69" i="11"/>
  <c r="AH45" i="8"/>
  <c r="CR69" i="11"/>
  <c r="AI45" i="8"/>
  <c r="CU69" i="11"/>
  <c r="AJ45" i="8"/>
  <c r="CX69" i="11"/>
  <c r="AK45" i="8"/>
  <c r="DA69" i="11"/>
  <c r="DD69" i="11"/>
  <c r="C46" i="8"/>
  <c r="C70" i="11"/>
  <c r="D46" i="8"/>
  <c r="F70" i="11"/>
  <c r="E46" i="8"/>
  <c r="I70" i="11"/>
  <c r="F46" i="8"/>
  <c r="L70" i="11"/>
  <c r="G46" i="8"/>
  <c r="O70" i="11"/>
  <c r="H46" i="8"/>
  <c r="R70" i="11"/>
  <c r="I46" i="8"/>
  <c r="U70" i="11"/>
  <c r="J46" i="8"/>
  <c r="X70" i="11"/>
  <c r="K46" i="8"/>
  <c r="AA70" i="11"/>
  <c r="L46" i="8"/>
  <c r="AD70" i="11"/>
  <c r="M46" i="8"/>
  <c r="AG70" i="11"/>
  <c r="N46" i="8"/>
  <c r="AJ70" i="11"/>
  <c r="O46" i="8"/>
  <c r="AM70" i="11"/>
  <c r="P46" i="8"/>
  <c r="AP70" i="11"/>
  <c r="Q46" i="8"/>
  <c r="AS70" i="11"/>
  <c r="R46" i="8"/>
  <c r="AV70" i="11"/>
  <c r="S46" i="8"/>
  <c r="AY70" i="11"/>
  <c r="T46" i="8"/>
  <c r="BB70" i="11"/>
  <c r="U46" i="8"/>
  <c r="BE70" i="11"/>
  <c r="V46" i="8"/>
  <c r="BH70" i="11"/>
  <c r="W46" i="8"/>
  <c r="BK70" i="11"/>
  <c r="X46" i="8"/>
  <c r="BN70" i="11"/>
  <c r="Y46" i="8"/>
  <c r="BQ70" i="11"/>
  <c r="Z46" i="8"/>
  <c r="BT70" i="11"/>
  <c r="AA46" i="8"/>
  <c r="BW70" i="11"/>
  <c r="AB46" i="8"/>
  <c r="BZ70" i="11"/>
  <c r="AC46" i="8"/>
  <c r="CC70" i="11"/>
  <c r="AD46" i="8"/>
  <c r="CF70" i="11"/>
  <c r="AE46" i="8"/>
  <c r="CI70" i="11"/>
  <c r="AF46" i="8"/>
  <c r="CL70" i="11"/>
  <c r="AG46" i="8"/>
  <c r="CO70" i="11"/>
  <c r="AH46" i="8"/>
  <c r="CR70" i="11"/>
  <c r="AI46" i="8"/>
  <c r="CU70" i="11"/>
  <c r="AJ46" i="8"/>
  <c r="CX70" i="11"/>
  <c r="AK46" i="8"/>
  <c r="DA70" i="11"/>
  <c r="DD70" i="11"/>
  <c r="C47" i="8"/>
  <c r="C71" i="11"/>
  <c r="D47" i="8"/>
  <c r="F71" i="11"/>
  <c r="E47" i="8"/>
  <c r="I71" i="11"/>
  <c r="F47" i="8"/>
  <c r="L71" i="11"/>
  <c r="G47" i="8"/>
  <c r="O71" i="11"/>
  <c r="H47" i="8"/>
  <c r="R71" i="11"/>
  <c r="I47" i="8"/>
  <c r="U71" i="11"/>
  <c r="J47" i="8"/>
  <c r="X71" i="11"/>
  <c r="K47" i="8"/>
  <c r="AA71" i="11"/>
  <c r="L47" i="8"/>
  <c r="AD71" i="11"/>
  <c r="M47" i="8"/>
  <c r="AG71" i="11"/>
  <c r="N47" i="8"/>
  <c r="AJ71" i="11"/>
  <c r="O47" i="8"/>
  <c r="AM71" i="11"/>
  <c r="P47" i="8"/>
  <c r="AP71" i="11"/>
  <c r="Q47" i="8"/>
  <c r="AS71" i="11"/>
  <c r="R47" i="8"/>
  <c r="AV71" i="11"/>
  <c r="S47" i="8"/>
  <c r="AY71" i="11"/>
  <c r="T47" i="8"/>
  <c r="BB71" i="11"/>
  <c r="U47" i="8"/>
  <c r="BE71" i="11"/>
  <c r="V47" i="8"/>
  <c r="BH71" i="11"/>
  <c r="W47" i="8"/>
  <c r="BK71" i="11"/>
  <c r="X47" i="8"/>
  <c r="BN71" i="11"/>
  <c r="Y47" i="8"/>
  <c r="BQ71" i="11"/>
  <c r="Z47" i="8"/>
  <c r="BT71" i="11"/>
  <c r="AA47" i="8"/>
  <c r="BW71" i="11"/>
  <c r="AB47" i="8"/>
  <c r="BZ71" i="11"/>
  <c r="AC47" i="8"/>
  <c r="CC71" i="11"/>
  <c r="AD47" i="8"/>
  <c r="CF71" i="11"/>
  <c r="AE47" i="8"/>
  <c r="CI71" i="11"/>
  <c r="AF47" i="8"/>
  <c r="CL71" i="11"/>
  <c r="AG47" i="8"/>
  <c r="CO71" i="11"/>
  <c r="AH47" i="8"/>
  <c r="CR71" i="11"/>
  <c r="AI47" i="8"/>
  <c r="CU71" i="11"/>
  <c r="AJ47" i="8"/>
  <c r="CX71" i="11"/>
  <c r="AK47" i="8"/>
  <c r="DA71" i="11"/>
  <c r="DD71" i="11"/>
  <c r="B72" i="11"/>
  <c r="C48" i="8"/>
  <c r="C72" i="11"/>
  <c r="D72" i="11"/>
  <c r="E72" i="11"/>
  <c r="D48" i="8"/>
  <c r="F72" i="11"/>
  <c r="H72" i="11"/>
  <c r="E48" i="8"/>
  <c r="I72" i="11"/>
  <c r="K72" i="11"/>
  <c r="F48" i="8"/>
  <c r="L72" i="11"/>
  <c r="M72" i="11"/>
  <c r="N72" i="11"/>
  <c r="G48" i="8"/>
  <c r="O72" i="11"/>
  <c r="P72" i="11"/>
  <c r="Q72" i="11"/>
  <c r="H48" i="8"/>
  <c r="R72" i="11"/>
  <c r="S72" i="11"/>
  <c r="T72" i="11"/>
  <c r="I48" i="8"/>
  <c r="U72" i="11"/>
  <c r="V72" i="11"/>
  <c r="W72" i="11"/>
  <c r="J48" i="8"/>
  <c r="X72" i="11"/>
  <c r="Y72" i="11"/>
  <c r="Z72" i="11"/>
  <c r="K48" i="8"/>
  <c r="AA72" i="11"/>
  <c r="AB72" i="11"/>
  <c r="AC72" i="11"/>
  <c r="L48" i="8"/>
  <c r="AD72" i="11"/>
  <c r="AF72" i="11"/>
  <c r="M48" i="8"/>
  <c r="AG72" i="11"/>
  <c r="AH72" i="11"/>
  <c r="AI72" i="11"/>
  <c r="N48" i="8"/>
  <c r="AJ72" i="11"/>
  <c r="AK72" i="11"/>
  <c r="AL72" i="11"/>
  <c r="O48" i="8"/>
  <c r="AM72" i="11"/>
  <c r="AN72" i="11"/>
  <c r="AO72" i="11"/>
  <c r="P48" i="8"/>
  <c r="AP72" i="11"/>
  <c r="AQ72" i="11"/>
  <c r="AR72" i="11"/>
  <c r="Q48" i="8"/>
  <c r="AS72" i="11"/>
  <c r="AT72" i="11"/>
  <c r="AU72" i="11"/>
  <c r="R48" i="8"/>
  <c r="AV72" i="11"/>
  <c r="AW72" i="11"/>
  <c r="AX72" i="11"/>
  <c r="S48" i="8"/>
  <c r="AY72" i="11"/>
  <c r="AZ72" i="11"/>
  <c r="BA72" i="11"/>
  <c r="T48" i="8"/>
  <c r="BB72" i="11"/>
  <c r="BD72" i="11"/>
  <c r="U48" i="8"/>
  <c r="BE72" i="11"/>
  <c r="BG72" i="11"/>
  <c r="V48" i="8"/>
  <c r="BH72" i="11"/>
  <c r="BI72" i="11"/>
  <c r="BJ72" i="11"/>
  <c r="W48" i="8"/>
  <c r="BK72" i="11"/>
  <c r="BL72" i="11"/>
  <c r="BM72" i="11"/>
  <c r="X48" i="8"/>
  <c r="BN72" i="11"/>
  <c r="BO72" i="11"/>
  <c r="BP72" i="11"/>
  <c r="Y48" i="8"/>
  <c r="BQ72" i="11"/>
  <c r="BR72" i="11"/>
  <c r="BS72" i="11"/>
  <c r="Z48" i="8"/>
  <c r="BT72" i="11"/>
  <c r="BU72" i="11"/>
  <c r="BV72" i="11"/>
  <c r="AA48" i="8"/>
  <c r="BW72" i="11"/>
  <c r="BX72" i="11"/>
  <c r="BY72" i="11"/>
  <c r="AB48" i="8"/>
  <c r="BZ72" i="11"/>
  <c r="CB72" i="11"/>
  <c r="AC48" i="8"/>
  <c r="CC72" i="11"/>
  <c r="CD72" i="11"/>
  <c r="CE72" i="11"/>
  <c r="AD48" i="8"/>
  <c r="CF72" i="11"/>
  <c r="CG72" i="11"/>
  <c r="CH72" i="11"/>
  <c r="AE48" i="8"/>
  <c r="CI72" i="11"/>
  <c r="CJ72" i="11"/>
  <c r="CK72" i="11"/>
  <c r="AF48" i="8"/>
  <c r="CL72" i="11"/>
  <c r="CN72" i="11"/>
  <c r="AG48" i="8"/>
  <c r="CO72" i="11"/>
  <c r="CP72" i="11"/>
  <c r="CQ72" i="11"/>
  <c r="AH48" i="8"/>
  <c r="CR72" i="11"/>
  <c r="CS72" i="11"/>
  <c r="CT72" i="11"/>
  <c r="AI48" i="8"/>
  <c r="CU72" i="11"/>
  <c r="CV72" i="11"/>
  <c r="CW72" i="11"/>
  <c r="AJ48" i="8"/>
  <c r="CX72" i="11"/>
  <c r="CZ72" i="11"/>
  <c r="AK48" i="8"/>
  <c r="DA72" i="11"/>
  <c r="DB72" i="11"/>
  <c r="DC72" i="11"/>
  <c r="DD72" i="11"/>
  <c r="DE72" i="11"/>
  <c r="B73" i="11"/>
  <c r="D73" i="11"/>
  <c r="E73" i="11"/>
  <c r="G73" i="11"/>
  <c r="H73" i="11"/>
  <c r="J73" i="11"/>
  <c r="K73" i="11"/>
  <c r="M73" i="11"/>
  <c r="N73" i="11"/>
  <c r="P73" i="11"/>
  <c r="Q73" i="11"/>
  <c r="S73" i="11"/>
  <c r="T73" i="11"/>
  <c r="V73" i="11"/>
  <c r="W73" i="11"/>
  <c r="Y73" i="11"/>
  <c r="Z73" i="11"/>
  <c r="AB73" i="11"/>
  <c r="AC73" i="11"/>
  <c r="AE73" i="11"/>
  <c r="AF73" i="11"/>
  <c r="AH73" i="11"/>
  <c r="AI73" i="11"/>
  <c r="AK73" i="11"/>
  <c r="AL73" i="11"/>
  <c r="AN73" i="11"/>
  <c r="AO73" i="11"/>
  <c r="AQ73" i="11"/>
  <c r="AR73" i="11"/>
  <c r="AT73" i="11"/>
  <c r="AU73" i="11"/>
  <c r="AW73" i="11"/>
  <c r="AX73" i="11"/>
  <c r="AZ73" i="11"/>
  <c r="BA73" i="11"/>
  <c r="BC73" i="11"/>
  <c r="BD73" i="11"/>
  <c r="BF73" i="11"/>
  <c r="BG73" i="11"/>
  <c r="BI73" i="11"/>
  <c r="BJ73" i="11"/>
  <c r="BL73" i="11"/>
  <c r="BM73" i="11"/>
  <c r="BO73" i="11"/>
  <c r="BP73" i="11"/>
  <c r="BR73" i="11"/>
  <c r="BS73" i="11"/>
  <c r="BU73" i="11"/>
  <c r="BV73" i="11"/>
  <c r="BX73" i="11"/>
  <c r="BY73" i="11"/>
  <c r="CA73" i="11"/>
  <c r="CB73" i="11"/>
  <c r="CD73" i="11"/>
  <c r="CE73" i="11"/>
  <c r="CG73" i="11"/>
  <c r="CH73" i="11"/>
  <c r="CJ73" i="11"/>
  <c r="CK73" i="11"/>
  <c r="CM73" i="11"/>
  <c r="CN73" i="11"/>
  <c r="CP73" i="11"/>
  <c r="CQ73" i="11"/>
  <c r="CS73" i="11"/>
  <c r="CT73" i="11"/>
  <c r="CV73" i="11"/>
  <c r="CW73" i="11"/>
  <c r="CY73" i="11"/>
  <c r="CZ73" i="11"/>
  <c r="DB73" i="11"/>
  <c r="DC73" i="11"/>
  <c r="DE73" i="11"/>
  <c r="B74" i="11"/>
  <c r="C49" i="8"/>
  <c r="C74" i="11"/>
  <c r="D74" i="11"/>
  <c r="E74" i="11"/>
  <c r="D49" i="8"/>
  <c r="F74" i="11"/>
  <c r="G74" i="11"/>
  <c r="H74" i="11"/>
  <c r="E49" i="8"/>
  <c r="I74" i="11"/>
  <c r="J74" i="11"/>
  <c r="K74" i="11"/>
  <c r="F49" i="8"/>
  <c r="L74" i="11"/>
  <c r="M74" i="11"/>
  <c r="N74" i="11"/>
  <c r="G49" i="8"/>
  <c r="O74" i="11"/>
  <c r="P74" i="11"/>
  <c r="Q74" i="11"/>
  <c r="H49" i="8"/>
  <c r="R74" i="11"/>
  <c r="T74" i="11"/>
  <c r="I49" i="8"/>
  <c r="U74" i="11"/>
  <c r="V74" i="11"/>
  <c r="W74" i="11"/>
  <c r="J49" i="8"/>
  <c r="X74" i="11"/>
  <c r="Y74" i="11"/>
  <c r="Z74" i="11"/>
  <c r="K49" i="8"/>
  <c r="AA74" i="11"/>
  <c r="AB74" i="11"/>
  <c r="AC74" i="11"/>
  <c r="L49" i="8"/>
  <c r="AD74" i="11"/>
  <c r="AE74" i="11"/>
  <c r="AF74" i="11"/>
  <c r="M49" i="8"/>
  <c r="AG74" i="11"/>
  <c r="AH74" i="11"/>
  <c r="AI74" i="11"/>
  <c r="N49" i="8"/>
  <c r="AJ74" i="11"/>
  <c r="AK74" i="11"/>
  <c r="AL74" i="11"/>
  <c r="O49" i="8"/>
  <c r="AM74" i="11"/>
  <c r="AN74" i="11"/>
  <c r="AO74" i="11"/>
  <c r="P49" i="8"/>
  <c r="AP74" i="11"/>
  <c r="AR74" i="11"/>
  <c r="Q49" i="8"/>
  <c r="AS74" i="11"/>
  <c r="AT74" i="11"/>
  <c r="AU74" i="11"/>
  <c r="R49" i="8"/>
  <c r="AV74" i="11"/>
  <c r="AW74" i="11"/>
  <c r="AX74" i="11"/>
  <c r="S49" i="8"/>
  <c r="AY74" i="11"/>
  <c r="AZ74" i="11"/>
  <c r="BA74" i="11"/>
  <c r="T49" i="8"/>
  <c r="BB74" i="11"/>
  <c r="BC74" i="11"/>
  <c r="BD74" i="11"/>
  <c r="U49" i="8"/>
  <c r="BE74" i="11"/>
  <c r="BF74" i="11"/>
  <c r="BG74" i="11"/>
  <c r="V49" i="8"/>
  <c r="BH74" i="11"/>
  <c r="BI74" i="11"/>
  <c r="BJ74" i="11"/>
  <c r="W49" i="8"/>
  <c r="BK74" i="11"/>
  <c r="BL74" i="11"/>
  <c r="BM74" i="11"/>
  <c r="X49" i="8"/>
  <c r="BN74" i="11"/>
  <c r="BO74" i="11"/>
  <c r="BP74" i="11"/>
  <c r="Y49" i="8"/>
  <c r="BQ74" i="11"/>
  <c r="BR74" i="11"/>
  <c r="BS74" i="11"/>
  <c r="Z49" i="8"/>
  <c r="BT74" i="11"/>
  <c r="BU74" i="11"/>
  <c r="BV74" i="11"/>
  <c r="AA49" i="8"/>
  <c r="BW74" i="11"/>
  <c r="BX74" i="11"/>
  <c r="BY74" i="11"/>
  <c r="AB49" i="8"/>
  <c r="BZ74" i="11"/>
  <c r="CA74" i="11"/>
  <c r="CB74" i="11"/>
  <c r="AC49" i="8"/>
  <c r="CC74" i="11"/>
  <c r="CD74" i="11"/>
  <c r="CE74" i="11"/>
  <c r="AD49" i="8"/>
  <c r="CF74" i="11"/>
  <c r="CG74" i="11"/>
  <c r="CH74" i="11"/>
  <c r="AE49" i="8"/>
  <c r="CI74" i="11"/>
  <c r="CJ74" i="11"/>
  <c r="CK74" i="11"/>
  <c r="AF49" i="8"/>
  <c r="CL74" i="11"/>
  <c r="CM74" i="11"/>
  <c r="CN74" i="11"/>
  <c r="AG49" i="8"/>
  <c r="CO74" i="11"/>
  <c r="CP74" i="11"/>
  <c r="CQ74" i="11"/>
  <c r="AH49" i="8"/>
  <c r="CR74" i="11"/>
  <c r="CS74" i="11"/>
  <c r="CT74" i="11"/>
  <c r="AI49" i="8"/>
  <c r="CU74" i="11"/>
  <c r="CV74" i="11"/>
  <c r="CW74" i="11"/>
  <c r="AJ49" i="8"/>
  <c r="CX74" i="11"/>
  <c r="CY74" i="11"/>
  <c r="CZ74" i="11"/>
  <c r="AK49" i="8"/>
  <c r="DA74" i="11"/>
  <c r="DB74" i="11"/>
  <c r="DC74" i="11"/>
  <c r="DD74" i="11"/>
  <c r="DE74" i="11"/>
  <c r="B75" i="11"/>
  <c r="D75" i="11"/>
  <c r="E75" i="11"/>
  <c r="G75" i="11"/>
  <c r="H75" i="11"/>
  <c r="J75" i="11"/>
  <c r="K75" i="11"/>
  <c r="M75" i="11"/>
  <c r="N75" i="11"/>
  <c r="P75" i="11"/>
  <c r="Q75" i="11"/>
  <c r="S75" i="11"/>
  <c r="T75" i="11"/>
  <c r="V75" i="11"/>
  <c r="W75" i="11"/>
  <c r="Y75" i="11"/>
  <c r="Z75" i="11"/>
  <c r="AB75" i="11"/>
  <c r="AC75" i="11"/>
  <c r="AE75" i="11"/>
  <c r="AF75" i="11"/>
  <c r="AH75" i="11"/>
  <c r="AI75" i="11"/>
  <c r="AK75" i="11"/>
  <c r="AL75" i="11"/>
  <c r="AN75" i="11"/>
  <c r="AO75" i="11"/>
  <c r="AQ75" i="11"/>
  <c r="AR75" i="11"/>
  <c r="AT75" i="11"/>
  <c r="AU75" i="11"/>
  <c r="AW75" i="11"/>
  <c r="AX75" i="11"/>
  <c r="AZ75" i="11"/>
  <c r="BA75" i="11"/>
  <c r="BC75" i="11"/>
  <c r="BD75" i="11"/>
  <c r="BF75" i="11"/>
  <c r="BG75" i="11"/>
  <c r="BI75" i="11"/>
  <c r="BJ75" i="11"/>
  <c r="BL75" i="11"/>
  <c r="BM75" i="11"/>
  <c r="BO75" i="11"/>
  <c r="BP75" i="11"/>
  <c r="BR75" i="11"/>
  <c r="BS75" i="11"/>
  <c r="BU75" i="11"/>
  <c r="BV75" i="11"/>
  <c r="BX75" i="11"/>
  <c r="BY75" i="11"/>
  <c r="CA75" i="11"/>
  <c r="CB75" i="11"/>
  <c r="CD75" i="11"/>
  <c r="CE75" i="11"/>
  <c r="CG75" i="11"/>
  <c r="CH75" i="11"/>
  <c r="CJ75" i="11"/>
  <c r="CK75" i="11"/>
  <c r="CM75" i="11"/>
  <c r="CN75" i="11"/>
  <c r="CP75" i="11"/>
  <c r="CQ75" i="11"/>
  <c r="CS75" i="11"/>
  <c r="CT75" i="11"/>
  <c r="CV75" i="11"/>
  <c r="CW75" i="11"/>
  <c r="CY75" i="11"/>
  <c r="CZ75" i="11"/>
  <c r="DB75" i="11"/>
  <c r="DC75" i="11"/>
  <c r="DE75" i="11"/>
  <c r="B76" i="11"/>
  <c r="C50" i="8"/>
  <c r="C76" i="11"/>
  <c r="D76" i="11"/>
  <c r="E76" i="11"/>
  <c r="D50" i="8"/>
  <c r="F76" i="11"/>
  <c r="G76" i="11"/>
  <c r="H76" i="11"/>
  <c r="E50" i="8"/>
  <c r="I76" i="11"/>
  <c r="J76" i="11"/>
  <c r="K76" i="11"/>
  <c r="F50" i="8"/>
  <c r="L76" i="11"/>
  <c r="M76" i="11"/>
  <c r="N76" i="11"/>
  <c r="G50" i="8"/>
  <c r="O76" i="11"/>
  <c r="P76" i="11"/>
  <c r="Q76" i="11"/>
  <c r="H50" i="8"/>
  <c r="R76" i="11"/>
  <c r="S76" i="11"/>
  <c r="T76" i="11"/>
  <c r="I50" i="8"/>
  <c r="U76" i="11"/>
  <c r="V76" i="11"/>
  <c r="W76" i="11"/>
  <c r="J50" i="8"/>
  <c r="X76" i="11"/>
  <c r="Y76" i="11"/>
  <c r="Z76" i="11"/>
  <c r="K50" i="8"/>
  <c r="AA76" i="11"/>
  <c r="AB76" i="11"/>
  <c r="AC76" i="11"/>
  <c r="L50" i="8"/>
  <c r="AD76" i="11"/>
  <c r="AE76" i="11"/>
  <c r="AF76" i="11"/>
  <c r="M50" i="8"/>
  <c r="AG76" i="11"/>
  <c r="AH76" i="11"/>
  <c r="AI76" i="11"/>
  <c r="N50" i="8"/>
  <c r="AJ76" i="11"/>
  <c r="AK76" i="11"/>
  <c r="AL76" i="11"/>
  <c r="O50" i="8"/>
  <c r="AM76" i="11"/>
  <c r="AN76" i="11"/>
  <c r="AO76" i="11"/>
  <c r="P50" i="8"/>
  <c r="AP76" i="11"/>
  <c r="AQ76" i="11"/>
  <c r="AR76" i="11"/>
  <c r="Q50" i="8"/>
  <c r="AS76" i="11"/>
  <c r="AT76" i="11"/>
  <c r="AU76" i="11"/>
  <c r="R50" i="8"/>
  <c r="AV76" i="11"/>
  <c r="AW76" i="11"/>
  <c r="AX76" i="11"/>
  <c r="S50" i="8"/>
  <c r="AY76" i="11"/>
  <c r="AZ76" i="11"/>
  <c r="BA76" i="11"/>
  <c r="T50" i="8"/>
  <c r="BB76" i="11"/>
  <c r="BC76" i="11"/>
  <c r="BD76" i="11"/>
  <c r="U50" i="8"/>
  <c r="BE76" i="11"/>
  <c r="BF76" i="11"/>
  <c r="BG76" i="11"/>
  <c r="V50" i="8"/>
  <c r="BH76" i="11"/>
  <c r="BI76" i="11"/>
  <c r="BJ76" i="11"/>
  <c r="W50" i="8"/>
  <c r="BK76" i="11"/>
  <c r="BL76" i="11"/>
  <c r="BM76" i="11"/>
  <c r="X50" i="8"/>
  <c r="BN76" i="11"/>
  <c r="BO76" i="11"/>
  <c r="BP76" i="11"/>
  <c r="Y50" i="8"/>
  <c r="BQ76" i="11"/>
  <c r="BR76" i="11"/>
  <c r="BS76" i="11"/>
  <c r="Z50" i="8"/>
  <c r="BT76" i="11"/>
  <c r="BU76" i="11"/>
  <c r="BV76" i="11"/>
  <c r="AA50" i="8"/>
  <c r="BW76" i="11"/>
  <c r="BX76" i="11"/>
  <c r="BY76" i="11"/>
  <c r="AB50" i="8"/>
  <c r="BZ76" i="11"/>
  <c r="CA76" i="11"/>
  <c r="CB76" i="11"/>
  <c r="AC50" i="8"/>
  <c r="CC76" i="11"/>
  <c r="CD76" i="11"/>
  <c r="CE76" i="11"/>
  <c r="AD50" i="8"/>
  <c r="CF76" i="11"/>
  <c r="CG76" i="11"/>
  <c r="CH76" i="11"/>
  <c r="AE50" i="8"/>
  <c r="CI76" i="11"/>
  <c r="CJ76" i="11"/>
  <c r="CK76" i="11"/>
  <c r="AF50" i="8"/>
  <c r="CL76" i="11"/>
  <c r="CM76" i="11"/>
  <c r="CN76" i="11"/>
  <c r="AG50" i="8"/>
  <c r="CO76" i="11"/>
  <c r="CP76" i="11"/>
  <c r="CQ76" i="11"/>
  <c r="AH50" i="8"/>
  <c r="CR76" i="11"/>
  <c r="CS76" i="11"/>
  <c r="CT76" i="11"/>
  <c r="AI50" i="8"/>
  <c r="CU76" i="11"/>
  <c r="CV76" i="11"/>
  <c r="CW76" i="11"/>
  <c r="AJ50" i="8"/>
  <c r="CX76" i="11"/>
  <c r="CY76" i="11"/>
  <c r="CZ76" i="11"/>
  <c r="AK50" i="8"/>
  <c r="DA76" i="11"/>
  <c r="DB76" i="11"/>
  <c r="DC76" i="11"/>
  <c r="DD76" i="11"/>
  <c r="DE76" i="11"/>
  <c r="C51" i="8"/>
  <c r="C77" i="11"/>
  <c r="D51" i="8"/>
  <c r="F77" i="11"/>
  <c r="E51" i="8"/>
  <c r="I77" i="11"/>
  <c r="F51" i="8"/>
  <c r="L77" i="11"/>
  <c r="G51" i="8"/>
  <c r="O77" i="11"/>
  <c r="H51" i="8"/>
  <c r="R77" i="11"/>
  <c r="I51" i="8"/>
  <c r="U77" i="11"/>
  <c r="J51" i="8"/>
  <c r="X77" i="11"/>
  <c r="K51" i="8"/>
  <c r="AA77" i="11"/>
  <c r="L51" i="8"/>
  <c r="AD77" i="11"/>
  <c r="M51" i="8"/>
  <c r="AG77" i="11"/>
  <c r="N51" i="8"/>
  <c r="AJ77" i="11"/>
  <c r="O51" i="8"/>
  <c r="AM77" i="11"/>
  <c r="P51" i="8"/>
  <c r="AP77" i="11"/>
  <c r="Q51" i="8"/>
  <c r="AS77" i="11"/>
  <c r="R51" i="8"/>
  <c r="AV77" i="11"/>
  <c r="S51" i="8"/>
  <c r="AY77" i="11"/>
  <c r="T51" i="8"/>
  <c r="BB77" i="11"/>
  <c r="U51" i="8"/>
  <c r="BE77" i="11"/>
  <c r="V51" i="8"/>
  <c r="BH77" i="11"/>
  <c r="W51" i="8"/>
  <c r="BK77" i="11"/>
  <c r="X51" i="8"/>
  <c r="BN77" i="11"/>
  <c r="Y51" i="8"/>
  <c r="BQ77" i="11"/>
  <c r="Z51" i="8"/>
  <c r="BT77" i="11"/>
  <c r="AA51" i="8"/>
  <c r="BW77" i="11"/>
  <c r="AB51" i="8"/>
  <c r="BZ77" i="11"/>
  <c r="AC51" i="8"/>
  <c r="CC77" i="11"/>
  <c r="AD51" i="8"/>
  <c r="CF77" i="11"/>
  <c r="AE51" i="8"/>
  <c r="CI77" i="11"/>
  <c r="AF51" i="8"/>
  <c r="CL77" i="11"/>
  <c r="AG51" i="8"/>
  <c r="CO77" i="11"/>
  <c r="AH51" i="8"/>
  <c r="CR77" i="11"/>
  <c r="AI51" i="8"/>
  <c r="CU77" i="11"/>
  <c r="AJ51" i="8"/>
  <c r="CX77" i="11"/>
  <c r="AK51" i="8"/>
  <c r="DA77" i="11"/>
  <c r="DD77" i="11"/>
  <c r="C52" i="8"/>
  <c r="C78" i="11"/>
  <c r="D52" i="8"/>
  <c r="F78" i="11"/>
  <c r="E52" i="8"/>
  <c r="I78" i="11"/>
  <c r="F52" i="8"/>
  <c r="L78" i="11"/>
  <c r="G52" i="8"/>
  <c r="O78" i="11"/>
  <c r="H52" i="8"/>
  <c r="R78" i="11"/>
  <c r="I52" i="8"/>
  <c r="U78" i="11"/>
  <c r="J52" i="8"/>
  <c r="X78" i="11"/>
  <c r="K52" i="8"/>
  <c r="AA78" i="11"/>
  <c r="L52" i="8"/>
  <c r="AD78" i="11"/>
  <c r="M52" i="8"/>
  <c r="AG78" i="11"/>
  <c r="N52" i="8"/>
  <c r="AJ78" i="11"/>
  <c r="O52" i="8"/>
  <c r="AM78" i="11"/>
  <c r="P52" i="8"/>
  <c r="AP78" i="11"/>
  <c r="Q52" i="8"/>
  <c r="AS78" i="11"/>
  <c r="R52" i="8"/>
  <c r="AV78" i="11"/>
  <c r="S52" i="8"/>
  <c r="AY78" i="11"/>
  <c r="T52" i="8"/>
  <c r="BB78" i="11"/>
  <c r="U52" i="8"/>
  <c r="BE78" i="11"/>
  <c r="V52" i="8"/>
  <c r="BH78" i="11"/>
  <c r="W52" i="8"/>
  <c r="BK78" i="11"/>
  <c r="X52" i="8"/>
  <c r="BN78" i="11"/>
  <c r="Y52" i="8"/>
  <c r="BQ78" i="11"/>
  <c r="Z52" i="8"/>
  <c r="BT78" i="11"/>
  <c r="AA52" i="8"/>
  <c r="BW78" i="11"/>
  <c r="AB52" i="8"/>
  <c r="BZ78" i="11"/>
  <c r="AC52" i="8"/>
  <c r="CC78" i="11"/>
  <c r="AD52" i="8"/>
  <c r="CF78" i="11"/>
  <c r="AE52" i="8"/>
  <c r="CI78" i="11"/>
  <c r="AF52" i="8"/>
  <c r="CL78" i="11"/>
  <c r="AG52" i="8"/>
  <c r="CO78" i="11"/>
  <c r="AH52" i="8"/>
  <c r="CR78" i="11"/>
  <c r="AI52" i="8"/>
  <c r="CU78" i="11"/>
  <c r="AJ52" i="8"/>
  <c r="CX78" i="11"/>
  <c r="AK52" i="8"/>
  <c r="DA78" i="11"/>
  <c r="DD78" i="11"/>
  <c r="C53" i="8"/>
  <c r="C79" i="11"/>
  <c r="D53" i="8"/>
  <c r="F79" i="11"/>
  <c r="E53" i="8"/>
  <c r="I79" i="11"/>
  <c r="F53" i="8"/>
  <c r="L79" i="11"/>
  <c r="G53" i="8"/>
  <c r="O79" i="11"/>
  <c r="H53" i="8"/>
  <c r="R79" i="11"/>
  <c r="I53" i="8"/>
  <c r="U79" i="11"/>
  <c r="J53" i="8"/>
  <c r="X79" i="11"/>
  <c r="K53" i="8"/>
  <c r="AA79" i="11"/>
  <c r="L53" i="8"/>
  <c r="AD79" i="11"/>
  <c r="M53" i="8"/>
  <c r="AG79" i="11"/>
  <c r="N53" i="8"/>
  <c r="AJ79" i="11"/>
  <c r="O53" i="8"/>
  <c r="AM79" i="11"/>
  <c r="P53" i="8"/>
  <c r="AP79" i="11"/>
  <c r="Q53" i="8"/>
  <c r="AS79" i="11"/>
  <c r="R53" i="8"/>
  <c r="AV79" i="11"/>
  <c r="S53" i="8"/>
  <c r="AY79" i="11"/>
  <c r="T53" i="8"/>
  <c r="BB79" i="11"/>
  <c r="U53" i="8"/>
  <c r="BE79" i="11"/>
  <c r="V53" i="8"/>
  <c r="BH79" i="11"/>
  <c r="W53" i="8"/>
  <c r="BK79" i="11"/>
  <c r="X53" i="8"/>
  <c r="BN79" i="11"/>
  <c r="Y53" i="8"/>
  <c r="BQ79" i="11"/>
  <c r="Z53" i="8"/>
  <c r="BT79" i="11"/>
  <c r="AA53" i="8"/>
  <c r="BW79" i="11"/>
  <c r="AB53" i="8"/>
  <c r="BZ79" i="11"/>
  <c r="AC53" i="8"/>
  <c r="CC79" i="11"/>
  <c r="AD53" i="8"/>
  <c r="CF79" i="11"/>
  <c r="AE53" i="8"/>
  <c r="CI79" i="11"/>
  <c r="AF53" i="8"/>
  <c r="CL79" i="11"/>
  <c r="AG53" i="8"/>
  <c r="CO79" i="11"/>
  <c r="AH53" i="8"/>
  <c r="CR79" i="11"/>
  <c r="AI53" i="8"/>
  <c r="CU79" i="11"/>
  <c r="AJ53" i="8"/>
  <c r="CX79" i="11"/>
  <c r="AK53" i="8"/>
  <c r="DA79" i="11"/>
  <c r="DD79" i="11"/>
  <c r="B80" i="11"/>
  <c r="D80" i="11"/>
  <c r="E80" i="11"/>
  <c r="G80" i="11"/>
  <c r="H80" i="11"/>
  <c r="J80" i="11"/>
  <c r="K80" i="11"/>
  <c r="M80" i="11"/>
  <c r="N80" i="11"/>
  <c r="P80" i="11"/>
  <c r="Q80" i="11"/>
  <c r="S80" i="11"/>
  <c r="T80" i="11"/>
  <c r="V80" i="11"/>
  <c r="W80" i="11"/>
  <c r="Y80" i="11"/>
  <c r="Z80" i="11"/>
  <c r="AB80" i="11"/>
  <c r="AC80" i="11"/>
  <c r="AE80" i="11"/>
  <c r="AF80" i="11"/>
  <c r="AH80" i="11"/>
  <c r="AI80" i="11"/>
  <c r="AK80" i="11"/>
  <c r="AL80" i="11"/>
  <c r="AN80" i="11"/>
  <c r="AO80" i="11"/>
  <c r="AQ80" i="11"/>
  <c r="AR80" i="11"/>
  <c r="AT80" i="11"/>
  <c r="AU80" i="11"/>
  <c r="AW80" i="11"/>
  <c r="AX80" i="11"/>
  <c r="AZ80" i="11"/>
  <c r="BA80" i="11"/>
  <c r="BC80" i="11"/>
  <c r="BD80" i="11"/>
  <c r="BF80" i="11"/>
  <c r="BG80" i="11"/>
  <c r="BI80" i="11"/>
  <c r="BJ80" i="11"/>
  <c r="BL80" i="11"/>
  <c r="BM80" i="11"/>
  <c r="BO80" i="11"/>
  <c r="BP80" i="11"/>
  <c r="BR80" i="11"/>
  <c r="BS80" i="11"/>
  <c r="BU80" i="11"/>
  <c r="BV80" i="11"/>
  <c r="BX80" i="11"/>
  <c r="BY80" i="11"/>
  <c r="CA80" i="11"/>
  <c r="CB80" i="11"/>
  <c r="CD80" i="11"/>
  <c r="CE80" i="11"/>
  <c r="CG80" i="11"/>
  <c r="CH80" i="11"/>
  <c r="CJ80" i="11"/>
  <c r="CK80" i="11"/>
  <c r="CM80" i="11"/>
  <c r="CN80" i="11"/>
  <c r="CP80" i="11"/>
  <c r="CQ80" i="11"/>
  <c r="CS80" i="11"/>
  <c r="CT80" i="11"/>
  <c r="CV80" i="11"/>
  <c r="CW80" i="11"/>
  <c r="CY80" i="11"/>
  <c r="CZ80" i="11"/>
  <c r="DB80" i="11"/>
  <c r="DC80" i="11"/>
  <c r="DE80" i="11"/>
  <c r="B81" i="11"/>
  <c r="D81" i="11"/>
  <c r="E81" i="11"/>
  <c r="G81" i="11"/>
  <c r="H81" i="11"/>
  <c r="J81" i="11"/>
  <c r="K81" i="11"/>
  <c r="M81" i="11"/>
  <c r="N81" i="11"/>
  <c r="P81" i="11"/>
  <c r="Q81" i="11"/>
  <c r="S81" i="11"/>
  <c r="T81" i="11"/>
  <c r="V81" i="11"/>
  <c r="W81" i="11"/>
  <c r="Y81" i="11"/>
  <c r="Z81" i="11"/>
  <c r="AB81" i="11"/>
  <c r="AC81" i="11"/>
  <c r="AE81" i="11"/>
  <c r="AF81" i="11"/>
  <c r="AH81" i="11"/>
  <c r="AI81" i="11"/>
  <c r="AK81" i="11"/>
  <c r="AL81" i="11"/>
  <c r="AN81" i="11"/>
  <c r="AO81" i="11"/>
  <c r="AQ81" i="11"/>
  <c r="AR81" i="11"/>
  <c r="AT81" i="11"/>
  <c r="AU81" i="11"/>
  <c r="AW81" i="11"/>
  <c r="AX81" i="11"/>
  <c r="AZ81" i="11"/>
  <c r="BA81" i="11"/>
  <c r="BC81" i="11"/>
  <c r="BD81" i="11"/>
  <c r="BF81" i="11"/>
  <c r="BG81" i="11"/>
  <c r="BI81" i="11"/>
  <c r="BJ81" i="11"/>
  <c r="BL81" i="11"/>
  <c r="BM81" i="11"/>
  <c r="BO81" i="11"/>
  <c r="BP81" i="11"/>
  <c r="BR81" i="11"/>
  <c r="BS81" i="11"/>
  <c r="BU81" i="11"/>
  <c r="BV81" i="11"/>
  <c r="BX81" i="11"/>
  <c r="BY81" i="11"/>
  <c r="CA81" i="11"/>
  <c r="CB81" i="11"/>
  <c r="CD81" i="11"/>
  <c r="CE81" i="11"/>
  <c r="CG81" i="11"/>
  <c r="CH81" i="11"/>
  <c r="CJ81" i="11"/>
  <c r="CK81" i="11"/>
  <c r="CM81" i="11"/>
  <c r="CN81" i="11"/>
  <c r="CP81" i="11"/>
  <c r="CQ81" i="11"/>
  <c r="CS81" i="11"/>
  <c r="CT81" i="11"/>
  <c r="CV81" i="11"/>
  <c r="CW81" i="11"/>
  <c r="CY81" i="11"/>
  <c r="CZ81" i="11"/>
  <c r="DB81" i="11"/>
  <c r="DC81" i="11"/>
  <c r="DE81" i="11"/>
  <c r="B82" i="11"/>
  <c r="D82" i="11"/>
  <c r="E82" i="11"/>
  <c r="G82" i="11"/>
  <c r="H82" i="11"/>
  <c r="J82" i="11"/>
  <c r="K82" i="11"/>
  <c r="M82" i="11"/>
  <c r="N82" i="11"/>
  <c r="P82" i="11"/>
  <c r="Q82" i="11"/>
  <c r="S82" i="11"/>
  <c r="T82" i="11"/>
  <c r="V82" i="11"/>
  <c r="W82" i="11"/>
  <c r="Y82" i="11"/>
  <c r="Z82" i="11"/>
  <c r="AB82" i="11"/>
  <c r="AC82" i="11"/>
  <c r="AE82" i="11"/>
  <c r="AF82" i="11"/>
  <c r="AH82" i="11"/>
  <c r="AI82" i="11"/>
  <c r="AK82" i="11"/>
  <c r="AL82" i="11"/>
  <c r="AN82" i="11"/>
  <c r="AO82" i="11"/>
  <c r="AQ82" i="11"/>
  <c r="AR82" i="11"/>
  <c r="AT82" i="11"/>
  <c r="AU82" i="11"/>
  <c r="AW82" i="11"/>
  <c r="AX82" i="11"/>
  <c r="AZ82" i="11"/>
  <c r="BA82" i="11"/>
  <c r="BC82" i="11"/>
  <c r="BD82" i="11"/>
  <c r="BF82" i="11"/>
  <c r="BG82" i="11"/>
  <c r="BI82" i="11"/>
  <c r="BJ82" i="11"/>
  <c r="BL82" i="11"/>
  <c r="BM82" i="11"/>
  <c r="BO82" i="11"/>
  <c r="BP82" i="11"/>
  <c r="BR82" i="11"/>
  <c r="BS82" i="11"/>
  <c r="BU82" i="11"/>
  <c r="BV82" i="11"/>
  <c r="BX82" i="11"/>
  <c r="BY82" i="11"/>
  <c r="CA82" i="11"/>
  <c r="CB82" i="11"/>
  <c r="CD82" i="11"/>
  <c r="CE82" i="11"/>
  <c r="CG82" i="11"/>
  <c r="CH82" i="11"/>
  <c r="CJ82" i="11"/>
  <c r="CK82" i="11"/>
  <c r="CM82" i="11"/>
  <c r="CN82" i="11"/>
  <c r="CP82" i="11"/>
  <c r="CQ82" i="11"/>
  <c r="CS82" i="11"/>
  <c r="CT82" i="11"/>
  <c r="CV82" i="11"/>
  <c r="CW82" i="11"/>
  <c r="CY82" i="11"/>
  <c r="CZ82" i="11"/>
  <c r="DB82" i="11"/>
  <c r="DC82" i="11"/>
  <c r="DE82" i="11"/>
  <c r="D83" i="11"/>
  <c r="G83" i="11"/>
  <c r="J83" i="11"/>
  <c r="M83" i="11"/>
  <c r="P83" i="11"/>
  <c r="S83" i="11"/>
  <c r="V83" i="11"/>
  <c r="Y83" i="11"/>
  <c r="AB83" i="11"/>
  <c r="AE83" i="11"/>
  <c r="AH83" i="11"/>
  <c r="AK83" i="11"/>
  <c r="AN83" i="11"/>
  <c r="AQ83" i="11"/>
  <c r="AT83" i="11"/>
  <c r="AW83" i="11"/>
  <c r="AZ83" i="11"/>
  <c r="BC83" i="11"/>
  <c r="BF83" i="11"/>
  <c r="BI83" i="11"/>
  <c r="BL83" i="11"/>
  <c r="BO83" i="11"/>
  <c r="BR83" i="11"/>
  <c r="BU83" i="11"/>
  <c r="BX83" i="11"/>
  <c r="CA83" i="11"/>
  <c r="CD83" i="11"/>
  <c r="CG83" i="11"/>
  <c r="CJ83" i="11"/>
  <c r="CM83" i="11"/>
  <c r="CP83" i="11"/>
  <c r="CS83" i="11"/>
  <c r="CV83" i="11"/>
  <c r="CY83" i="11"/>
  <c r="DB83" i="11"/>
  <c r="DE83" i="11"/>
  <c r="B84" i="11"/>
  <c r="D84" i="11"/>
  <c r="E84" i="11"/>
  <c r="G84" i="11"/>
  <c r="H84" i="11"/>
  <c r="J84" i="11"/>
  <c r="K84" i="11"/>
  <c r="M84" i="11"/>
  <c r="N84" i="11"/>
  <c r="P84" i="11"/>
  <c r="Q84" i="11"/>
  <c r="S84" i="11"/>
  <c r="T84" i="11"/>
  <c r="V84" i="11"/>
  <c r="W84" i="11"/>
  <c r="Y84" i="11"/>
  <c r="Z84" i="11"/>
  <c r="AB84" i="11"/>
  <c r="AC84" i="11"/>
  <c r="AE84" i="11"/>
  <c r="AF84" i="11"/>
  <c r="AH84" i="11"/>
  <c r="AI84" i="11"/>
  <c r="AK84" i="11"/>
  <c r="AL84" i="11"/>
  <c r="AN84" i="11"/>
  <c r="AO84" i="11"/>
  <c r="AQ84" i="11"/>
  <c r="AR84" i="11"/>
  <c r="AT84" i="11"/>
  <c r="AU84" i="11"/>
  <c r="AW84" i="11"/>
  <c r="AX84" i="11"/>
  <c r="AZ84" i="11"/>
  <c r="BA84" i="11"/>
  <c r="BC84" i="11"/>
  <c r="BD84" i="11"/>
  <c r="BF84" i="11"/>
  <c r="BG84" i="11"/>
  <c r="BI84" i="11"/>
  <c r="BJ84" i="11"/>
  <c r="BL84" i="11"/>
  <c r="BM84" i="11"/>
  <c r="BO84" i="11"/>
  <c r="BP84" i="11"/>
  <c r="BR84" i="11"/>
  <c r="BS84" i="11"/>
  <c r="BU84" i="11"/>
  <c r="BV84" i="11"/>
  <c r="BX84" i="11"/>
  <c r="BY84" i="11"/>
  <c r="CA84" i="11"/>
  <c r="CB84" i="11"/>
  <c r="CD84" i="11"/>
  <c r="CE84" i="11"/>
  <c r="CG84" i="11"/>
  <c r="CH84" i="11"/>
  <c r="CJ84" i="11"/>
  <c r="CK84" i="11"/>
  <c r="CM84" i="11"/>
  <c r="CN84" i="11"/>
  <c r="CP84" i="11"/>
  <c r="CQ84" i="11"/>
  <c r="CS84" i="11"/>
  <c r="CT84" i="11"/>
  <c r="CV84" i="11"/>
  <c r="CW84" i="11"/>
  <c r="CY84" i="11"/>
  <c r="CZ84" i="11"/>
  <c r="DB84" i="11"/>
  <c r="DC84" i="11"/>
  <c r="DE84" i="11"/>
  <c r="B85" i="11"/>
  <c r="D85" i="11"/>
  <c r="E85" i="11"/>
  <c r="G85" i="11"/>
  <c r="H85" i="11"/>
  <c r="J85" i="11"/>
  <c r="K85" i="11"/>
  <c r="M85" i="11"/>
  <c r="N85" i="11"/>
  <c r="P85" i="11"/>
  <c r="Q85" i="11"/>
  <c r="S85" i="11"/>
  <c r="T85" i="11"/>
  <c r="V85" i="11"/>
  <c r="W85" i="11"/>
  <c r="Y85" i="11"/>
  <c r="Z85" i="11"/>
  <c r="AB85" i="11"/>
  <c r="AC85" i="11"/>
  <c r="AE85" i="11"/>
  <c r="AF85" i="11"/>
  <c r="AH85" i="11"/>
  <c r="AI85" i="11"/>
  <c r="AK85" i="11"/>
  <c r="AL85" i="11"/>
  <c r="AN85" i="11"/>
  <c r="AO85" i="11"/>
  <c r="AQ85" i="11"/>
  <c r="AR85" i="11"/>
  <c r="AT85" i="11"/>
  <c r="AU85" i="11"/>
  <c r="AW85" i="11"/>
  <c r="AX85" i="11"/>
  <c r="AZ85" i="11"/>
  <c r="BA85" i="11"/>
  <c r="BC85" i="11"/>
  <c r="BD85" i="11"/>
  <c r="BF85" i="11"/>
  <c r="BG85" i="11"/>
  <c r="BI85" i="11"/>
  <c r="BJ85" i="11"/>
  <c r="BL85" i="11"/>
  <c r="BM85" i="11"/>
  <c r="BO85" i="11"/>
  <c r="BP85" i="11"/>
  <c r="BR85" i="11"/>
  <c r="BS85" i="11"/>
  <c r="BU85" i="11"/>
  <c r="BV85" i="11"/>
  <c r="BX85" i="11"/>
  <c r="BY85" i="11"/>
  <c r="CA85" i="11"/>
  <c r="CB85" i="11"/>
  <c r="CD85" i="11"/>
  <c r="CE85" i="11"/>
  <c r="CG85" i="11"/>
  <c r="CH85" i="11"/>
  <c r="CJ85" i="11"/>
  <c r="CK85" i="11"/>
  <c r="CM85" i="11"/>
  <c r="CN85" i="11"/>
  <c r="CP85" i="11"/>
  <c r="CQ85" i="11"/>
  <c r="CS85" i="11"/>
  <c r="CT85" i="11"/>
  <c r="CV85" i="11"/>
  <c r="CW85" i="11"/>
  <c r="CY85" i="11"/>
  <c r="CZ85" i="11"/>
  <c r="DB85" i="11"/>
  <c r="DC85" i="11"/>
  <c r="DE85" i="11"/>
  <c r="B86" i="11"/>
  <c r="D86" i="11"/>
  <c r="E86" i="11"/>
  <c r="G86" i="11"/>
  <c r="H86" i="11"/>
  <c r="J86" i="11"/>
  <c r="K86" i="11"/>
  <c r="M86" i="11"/>
  <c r="N86" i="11"/>
  <c r="P86" i="11"/>
  <c r="Q86" i="11"/>
  <c r="S86" i="11"/>
  <c r="T86" i="11"/>
  <c r="V86" i="11"/>
  <c r="W86" i="11"/>
  <c r="Y86" i="11"/>
  <c r="Z86" i="11"/>
  <c r="AB86" i="11"/>
  <c r="AC86" i="11"/>
  <c r="AE86" i="11"/>
  <c r="AF86" i="11"/>
  <c r="AH86" i="11"/>
  <c r="AI86" i="11"/>
  <c r="AK86" i="11"/>
  <c r="AL86" i="11"/>
  <c r="AN86" i="11"/>
  <c r="AO86" i="11"/>
  <c r="AQ86" i="11"/>
  <c r="AR86" i="11"/>
  <c r="AT86" i="11"/>
  <c r="AU86" i="11"/>
  <c r="AW86" i="11"/>
  <c r="AX86" i="11"/>
  <c r="AZ86" i="11"/>
  <c r="BA86" i="11"/>
  <c r="BC86" i="11"/>
  <c r="BD86" i="11"/>
  <c r="BF86" i="11"/>
  <c r="BG86" i="11"/>
  <c r="BI86" i="11"/>
  <c r="BJ86" i="11"/>
  <c r="BL86" i="11"/>
  <c r="BM86" i="11"/>
  <c r="BO86" i="11"/>
  <c r="BP86" i="11"/>
  <c r="BR86" i="11"/>
  <c r="BS86" i="11"/>
  <c r="BU86" i="11"/>
  <c r="BV86" i="11"/>
  <c r="BX86" i="11"/>
  <c r="BY86" i="11"/>
  <c r="CA86" i="11"/>
  <c r="CB86" i="11"/>
  <c r="CD86" i="11"/>
  <c r="CE86" i="11"/>
  <c r="CG86" i="11"/>
  <c r="CH86" i="11"/>
  <c r="CJ86" i="11"/>
  <c r="CK86" i="11"/>
  <c r="CM86" i="11"/>
  <c r="CN86" i="11"/>
  <c r="CP86" i="11"/>
  <c r="CQ86" i="11"/>
  <c r="CS86" i="11"/>
  <c r="CT86" i="11"/>
  <c r="CV86" i="11"/>
  <c r="CW86" i="11"/>
  <c r="CY86" i="11"/>
  <c r="CZ86" i="11"/>
  <c r="DB86" i="11"/>
  <c r="DC86" i="11"/>
  <c r="DE86" i="11"/>
  <c r="B87" i="11"/>
  <c r="D87" i="11"/>
  <c r="E87" i="11"/>
  <c r="G87" i="11"/>
  <c r="H87" i="11"/>
  <c r="J87" i="11"/>
  <c r="K87" i="11"/>
  <c r="M87" i="11"/>
  <c r="N87" i="11"/>
  <c r="P87" i="11"/>
  <c r="Q87" i="11"/>
  <c r="S87" i="11"/>
  <c r="T87" i="11"/>
  <c r="V87" i="11"/>
  <c r="W87" i="11"/>
  <c r="Y87" i="11"/>
  <c r="Z87" i="11"/>
  <c r="AB87" i="11"/>
  <c r="AC87" i="11"/>
  <c r="AE87" i="11"/>
  <c r="AF87" i="11"/>
  <c r="AH87" i="11"/>
  <c r="AI87" i="11"/>
  <c r="AK87" i="11"/>
  <c r="AL87" i="11"/>
  <c r="AN87" i="11"/>
  <c r="AO87" i="11"/>
  <c r="AQ87" i="11"/>
  <c r="AR87" i="11"/>
  <c r="AT87" i="11"/>
  <c r="AU87" i="11"/>
  <c r="AW87" i="11"/>
  <c r="AX87" i="11"/>
  <c r="AZ87" i="11"/>
  <c r="BA87" i="11"/>
  <c r="BC87" i="11"/>
  <c r="BD87" i="11"/>
  <c r="BF87" i="11"/>
  <c r="BG87" i="11"/>
  <c r="BI87" i="11"/>
  <c r="BJ87" i="11"/>
  <c r="BL87" i="11"/>
  <c r="BM87" i="11"/>
  <c r="BO87" i="11"/>
  <c r="BP87" i="11"/>
  <c r="BR87" i="11"/>
  <c r="BS87" i="11"/>
  <c r="BU87" i="11"/>
  <c r="BV87" i="11"/>
  <c r="BX87" i="11"/>
  <c r="BY87" i="11"/>
  <c r="CA87" i="11"/>
  <c r="CB87" i="11"/>
  <c r="CD87" i="11"/>
  <c r="CE87" i="11"/>
  <c r="CG87" i="11"/>
  <c r="CH87" i="11"/>
  <c r="CJ87" i="11"/>
  <c r="CK87" i="11"/>
  <c r="CM87" i="11"/>
  <c r="CN87" i="11"/>
  <c r="CP87" i="11"/>
  <c r="CQ87" i="11"/>
  <c r="CS87" i="11"/>
  <c r="CT87" i="11"/>
  <c r="CV87" i="11"/>
  <c r="CW87" i="11"/>
  <c r="CY87" i="11"/>
  <c r="CZ87" i="11"/>
  <c r="DB87" i="11"/>
  <c r="DC87" i="11"/>
  <c r="DE87" i="11"/>
  <c r="B88" i="11"/>
  <c r="D88" i="11"/>
  <c r="E88" i="11"/>
  <c r="G88" i="11"/>
  <c r="H88" i="11"/>
  <c r="J88" i="11"/>
  <c r="K88" i="11"/>
  <c r="M88" i="11"/>
  <c r="N88" i="11"/>
  <c r="P88" i="11"/>
  <c r="Q88" i="11"/>
  <c r="S88" i="11"/>
  <c r="T88" i="11"/>
  <c r="V88" i="11"/>
  <c r="W88" i="11"/>
  <c r="Y88" i="11"/>
  <c r="Z88" i="11"/>
  <c r="AB88" i="11"/>
  <c r="AC88" i="11"/>
  <c r="AE88" i="11"/>
  <c r="AF88" i="11"/>
  <c r="AH88" i="11"/>
  <c r="AI88" i="11"/>
  <c r="AK88" i="11"/>
  <c r="AL88" i="11"/>
  <c r="AN88" i="11"/>
  <c r="AO88" i="11"/>
  <c r="AQ88" i="11"/>
  <c r="AR88" i="11"/>
  <c r="AT88" i="11"/>
  <c r="AU88" i="11"/>
  <c r="AW88" i="11"/>
  <c r="AX88" i="11"/>
  <c r="AZ88" i="11"/>
  <c r="BA88" i="11"/>
  <c r="BC88" i="11"/>
  <c r="BD88" i="11"/>
  <c r="BF88" i="11"/>
  <c r="BG88" i="11"/>
  <c r="BI88" i="11"/>
  <c r="BJ88" i="11"/>
  <c r="BL88" i="11"/>
  <c r="BM88" i="11"/>
  <c r="BO88" i="11"/>
  <c r="BP88" i="11"/>
  <c r="BR88" i="11"/>
  <c r="BS88" i="11"/>
  <c r="BU88" i="11"/>
  <c r="BV88" i="11"/>
  <c r="BX88" i="11"/>
  <c r="BY88" i="11"/>
  <c r="CA88" i="11"/>
  <c r="CB88" i="11"/>
  <c r="CD88" i="11"/>
  <c r="CE88" i="11"/>
  <c r="CG88" i="11"/>
  <c r="CH88" i="11"/>
  <c r="CJ88" i="11"/>
  <c r="CK88" i="11"/>
  <c r="CM88" i="11"/>
  <c r="CN88" i="11"/>
  <c r="CP88" i="11"/>
  <c r="CQ88" i="11"/>
  <c r="CS88" i="11"/>
  <c r="CT88" i="11"/>
  <c r="CV88" i="11"/>
  <c r="CW88" i="11"/>
  <c r="CY88" i="11"/>
  <c r="CZ88" i="11"/>
  <c r="DB88" i="11"/>
  <c r="DC88" i="11"/>
  <c r="DE88" i="11"/>
  <c r="B89" i="11"/>
  <c r="C54" i="8"/>
  <c r="C89" i="11"/>
  <c r="D89" i="11"/>
  <c r="E89" i="11"/>
  <c r="D54" i="8"/>
  <c r="F89" i="11"/>
  <c r="G89" i="11"/>
  <c r="H89" i="11"/>
  <c r="E54" i="8"/>
  <c r="I89" i="11"/>
  <c r="J89" i="11"/>
  <c r="K89" i="11"/>
  <c r="F54" i="8"/>
  <c r="L89" i="11"/>
  <c r="M89" i="11"/>
  <c r="N89" i="11"/>
  <c r="G54" i="8"/>
  <c r="O89" i="11"/>
  <c r="P89" i="11"/>
  <c r="Q89" i="11"/>
  <c r="H54" i="8"/>
  <c r="R89" i="11"/>
  <c r="S89" i="11"/>
  <c r="T89" i="11"/>
  <c r="I54" i="8"/>
  <c r="U89" i="11"/>
  <c r="V89" i="11"/>
  <c r="W89" i="11"/>
  <c r="J54" i="8"/>
  <c r="X89" i="11"/>
  <c r="Y89" i="11"/>
  <c r="Z89" i="11"/>
  <c r="K54" i="8"/>
  <c r="AA89" i="11"/>
  <c r="AB89" i="11"/>
  <c r="AC89" i="11"/>
  <c r="L54" i="8"/>
  <c r="AD89" i="11"/>
  <c r="AE89" i="11"/>
  <c r="AF89" i="11"/>
  <c r="M54" i="8"/>
  <c r="AG89" i="11"/>
  <c r="AH89" i="11"/>
  <c r="AI89" i="11"/>
  <c r="N54" i="8"/>
  <c r="AJ89" i="11"/>
  <c r="AK89" i="11"/>
  <c r="AL89" i="11"/>
  <c r="O54" i="8"/>
  <c r="AM89" i="11"/>
  <c r="AN89" i="11"/>
  <c r="AO89" i="11"/>
  <c r="P54" i="8"/>
  <c r="AP89" i="11"/>
  <c r="AQ89" i="11"/>
  <c r="AR89" i="11"/>
  <c r="Q54" i="8"/>
  <c r="AS89" i="11"/>
  <c r="AT89" i="11"/>
  <c r="AU89" i="11"/>
  <c r="R54" i="8"/>
  <c r="AV89" i="11"/>
  <c r="AW89" i="11"/>
  <c r="AX89" i="11"/>
  <c r="S54" i="8"/>
  <c r="AY89" i="11"/>
  <c r="AZ89" i="11"/>
  <c r="BA89" i="11"/>
  <c r="T54" i="8"/>
  <c r="BB89" i="11"/>
  <c r="BC89" i="11"/>
  <c r="BD89" i="11"/>
  <c r="U54" i="8"/>
  <c r="BE89" i="11"/>
  <c r="BF89" i="11"/>
  <c r="BG89" i="11"/>
  <c r="V54" i="8"/>
  <c r="BH89" i="11"/>
  <c r="BI89" i="11"/>
  <c r="BJ89" i="11"/>
  <c r="W54" i="8"/>
  <c r="BK89" i="11"/>
  <c r="BL89" i="11"/>
  <c r="BM89" i="11"/>
  <c r="X54" i="8"/>
  <c r="BN89" i="11"/>
  <c r="BO89" i="11"/>
  <c r="BP89" i="11"/>
  <c r="Y54" i="8"/>
  <c r="BQ89" i="11"/>
  <c r="BR89" i="11"/>
  <c r="BS89" i="11"/>
  <c r="Z54" i="8"/>
  <c r="BT89" i="11"/>
  <c r="BU89" i="11"/>
  <c r="BV89" i="11"/>
  <c r="AA54" i="8"/>
  <c r="BW89" i="11"/>
  <c r="BX89" i="11"/>
  <c r="BY89" i="11"/>
  <c r="AB54" i="8"/>
  <c r="BZ89" i="11"/>
  <c r="CA89" i="11"/>
  <c r="CB89" i="11"/>
  <c r="AC54" i="8"/>
  <c r="CC89" i="11"/>
  <c r="CD89" i="11"/>
  <c r="CE89" i="11"/>
  <c r="AD54" i="8"/>
  <c r="CF89" i="11"/>
  <c r="CG89" i="11"/>
  <c r="CH89" i="11"/>
  <c r="AE54" i="8"/>
  <c r="CI89" i="11"/>
  <c r="CJ89" i="11"/>
  <c r="CK89" i="11"/>
  <c r="AF54" i="8"/>
  <c r="CL89" i="11"/>
  <c r="CM89" i="11"/>
  <c r="CN89" i="11"/>
  <c r="AG54" i="8"/>
  <c r="CO89" i="11"/>
  <c r="CP89" i="11"/>
  <c r="CQ89" i="11"/>
  <c r="AH54" i="8"/>
  <c r="CR89" i="11"/>
  <c r="CS89" i="11"/>
  <c r="CT89" i="11"/>
  <c r="AI54" i="8"/>
  <c r="CU89" i="11"/>
  <c r="CV89" i="11"/>
  <c r="CW89" i="11"/>
  <c r="AJ54" i="8"/>
  <c r="CX89" i="11"/>
  <c r="CY89" i="11"/>
  <c r="CZ89" i="11"/>
  <c r="AK54" i="8"/>
  <c r="DA89" i="11"/>
  <c r="DB89" i="11"/>
  <c r="DC89" i="11"/>
  <c r="DD89" i="11"/>
  <c r="DE89" i="11"/>
  <c r="B90" i="11"/>
  <c r="C55" i="8"/>
  <c r="C90" i="11"/>
  <c r="D90" i="11"/>
  <c r="E90" i="11"/>
  <c r="D55" i="8"/>
  <c r="F90" i="11"/>
  <c r="G90" i="11"/>
  <c r="H90" i="11"/>
  <c r="E55" i="8"/>
  <c r="I90" i="11"/>
  <c r="J90" i="11"/>
  <c r="K90" i="11"/>
  <c r="F55" i="8"/>
  <c r="L90" i="11"/>
  <c r="M90" i="11"/>
  <c r="N90" i="11"/>
  <c r="G55" i="8"/>
  <c r="O90" i="11"/>
  <c r="P90" i="11"/>
  <c r="Q90" i="11"/>
  <c r="H55" i="8"/>
  <c r="R90" i="11"/>
  <c r="S90" i="11"/>
  <c r="T90" i="11"/>
  <c r="I55" i="8"/>
  <c r="U90" i="11"/>
  <c r="V90" i="11"/>
  <c r="W90" i="11"/>
  <c r="J55" i="8"/>
  <c r="X90" i="11"/>
  <c r="Y90" i="11"/>
  <c r="Z90" i="11"/>
  <c r="K55" i="8"/>
  <c r="AA90" i="11"/>
  <c r="AB90" i="11"/>
  <c r="AC90" i="11"/>
  <c r="L55" i="8"/>
  <c r="AD90" i="11"/>
  <c r="AE90" i="11"/>
  <c r="AF90" i="11"/>
  <c r="M55" i="8"/>
  <c r="AG90" i="11"/>
  <c r="AH90" i="11"/>
  <c r="AI90" i="11"/>
  <c r="N55" i="8"/>
  <c r="AJ90" i="11"/>
  <c r="AK90" i="11"/>
  <c r="AL90" i="11"/>
  <c r="O55" i="8"/>
  <c r="AM90" i="11"/>
  <c r="AN90" i="11"/>
  <c r="AO90" i="11"/>
  <c r="P55" i="8"/>
  <c r="AP90" i="11"/>
  <c r="AQ90" i="11"/>
  <c r="AR90" i="11"/>
  <c r="Q55" i="8"/>
  <c r="AS90" i="11"/>
  <c r="AT90" i="11"/>
  <c r="AU90" i="11"/>
  <c r="R55" i="8"/>
  <c r="AV90" i="11"/>
  <c r="AW90" i="11"/>
  <c r="AX90" i="11"/>
  <c r="S55" i="8"/>
  <c r="AY90" i="11"/>
  <c r="AZ90" i="11"/>
  <c r="BA90" i="11"/>
  <c r="T55" i="8"/>
  <c r="BB90" i="11"/>
  <c r="BC90" i="11"/>
  <c r="BD90" i="11"/>
  <c r="U55" i="8"/>
  <c r="BE90" i="11"/>
  <c r="BF90" i="11"/>
  <c r="BG90" i="11"/>
  <c r="V55" i="8"/>
  <c r="BH90" i="11"/>
  <c r="BI90" i="11"/>
  <c r="BJ90" i="11"/>
  <c r="W55" i="8"/>
  <c r="BK90" i="11"/>
  <c r="BL90" i="11"/>
  <c r="BM90" i="11"/>
  <c r="X55" i="8"/>
  <c r="BN90" i="11"/>
  <c r="BO90" i="11"/>
  <c r="BP90" i="11"/>
  <c r="Y55" i="8"/>
  <c r="BQ90" i="11"/>
  <c r="BR90" i="11"/>
  <c r="BS90" i="11"/>
  <c r="Z55" i="8"/>
  <c r="BT90" i="11"/>
  <c r="BU90" i="11"/>
  <c r="BV90" i="11"/>
  <c r="AA55" i="8"/>
  <c r="BW90" i="11"/>
  <c r="BX90" i="11"/>
  <c r="BY90" i="11"/>
  <c r="AB55" i="8"/>
  <c r="BZ90" i="11"/>
  <c r="CA90" i="11"/>
  <c r="CB90" i="11"/>
  <c r="AC55" i="8"/>
  <c r="CC90" i="11"/>
  <c r="CD90" i="11"/>
  <c r="CE90" i="11"/>
  <c r="AD55" i="8"/>
  <c r="CF90" i="11"/>
  <c r="CG90" i="11"/>
  <c r="CH90" i="11"/>
  <c r="AE55" i="8"/>
  <c r="CI90" i="11"/>
  <c r="CJ90" i="11"/>
  <c r="CK90" i="11"/>
  <c r="AF55" i="8"/>
  <c r="CL90" i="11"/>
  <c r="CM90" i="11"/>
  <c r="CN90" i="11"/>
  <c r="AG55" i="8"/>
  <c r="CO90" i="11"/>
  <c r="CP90" i="11"/>
  <c r="CQ90" i="11"/>
  <c r="AH55" i="8"/>
  <c r="CR90" i="11"/>
  <c r="CS90" i="11"/>
  <c r="CT90" i="11"/>
  <c r="AI55" i="8"/>
  <c r="CU90" i="11"/>
  <c r="CV90" i="11"/>
  <c r="CW90" i="11"/>
  <c r="AJ55" i="8"/>
  <c r="CX90" i="11"/>
  <c r="CY90" i="11"/>
  <c r="CZ90" i="11"/>
  <c r="AK55" i="8"/>
  <c r="DA90" i="11"/>
  <c r="DB90" i="11"/>
  <c r="DC90" i="11"/>
  <c r="DD90" i="11"/>
  <c r="DE90" i="11"/>
  <c r="B91" i="11"/>
  <c r="C56" i="8"/>
  <c r="C91" i="11"/>
  <c r="D91" i="11"/>
  <c r="E91" i="11"/>
  <c r="D56" i="8"/>
  <c r="F91" i="11"/>
  <c r="G91" i="11"/>
  <c r="H91" i="11"/>
  <c r="E56" i="8"/>
  <c r="I91" i="11"/>
  <c r="J91" i="11"/>
  <c r="K91" i="11"/>
  <c r="F56" i="8"/>
  <c r="L91" i="11"/>
  <c r="M91" i="11"/>
  <c r="N91" i="11"/>
  <c r="G56" i="8"/>
  <c r="O91" i="11"/>
  <c r="P91" i="11"/>
  <c r="Q91" i="11"/>
  <c r="H56" i="8"/>
  <c r="R91" i="11"/>
  <c r="S91" i="11"/>
  <c r="T91" i="11"/>
  <c r="I56" i="8"/>
  <c r="U91" i="11"/>
  <c r="V91" i="11"/>
  <c r="W91" i="11"/>
  <c r="J56" i="8"/>
  <c r="X91" i="11"/>
  <c r="Y91" i="11"/>
  <c r="Z91" i="11"/>
  <c r="K56" i="8"/>
  <c r="AA91" i="11"/>
  <c r="AB91" i="11"/>
  <c r="AC91" i="11"/>
  <c r="L56" i="8"/>
  <c r="AD91" i="11"/>
  <c r="AE91" i="11"/>
  <c r="AF91" i="11"/>
  <c r="M56" i="8"/>
  <c r="AG91" i="11"/>
  <c r="AH91" i="11"/>
  <c r="AI91" i="11"/>
  <c r="N56" i="8"/>
  <c r="AJ91" i="11"/>
  <c r="AK91" i="11"/>
  <c r="AL91" i="11"/>
  <c r="O56" i="8"/>
  <c r="AM91" i="11"/>
  <c r="AN91" i="11"/>
  <c r="AO91" i="11"/>
  <c r="P56" i="8"/>
  <c r="AP91" i="11"/>
  <c r="AQ91" i="11"/>
  <c r="AR91" i="11"/>
  <c r="Q56" i="8"/>
  <c r="AS91" i="11"/>
  <c r="AT91" i="11"/>
  <c r="AU91" i="11"/>
  <c r="R56" i="8"/>
  <c r="AV91" i="11"/>
  <c r="AW91" i="11"/>
  <c r="AX91" i="11"/>
  <c r="S56" i="8"/>
  <c r="AY91" i="11"/>
  <c r="AZ91" i="11"/>
  <c r="BA91" i="11"/>
  <c r="T56" i="8"/>
  <c r="BB91" i="11"/>
  <c r="BC91" i="11"/>
  <c r="BD91" i="11"/>
  <c r="U56" i="8"/>
  <c r="BE91" i="11"/>
  <c r="BF91" i="11"/>
  <c r="BG91" i="11"/>
  <c r="V56" i="8"/>
  <c r="BH91" i="11"/>
  <c r="BI91" i="11"/>
  <c r="BJ91" i="11"/>
  <c r="W56" i="8"/>
  <c r="BK91" i="11"/>
  <c r="BL91" i="11"/>
  <c r="BM91" i="11"/>
  <c r="X56" i="8"/>
  <c r="BN91" i="11"/>
  <c r="BO91" i="11"/>
  <c r="BP91" i="11"/>
  <c r="Y56" i="8"/>
  <c r="BQ91" i="11"/>
  <c r="BR91" i="11"/>
  <c r="BS91" i="11"/>
  <c r="Z56" i="8"/>
  <c r="BT91" i="11"/>
  <c r="BU91" i="11"/>
  <c r="BV91" i="11"/>
  <c r="AA56" i="8"/>
  <c r="BW91" i="11"/>
  <c r="BX91" i="11"/>
  <c r="BY91" i="11"/>
  <c r="AB56" i="8"/>
  <c r="BZ91" i="11"/>
  <c r="CA91" i="11"/>
  <c r="CB91" i="11"/>
  <c r="AC56" i="8"/>
  <c r="CC91" i="11"/>
  <c r="CD91" i="11"/>
  <c r="CE91" i="11"/>
  <c r="AD56" i="8"/>
  <c r="CF91" i="11"/>
  <c r="CG91" i="11"/>
  <c r="CH91" i="11"/>
  <c r="AE56" i="8"/>
  <c r="CI91" i="11"/>
  <c r="CJ91" i="11"/>
  <c r="CK91" i="11"/>
  <c r="AF56" i="8"/>
  <c r="CL91" i="11"/>
  <c r="CM91" i="11"/>
  <c r="CN91" i="11"/>
  <c r="AG56" i="8"/>
  <c r="CO91" i="11"/>
  <c r="CP91" i="11"/>
  <c r="CQ91" i="11"/>
  <c r="AH56" i="8"/>
  <c r="CR91" i="11"/>
  <c r="CS91" i="11"/>
  <c r="CT91" i="11"/>
  <c r="AI56" i="8"/>
  <c r="CU91" i="11"/>
  <c r="CV91" i="11"/>
  <c r="CW91" i="11"/>
  <c r="AJ56" i="8"/>
  <c r="CX91" i="11"/>
  <c r="CY91" i="11"/>
  <c r="CZ91" i="11"/>
  <c r="AK56" i="8"/>
  <c r="DA91" i="11"/>
  <c r="DB91" i="11"/>
  <c r="DC91" i="11"/>
  <c r="DD91" i="11"/>
  <c r="DE91" i="11"/>
  <c r="B92" i="11"/>
  <c r="D92" i="11"/>
  <c r="E92" i="11"/>
  <c r="G92" i="11"/>
  <c r="H92" i="11"/>
  <c r="J92" i="11"/>
  <c r="K92" i="11"/>
  <c r="M92" i="11"/>
  <c r="N92" i="11"/>
  <c r="P92" i="11"/>
  <c r="Q92" i="11"/>
  <c r="S92" i="11"/>
  <c r="T92" i="11"/>
  <c r="V92" i="11"/>
  <c r="W92" i="11"/>
  <c r="Y92" i="11"/>
  <c r="Z92" i="11"/>
  <c r="AB92" i="11"/>
  <c r="AC92" i="11"/>
  <c r="AE92" i="11"/>
  <c r="AF92" i="11"/>
  <c r="AH92" i="11"/>
  <c r="AI92" i="11"/>
  <c r="AK92" i="11"/>
  <c r="AL92" i="11"/>
  <c r="AN92" i="11"/>
  <c r="AO92" i="11"/>
  <c r="AQ92" i="11"/>
  <c r="AR92" i="11"/>
  <c r="AT92" i="11"/>
  <c r="AU92" i="11"/>
  <c r="AW92" i="11"/>
  <c r="AX92" i="11"/>
  <c r="AZ92" i="11"/>
  <c r="BA92" i="11"/>
  <c r="BC92" i="11"/>
  <c r="BD92" i="11"/>
  <c r="BF92" i="11"/>
  <c r="BG92" i="11"/>
  <c r="BI92" i="11"/>
  <c r="BJ92" i="11"/>
  <c r="BL92" i="11"/>
  <c r="BM92" i="11"/>
  <c r="BO92" i="11"/>
  <c r="BP92" i="11"/>
  <c r="BR92" i="11"/>
  <c r="BS92" i="11"/>
  <c r="BU92" i="11"/>
  <c r="BV92" i="11"/>
  <c r="BX92" i="11"/>
  <c r="BY92" i="11"/>
  <c r="CA92" i="11"/>
  <c r="CB92" i="11"/>
  <c r="CD92" i="11"/>
  <c r="CE92" i="11"/>
  <c r="CG92" i="11"/>
  <c r="CH92" i="11"/>
  <c r="CJ92" i="11"/>
  <c r="CK92" i="11"/>
  <c r="CM92" i="11"/>
  <c r="CN92" i="11"/>
  <c r="CP92" i="11"/>
  <c r="CQ92" i="11"/>
  <c r="CS92" i="11"/>
  <c r="CT92" i="11"/>
  <c r="CV92" i="11"/>
  <c r="CW92" i="11"/>
  <c r="CY92" i="11"/>
  <c r="CZ92" i="11"/>
  <c r="DB92" i="11"/>
  <c r="DC92" i="11"/>
  <c r="DE92" i="11"/>
  <c r="B93" i="11"/>
  <c r="D93" i="11"/>
  <c r="E93" i="11"/>
  <c r="G93" i="11"/>
  <c r="H93" i="11"/>
  <c r="J93" i="11"/>
  <c r="K93" i="11"/>
  <c r="M93" i="11"/>
  <c r="N93" i="11"/>
  <c r="P93" i="11"/>
  <c r="Q93" i="11"/>
  <c r="S93" i="11"/>
  <c r="T93" i="11"/>
  <c r="V93" i="11"/>
  <c r="W93" i="11"/>
  <c r="Y93" i="11"/>
  <c r="Z93" i="11"/>
  <c r="AB93" i="11"/>
  <c r="AC93" i="11"/>
  <c r="AE93" i="11"/>
  <c r="AF93" i="11"/>
  <c r="AH93" i="11"/>
  <c r="AI93" i="11"/>
  <c r="AK93" i="11"/>
  <c r="AL93" i="11"/>
  <c r="AN93" i="11"/>
  <c r="AO93" i="11"/>
  <c r="AQ93" i="11"/>
  <c r="AR93" i="11"/>
  <c r="AT93" i="11"/>
  <c r="AU93" i="11"/>
  <c r="AW93" i="11"/>
  <c r="AX93" i="11"/>
  <c r="AZ93" i="11"/>
  <c r="BA93" i="11"/>
  <c r="BC93" i="11"/>
  <c r="BD93" i="11"/>
  <c r="BF93" i="11"/>
  <c r="BG93" i="11"/>
  <c r="BI93" i="11"/>
  <c r="BJ93" i="11"/>
  <c r="BL93" i="11"/>
  <c r="BM93" i="11"/>
  <c r="BO93" i="11"/>
  <c r="BP93" i="11"/>
  <c r="BR93" i="11"/>
  <c r="BS93" i="11"/>
  <c r="BU93" i="11"/>
  <c r="BV93" i="11"/>
  <c r="BX93" i="11"/>
  <c r="BY93" i="11"/>
  <c r="CA93" i="11"/>
  <c r="CB93" i="11"/>
  <c r="CD93" i="11"/>
  <c r="CE93" i="11"/>
  <c r="CG93" i="11"/>
  <c r="CH93" i="11"/>
  <c r="CJ93" i="11"/>
  <c r="CK93" i="11"/>
  <c r="CM93" i="11"/>
  <c r="CN93" i="11"/>
  <c r="CP93" i="11"/>
  <c r="CQ93" i="11"/>
  <c r="CS93" i="11"/>
  <c r="CT93" i="11"/>
  <c r="CV93" i="11"/>
  <c r="CW93" i="11"/>
  <c r="CY93" i="11"/>
  <c r="CZ93" i="11"/>
  <c r="DB93" i="11"/>
  <c r="DC93" i="11"/>
  <c r="DE93" i="11"/>
  <c r="B94" i="11"/>
  <c r="C57" i="8"/>
  <c r="C94" i="11"/>
  <c r="D94" i="11"/>
  <c r="E94" i="11"/>
  <c r="D57" i="8"/>
  <c r="F94" i="11"/>
  <c r="G94" i="11"/>
  <c r="H94" i="11"/>
  <c r="E57" i="8"/>
  <c r="I94" i="11"/>
  <c r="J94" i="11"/>
  <c r="K94" i="11"/>
  <c r="F57" i="8"/>
  <c r="L94" i="11"/>
  <c r="M94" i="11"/>
  <c r="N94" i="11"/>
  <c r="G57" i="8"/>
  <c r="O94" i="11"/>
  <c r="P94" i="11"/>
  <c r="Q94" i="11"/>
  <c r="H57" i="8"/>
  <c r="R94" i="11"/>
  <c r="S94" i="11"/>
  <c r="T94" i="11"/>
  <c r="I57" i="8"/>
  <c r="U94" i="11"/>
  <c r="V94" i="11"/>
  <c r="W94" i="11"/>
  <c r="J57" i="8"/>
  <c r="X94" i="11"/>
  <c r="Y94" i="11"/>
  <c r="Z94" i="11"/>
  <c r="K57" i="8"/>
  <c r="AA94" i="11"/>
  <c r="AB94" i="11"/>
  <c r="AC94" i="11"/>
  <c r="L57" i="8"/>
  <c r="AD94" i="11"/>
  <c r="AE94" i="11"/>
  <c r="AF94" i="11"/>
  <c r="M57" i="8"/>
  <c r="AG94" i="11"/>
  <c r="AH94" i="11"/>
  <c r="AI94" i="11"/>
  <c r="N57" i="8"/>
  <c r="AJ94" i="11"/>
  <c r="AK94" i="11"/>
  <c r="AL94" i="11"/>
  <c r="O57" i="8"/>
  <c r="AM94" i="11"/>
  <c r="AN94" i="11"/>
  <c r="AO94" i="11"/>
  <c r="P57" i="8"/>
  <c r="AP94" i="11"/>
  <c r="AQ94" i="11"/>
  <c r="AR94" i="11"/>
  <c r="Q57" i="8"/>
  <c r="AS94" i="11"/>
  <c r="AT94" i="11"/>
  <c r="AU94" i="11"/>
  <c r="R57" i="8"/>
  <c r="AV94" i="11"/>
  <c r="AW94" i="11"/>
  <c r="AX94" i="11"/>
  <c r="S57" i="8"/>
  <c r="AY94" i="11"/>
  <c r="AZ94" i="11"/>
  <c r="BA94" i="11"/>
  <c r="T57" i="8"/>
  <c r="BB94" i="11"/>
  <c r="BC94" i="11"/>
  <c r="BD94" i="11"/>
  <c r="U57" i="8"/>
  <c r="BE94" i="11"/>
  <c r="BF94" i="11"/>
  <c r="BG94" i="11"/>
  <c r="V57" i="8"/>
  <c r="BH94" i="11"/>
  <c r="BI94" i="11"/>
  <c r="BJ94" i="11"/>
  <c r="W57" i="8"/>
  <c r="BK94" i="11"/>
  <c r="BL94" i="11"/>
  <c r="BM94" i="11"/>
  <c r="X57" i="8"/>
  <c r="BN94" i="11"/>
  <c r="BO94" i="11"/>
  <c r="BP94" i="11"/>
  <c r="Y57" i="8"/>
  <c r="BQ94" i="11"/>
  <c r="BR94" i="11"/>
  <c r="BS94" i="11"/>
  <c r="Z57" i="8"/>
  <c r="BT94" i="11"/>
  <c r="BU94" i="11"/>
  <c r="BV94" i="11"/>
  <c r="AA57" i="8"/>
  <c r="BW94" i="11"/>
  <c r="BX94" i="11"/>
  <c r="BY94" i="11"/>
  <c r="AB57" i="8"/>
  <c r="BZ94" i="11"/>
  <c r="CA94" i="11"/>
  <c r="CB94" i="11"/>
  <c r="AC57" i="8"/>
  <c r="CC94" i="11"/>
  <c r="CD94" i="11"/>
  <c r="CE94" i="11"/>
  <c r="AD57" i="8"/>
  <c r="CF94" i="11"/>
  <c r="CG94" i="11"/>
  <c r="CH94" i="11"/>
  <c r="AE57" i="8"/>
  <c r="CI94" i="11"/>
  <c r="CJ94" i="11"/>
  <c r="CK94" i="11"/>
  <c r="AF57" i="8"/>
  <c r="CL94" i="11"/>
  <c r="CM94" i="11"/>
  <c r="CN94" i="11"/>
  <c r="AG57" i="8"/>
  <c r="CO94" i="11"/>
  <c r="CP94" i="11"/>
  <c r="CQ94" i="11"/>
  <c r="AH57" i="8"/>
  <c r="CR94" i="11"/>
  <c r="CS94" i="11"/>
  <c r="CT94" i="11"/>
  <c r="AI57" i="8"/>
  <c r="CU94" i="11"/>
  <c r="CV94" i="11"/>
  <c r="CW94" i="11"/>
  <c r="AJ57" i="8"/>
  <c r="CX94" i="11"/>
  <c r="CY94" i="11"/>
  <c r="CZ94" i="11"/>
  <c r="AK57" i="8"/>
  <c r="DA94" i="11"/>
  <c r="DB94" i="11"/>
  <c r="DC94" i="11"/>
  <c r="DD94" i="11"/>
  <c r="DE94" i="11"/>
  <c r="B95" i="11"/>
  <c r="C58" i="8"/>
  <c r="C95" i="11"/>
  <c r="D95" i="11"/>
  <c r="E95" i="11"/>
  <c r="D58" i="8"/>
  <c r="F95" i="11"/>
  <c r="G95" i="11"/>
  <c r="H95" i="11"/>
  <c r="E58" i="8"/>
  <c r="I95" i="11"/>
  <c r="J95" i="11"/>
  <c r="K95" i="11"/>
  <c r="F58" i="8"/>
  <c r="L95" i="11"/>
  <c r="M95" i="11"/>
  <c r="N95" i="11"/>
  <c r="G58" i="8"/>
  <c r="O95" i="11"/>
  <c r="P95" i="11"/>
  <c r="Q95" i="11"/>
  <c r="H58" i="8"/>
  <c r="R95" i="11"/>
  <c r="S95" i="11"/>
  <c r="T95" i="11"/>
  <c r="I58" i="8"/>
  <c r="U95" i="11"/>
  <c r="V95" i="11"/>
  <c r="W95" i="11"/>
  <c r="J58" i="8"/>
  <c r="X95" i="11"/>
  <c r="Y95" i="11"/>
  <c r="Z95" i="11"/>
  <c r="K58" i="8"/>
  <c r="AA95" i="11"/>
  <c r="AB95" i="11"/>
  <c r="AC95" i="11"/>
  <c r="L58" i="8"/>
  <c r="AD95" i="11"/>
  <c r="AE95" i="11"/>
  <c r="AF95" i="11"/>
  <c r="M58" i="8"/>
  <c r="AG95" i="11"/>
  <c r="AH95" i="11"/>
  <c r="AI95" i="11"/>
  <c r="N58" i="8"/>
  <c r="AJ95" i="11"/>
  <c r="AK95" i="11"/>
  <c r="AL95" i="11"/>
  <c r="O58" i="8"/>
  <c r="AM95" i="11"/>
  <c r="AN95" i="11"/>
  <c r="AO95" i="11"/>
  <c r="P58" i="8"/>
  <c r="AP95" i="11"/>
  <c r="AQ95" i="11"/>
  <c r="AR95" i="11"/>
  <c r="Q58" i="8"/>
  <c r="AS95" i="11"/>
  <c r="AT95" i="11"/>
  <c r="AU95" i="11"/>
  <c r="R58" i="8"/>
  <c r="AV95" i="11"/>
  <c r="AW95" i="11"/>
  <c r="AX95" i="11"/>
  <c r="S58" i="8"/>
  <c r="AY95" i="11"/>
  <c r="AZ95" i="11"/>
  <c r="BA95" i="11"/>
  <c r="T58" i="8"/>
  <c r="BB95" i="11"/>
  <c r="BC95" i="11"/>
  <c r="BD95" i="11"/>
  <c r="U58" i="8"/>
  <c r="BE95" i="11"/>
  <c r="BF95" i="11"/>
  <c r="BG95" i="11"/>
  <c r="V58" i="8"/>
  <c r="BH95" i="11"/>
  <c r="BI95" i="11"/>
  <c r="BJ95" i="11"/>
  <c r="W58" i="8"/>
  <c r="BK95" i="11"/>
  <c r="BL95" i="11"/>
  <c r="BM95" i="11"/>
  <c r="X58" i="8"/>
  <c r="BN95" i="11"/>
  <c r="BO95" i="11"/>
  <c r="BP95" i="11"/>
  <c r="Y58" i="8"/>
  <c r="BQ95" i="11"/>
  <c r="BR95" i="11"/>
  <c r="BS95" i="11"/>
  <c r="Z58" i="8"/>
  <c r="BT95" i="11"/>
  <c r="BU95" i="11"/>
  <c r="BV95" i="11"/>
  <c r="AA58" i="8"/>
  <c r="BW95" i="11"/>
  <c r="BX95" i="11"/>
  <c r="BY95" i="11"/>
  <c r="AB58" i="8"/>
  <c r="BZ95" i="11"/>
  <c r="CA95" i="11"/>
  <c r="CB95" i="11"/>
  <c r="AC58" i="8"/>
  <c r="CC95" i="11"/>
  <c r="CD95" i="11"/>
  <c r="CE95" i="11"/>
  <c r="AD58" i="8"/>
  <c r="CF95" i="11"/>
  <c r="CG95" i="11"/>
  <c r="CH95" i="11"/>
  <c r="AE58" i="8"/>
  <c r="CI95" i="11"/>
  <c r="CJ95" i="11"/>
  <c r="CK95" i="11"/>
  <c r="AF58" i="8"/>
  <c r="CL95" i="11"/>
  <c r="CM95" i="11"/>
  <c r="CN95" i="11"/>
  <c r="AG58" i="8"/>
  <c r="CO95" i="11"/>
  <c r="CP95" i="11"/>
  <c r="CQ95" i="11"/>
  <c r="AH58" i="8"/>
  <c r="CR95" i="11"/>
  <c r="CS95" i="11"/>
  <c r="CT95" i="11"/>
  <c r="AI58" i="8"/>
  <c r="CU95" i="11"/>
  <c r="CV95" i="11"/>
  <c r="CW95" i="11"/>
  <c r="AJ58" i="8"/>
  <c r="CX95" i="11"/>
  <c r="CY95" i="11"/>
  <c r="CZ95" i="11"/>
  <c r="AK58" i="8"/>
  <c r="DA95" i="11"/>
  <c r="DB95" i="11"/>
  <c r="DC95" i="11"/>
  <c r="DD95" i="11"/>
  <c r="DE95" i="11"/>
  <c r="B96" i="11"/>
  <c r="E96" i="11"/>
  <c r="H96" i="11"/>
  <c r="K96" i="11"/>
  <c r="N96" i="11"/>
  <c r="Q96" i="11"/>
  <c r="T96" i="11"/>
  <c r="W96" i="11"/>
  <c r="Z96" i="11"/>
  <c r="AC96" i="11"/>
  <c r="AF96" i="11"/>
  <c r="AI96" i="11"/>
  <c r="AL96" i="11"/>
  <c r="AO96" i="11"/>
  <c r="AR96" i="11"/>
  <c r="AU96" i="11"/>
  <c r="AX96" i="11"/>
  <c r="BA96" i="11"/>
  <c r="BD96" i="11"/>
  <c r="BG96" i="11"/>
  <c r="BJ96" i="11"/>
  <c r="BM96" i="11"/>
  <c r="BP96" i="11"/>
  <c r="BS96" i="11"/>
  <c r="BV96" i="11"/>
  <c r="BY96" i="11"/>
  <c r="CB96" i="11"/>
  <c r="CE96" i="11"/>
  <c r="CH96" i="11"/>
  <c r="CK96" i="11"/>
  <c r="CN96" i="11"/>
  <c r="CQ96" i="11"/>
  <c r="CT96" i="11"/>
  <c r="CW96" i="11"/>
  <c r="CZ96" i="11"/>
  <c r="DC96" i="11"/>
  <c r="B97" i="11"/>
  <c r="E97" i="11"/>
  <c r="H97" i="11"/>
  <c r="K97" i="11"/>
  <c r="N97" i="11"/>
  <c r="Q97" i="11"/>
  <c r="T97" i="11"/>
  <c r="W97" i="11"/>
  <c r="Z97" i="11"/>
  <c r="AC97" i="11"/>
  <c r="AF97" i="11"/>
  <c r="AI97" i="11"/>
  <c r="AL97" i="11"/>
  <c r="AO97" i="11"/>
  <c r="AR97" i="11"/>
  <c r="AU97" i="11"/>
  <c r="AX97" i="11"/>
  <c r="BA97" i="11"/>
  <c r="BD97" i="11"/>
  <c r="BG97" i="11"/>
  <c r="BJ97" i="11"/>
  <c r="BM97" i="11"/>
  <c r="BP97" i="11"/>
  <c r="BS97" i="11"/>
  <c r="BV97" i="11"/>
  <c r="BY97" i="11"/>
  <c r="CB97" i="11"/>
  <c r="CE97" i="11"/>
  <c r="CH97" i="11"/>
  <c r="CK97" i="11"/>
  <c r="CN97" i="11"/>
  <c r="CQ97" i="11"/>
  <c r="CT97" i="11"/>
  <c r="CW97" i="11"/>
  <c r="CZ97" i="11"/>
  <c r="DC97" i="11"/>
  <c r="B98" i="11"/>
  <c r="E98" i="11"/>
  <c r="H98" i="11"/>
  <c r="K98" i="11"/>
  <c r="N98" i="11"/>
  <c r="Q98" i="11"/>
  <c r="T98" i="11"/>
  <c r="W98" i="11"/>
  <c r="Z98" i="11"/>
  <c r="AC98" i="11"/>
  <c r="AF98" i="11"/>
  <c r="AI98" i="11"/>
  <c r="AL98" i="11"/>
  <c r="AO98" i="11"/>
  <c r="AR98" i="11"/>
  <c r="AU98" i="11"/>
  <c r="AX98" i="11"/>
  <c r="BA98" i="11"/>
  <c r="BD98" i="11"/>
  <c r="BG98" i="11"/>
  <c r="BJ98" i="11"/>
  <c r="BM98" i="11"/>
  <c r="BP98" i="11"/>
  <c r="BS98" i="11"/>
  <c r="BV98" i="11"/>
  <c r="BY98" i="11"/>
  <c r="CB98" i="11"/>
  <c r="CE98" i="11"/>
  <c r="CH98" i="11"/>
  <c r="CK98" i="11"/>
  <c r="CN98" i="11"/>
  <c r="CQ98" i="11"/>
  <c r="CT98" i="11"/>
  <c r="CW98" i="11"/>
  <c r="CZ98" i="11"/>
  <c r="DC98" i="11"/>
  <c r="B99" i="11"/>
  <c r="E99" i="11"/>
  <c r="H99" i="11"/>
  <c r="K99" i="11"/>
  <c r="N99" i="11"/>
  <c r="Q99" i="11"/>
  <c r="T99" i="11"/>
  <c r="W99" i="11"/>
  <c r="Z99" i="11"/>
  <c r="AC99" i="11"/>
  <c r="AF99" i="11"/>
  <c r="AI99" i="11"/>
  <c r="AL99" i="11"/>
  <c r="AO99" i="11"/>
  <c r="AR99" i="11"/>
  <c r="AU99" i="11"/>
  <c r="AX99" i="11"/>
  <c r="BA99" i="11"/>
  <c r="BD99" i="11"/>
  <c r="BG99" i="11"/>
  <c r="BJ99" i="11"/>
  <c r="BM99" i="11"/>
  <c r="BP99" i="11"/>
  <c r="BS99" i="11"/>
  <c r="BV99" i="11"/>
  <c r="BY99" i="11"/>
  <c r="CB99" i="11"/>
  <c r="CE99" i="11"/>
  <c r="CH99" i="11"/>
  <c r="CK99" i="11"/>
  <c r="CN99" i="11"/>
  <c r="CQ99" i="11"/>
  <c r="CT99" i="11"/>
  <c r="CW99" i="11"/>
  <c r="CZ99" i="11"/>
  <c r="DC99" i="11"/>
  <c r="B100" i="11"/>
  <c r="E100" i="11"/>
  <c r="H100" i="11"/>
  <c r="K100" i="11"/>
  <c r="N100" i="11"/>
  <c r="Q100" i="11"/>
  <c r="T100" i="11"/>
  <c r="W100" i="11"/>
  <c r="Z100" i="11"/>
  <c r="AC100" i="11"/>
  <c r="AF100" i="11"/>
  <c r="AI100" i="11"/>
  <c r="AL100" i="11"/>
  <c r="AO100" i="11"/>
  <c r="AR100" i="11"/>
  <c r="AU100" i="11"/>
  <c r="AX100" i="11"/>
  <c r="BA100" i="11"/>
  <c r="BD100" i="11"/>
  <c r="BG100" i="11"/>
  <c r="BJ100" i="11"/>
  <c r="BM100" i="11"/>
  <c r="BP100" i="11"/>
  <c r="BS100" i="11"/>
  <c r="BV100" i="11"/>
  <c r="BY100" i="11"/>
  <c r="CB100" i="11"/>
  <c r="CE100" i="11"/>
  <c r="CH100" i="11"/>
  <c r="CK100" i="11"/>
  <c r="CN100" i="11"/>
  <c r="CQ100" i="11"/>
  <c r="CT100" i="11"/>
  <c r="CW100" i="11"/>
  <c r="CZ100" i="11"/>
  <c r="DC100" i="11"/>
  <c r="B101" i="11"/>
  <c r="E101" i="11"/>
  <c r="H101" i="11"/>
  <c r="K101" i="11"/>
  <c r="N101" i="11"/>
  <c r="Q101" i="11"/>
  <c r="T101" i="11"/>
  <c r="W101" i="11"/>
  <c r="Z101" i="11"/>
  <c r="AC101" i="11"/>
  <c r="AF101" i="11"/>
  <c r="AI101" i="11"/>
  <c r="AL101" i="11"/>
  <c r="AO101" i="11"/>
  <c r="AR101" i="11"/>
  <c r="AU101" i="11"/>
  <c r="AX101" i="11"/>
  <c r="BA101" i="11"/>
  <c r="BD101" i="11"/>
  <c r="BG101" i="11"/>
  <c r="BJ101" i="11"/>
  <c r="BM101" i="11"/>
  <c r="BP101" i="11"/>
  <c r="BS101" i="11"/>
  <c r="BV101" i="11"/>
  <c r="BY101" i="11"/>
  <c r="CB101" i="11"/>
  <c r="CE101" i="11"/>
  <c r="CH101" i="11"/>
  <c r="CK101" i="11"/>
  <c r="CN101" i="11"/>
  <c r="CQ101" i="11"/>
  <c r="CT101" i="11"/>
  <c r="CW101" i="11"/>
  <c r="CZ101" i="11"/>
  <c r="DC101" i="11"/>
  <c r="B102" i="11"/>
  <c r="C59" i="8"/>
  <c r="C102" i="11"/>
  <c r="D102" i="11"/>
  <c r="E102" i="11"/>
  <c r="D59" i="8"/>
  <c r="F102" i="11"/>
  <c r="G102" i="11"/>
  <c r="H102" i="11"/>
  <c r="E59" i="8"/>
  <c r="I102" i="11"/>
  <c r="J102" i="11"/>
  <c r="K102" i="11"/>
  <c r="F59" i="8"/>
  <c r="L102" i="11"/>
  <c r="N102" i="11"/>
  <c r="G59" i="8"/>
  <c r="O102" i="11"/>
  <c r="P102" i="11"/>
  <c r="Q102" i="11"/>
  <c r="H59" i="8"/>
  <c r="R102" i="11"/>
  <c r="S102" i="11"/>
  <c r="T102" i="11"/>
  <c r="I59" i="8"/>
  <c r="U102" i="11"/>
  <c r="V102" i="11"/>
  <c r="W102" i="11"/>
  <c r="J59" i="8"/>
  <c r="X102" i="11"/>
  <c r="Y102" i="11"/>
  <c r="Z102" i="11"/>
  <c r="K59" i="8"/>
  <c r="AA102" i="11"/>
  <c r="AB102" i="11"/>
  <c r="AC102" i="11"/>
  <c r="L59" i="8"/>
  <c r="AD102" i="11"/>
  <c r="AE102" i="11"/>
  <c r="AF102" i="11"/>
  <c r="M59" i="8"/>
  <c r="AG102" i="11"/>
  <c r="AH102" i="11"/>
  <c r="AI102" i="11"/>
  <c r="N59" i="8"/>
  <c r="AJ102" i="11"/>
  <c r="AL102" i="11"/>
  <c r="O59" i="8"/>
  <c r="AM102" i="11"/>
  <c r="AN102" i="11"/>
  <c r="AO102" i="11"/>
  <c r="P59" i="8"/>
  <c r="AP102" i="11"/>
  <c r="AQ102" i="11"/>
  <c r="AR102" i="11"/>
  <c r="Q59" i="8"/>
  <c r="AS102" i="11"/>
  <c r="AT102" i="11"/>
  <c r="AU102" i="11"/>
  <c r="R59" i="8"/>
  <c r="AV102" i="11"/>
  <c r="AW102" i="11"/>
  <c r="AX102" i="11"/>
  <c r="S59" i="8"/>
  <c r="AY102" i="11"/>
  <c r="AZ102" i="11"/>
  <c r="BA102" i="11"/>
  <c r="T59" i="8"/>
  <c r="BB102" i="11"/>
  <c r="BC102" i="11"/>
  <c r="BD102" i="11"/>
  <c r="U59" i="8"/>
  <c r="BE102" i="11"/>
  <c r="BF102" i="11"/>
  <c r="BG102" i="11"/>
  <c r="V59" i="8"/>
  <c r="BH102" i="11"/>
  <c r="BJ102" i="11"/>
  <c r="W59" i="8"/>
  <c r="BK102" i="11"/>
  <c r="BL102" i="11"/>
  <c r="BM102" i="11"/>
  <c r="X59" i="8"/>
  <c r="BN102" i="11"/>
  <c r="BO102" i="11"/>
  <c r="BP102" i="11"/>
  <c r="Y59" i="8"/>
  <c r="BQ102" i="11"/>
  <c r="BR102" i="11"/>
  <c r="BS102" i="11"/>
  <c r="Z59" i="8"/>
  <c r="BT102" i="11"/>
  <c r="BU102" i="11"/>
  <c r="BV102" i="11"/>
  <c r="AA59" i="8"/>
  <c r="BW102" i="11"/>
  <c r="BX102" i="11"/>
  <c r="BY102" i="11"/>
  <c r="AB59" i="8"/>
  <c r="BZ102" i="11"/>
  <c r="CA102" i="11"/>
  <c r="CB102" i="11"/>
  <c r="AC59" i="8"/>
  <c r="CC102" i="11"/>
  <c r="CD102" i="11"/>
  <c r="CE102" i="11"/>
  <c r="AD59" i="8"/>
  <c r="CF102" i="11"/>
  <c r="CH102" i="11"/>
  <c r="AE59" i="8"/>
  <c r="CI102" i="11"/>
  <c r="CJ102" i="11"/>
  <c r="CK102" i="11"/>
  <c r="AF59" i="8"/>
  <c r="CL102" i="11"/>
  <c r="CM102" i="11"/>
  <c r="CN102" i="11"/>
  <c r="AG59" i="8"/>
  <c r="CO102" i="11"/>
  <c r="CP102" i="11"/>
  <c r="CQ102" i="11"/>
  <c r="AH59" i="8"/>
  <c r="CR102" i="11"/>
  <c r="CS102" i="11"/>
  <c r="CT102" i="11"/>
  <c r="AI59" i="8"/>
  <c r="CU102" i="11"/>
  <c r="CV102" i="11"/>
  <c r="CW102" i="11"/>
  <c r="AJ59" i="8"/>
  <c r="CX102" i="11"/>
  <c r="CY102" i="11"/>
  <c r="CZ102" i="11"/>
  <c r="AK59" i="8"/>
  <c r="DA102" i="11"/>
  <c r="DB102" i="11"/>
  <c r="DC102" i="11"/>
  <c r="DD102" i="11"/>
  <c r="B103" i="11"/>
  <c r="D103" i="11"/>
  <c r="E103" i="11"/>
  <c r="G103" i="11"/>
  <c r="H103" i="11"/>
  <c r="J103" i="11"/>
  <c r="K103" i="11"/>
  <c r="M103" i="11"/>
  <c r="N103" i="11"/>
  <c r="P103" i="11"/>
  <c r="Q103" i="11"/>
  <c r="S103" i="11"/>
  <c r="T103" i="11"/>
  <c r="V103" i="11"/>
  <c r="W103" i="11"/>
  <c r="Y103" i="11"/>
  <c r="Z103" i="11"/>
  <c r="AB103" i="11"/>
  <c r="AC103" i="11"/>
  <c r="AE103" i="11"/>
  <c r="AF103" i="11"/>
  <c r="AH103" i="11"/>
  <c r="AI103" i="11"/>
  <c r="AK103" i="11"/>
  <c r="AL103" i="11"/>
  <c r="AN103" i="11"/>
  <c r="AO103" i="11"/>
  <c r="AQ103" i="11"/>
  <c r="AR103" i="11"/>
  <c r="AT103" i="11"/>
  <c r="AU103" i="11"/>
  <c r="AW103" i="11"/>
  <c r="AX103" i="11"/>
  <c r="AZ103" i="11"/>
  <c r="BA103" i="11"/>
  <c r="BC103" i="11"/>
  <c r="BD103" i="11"/>
  <c r="BF103" i="11"/>
  <c r="BG103" i="11"/>
  <c r="BI103" i="11"/>
  <c r="BJ103" i="11"/>
  <c r="BL103" i="11"/>
  <c r="BM103" i="11"/>
  <c r="BO103" i="11"/>
  <c r="BP103" i="11"/>
  <c r="BR103" i="11"/>
  <c r="BS103" i="11"/>
  <c r="BU103" i="11"/>
  <c r="BV103" i="11"/>
  <c r="BX103" i="11"/>
  <c r="BY103" i="11"/>
  <c r="CA103" i="11"/>
  <c r="CB103" i="11"/>
  <c r="CD103" i="11"/>
  <c r="CE103" i="11"/>
  <c r="CG103" i="11"/>
  <c r="CH103" i="11"/>
  <c r="CJ103" i="11"/>
  <c r="CK103" i="11"/>
  <c r="CM103" i="11"/>
  <c r="CN103" i="11"/>
  <c r="CP103" i="11"/>
  <c r="CQ103" i="11"/>
  <c r="CS103" i="11"/>
  <c r="CT103" i="11"/>
  <c r="CV103" i="11"/>
  <c r="CW103" i="11"/>
  <c r="CY103" i="11"/>
  <c r="CZ103" i="11"/>
  <c r="DB103" i="11"/>
  <c r="DC103" i="11"/>
  <c r="DE103" i="11"/>
  <c r="B104" i="11"/>
  <c r="C60" i="8"/>
  <c r="C104" i="11"/>
  <c r="D104" i="11"/>
  <c r="E104" i="11"/>
  <c r="D60" i="8"/>
  <c r="F104" i="11"/>
  <c r="G104" i="11"/>
  <c r="H104" i="11"/>
  <c r="E60" i="8"/>
  <c r="I104" i="11"/>
  <c r="J104" i="11"/>
  <c r="K104" i="11"/>
  <c r="F60" i="8"/>
  <c r="L104" i="11"/>
  <c r="M104" i="11"/>
  <c r="N104" i="11"/>
  <c r="G60" i="8"/>
  <c r="O104" i="11"/>
  <c r="P104" i="11"/>
  <c r="Q104" i="11"/>
  <c r="H60" i="8"/>
  <c r="R104" i="11"/>
  <c r="S104" i="11"/>
  <c r="T104" i="11"/>
  <c r="I60" i="8"/>
  <c r="U104" i="11"/>
  <c r="V104" i="11"/>
  <c r="W104" i="11"/>
  <c r="J60" i="8"/>
  <c r="X104" i="11"/>
  <c r="Z104" i="11"/>
  <c r="K60" i="8"/>
  <c r="AA104" i="11"/>
  <c r="AB104" i="11"/>
  <c r="AC104" i="11"/>
  <c r="L60" i="8"/>
  <c r="AD104" i="11"/>
  <c r="AE104" i="11"/>
  <c r="AF104" i="11"/>
  <c r="M60" i="8"/>
  <c r="AG104" i="11"/>
  <c r="AH104" i="11"/>
  <c r="AI104" i="11"/>
  <c r="N60" i="8"/>
  <c r="AJ104" i="11"/>
  <c r="AK104" i="11"/>
  <c r="AL104" i="11"/>
  <c r="O60" i="8"/>
  <c r="AM104" i="11"/>
  <c r="AN104" i="11"/>
  <c r="AO104" i="11"/>
  <c r="P60" i="8"/>
  <c r="AP104" i="11"/>
  <c r="AQ104" i="11"/>
  <c r="AR104" i="11"/>
  <c r="Q60" i="8"/>
  <c r="AS104" i="11"/>
  <c r="AT104" i="11"/>
  <c r="AU104" i="11"/>
  <c r="R60" i="8"/>
  <c r="AV104" i="11"/>
  <c r="AX104" i="11"/>
  <c r="S60" i="8"/>
  <c r="AY104" i="11"/>
  <c r="AZ104" i="11"/>
  <c r="BA104" i="11"/>
  <c r="T60" i="8"/>
  <c r="BB104" i="11"/>
  <c r="BC104" i="11"/>
  <c r="BD104" i="11"/>
  <c r="U60" i="8"/>
  <c r="BE104" i="11"/>
  <c r="BF104" i="11"/>
  <c r="BG104" i="11"/>
  <c r="V60" i="8"/>
  <c r="BH104" i="11"/>
  <c r="BI104" i="11"/>
  <c r="BJ104" i="11"/>
  <c r="W60" i="8"/>
  <c r="BK104" i="11"/>
  <c r="BL104" i="11"/>
  <c r="BM104" i="11"/>
  <c r="X60" i="8"/>
  <c r="BN104" i="11"/>
  <c r="BO104" i="11"/>
  <c r="BP104" i="11"/>
  <c r="Y60" i="8"/>
  <c r="BQ104" i="11"/>
  <c r="BR104" i="11"/>
  <c r="BS104" i="11"/>
  <c r="Z60" i="8"/>
  <c r="BT104" i="11"/>
  <c r="BV104" i="11"/>
  <c r="AA60" i="8"/>
  <c r="BW104" i="11"/>
  <c r="BX104" i="11"/>
  <c r="BY104" i="11"/>
  <c r="AB60" i="8"/>
  <c r="BZ104" i="11"/>
  <c r="CA104" i="11"/>
  <c r="CB104" i="11"/>
  <c r="AC60" i="8"/>
  <c r="CC104" i="11"/>
  <c r="CD104" i="11"/>
  <c r="CE104" i="11"/>
  <c r="AD60" i="8"/>
  <c r="CF104" i="11"/>
  <c r="CG104" i="11"/>
  <c r="CH104" i="11"/>
  <c r="AE60" i="8"/>
  <c r="CI104" i="11"/>
  <c r="CJ104" i="11"/>
  <c r="CK104" i="11"/>
  <c r="AF60" i="8"/>
  <c r="CL104" i="11"/>
  <c r="CM104" i="11"/>
  <c r="CN104" i="11"/>
  <c r="AG60" i="8"/>
  <c r="CO104" i="11"/>
  <c r="CP104" i="11"/>
  <c r="CQ104" i="11"/>
  <c r="AH60" i="8"/>
  <c r="CR104" i="11"/>
  <c r="CT104" i="11"/>
  <c r="AI60" i="8"/>
  <c r="CU104" i="11"/>
  <c r="CV104" i="11"/>
  <c r="CW104" i="11"/>
  <c r="AJ60" i="8"/>
  <c r="CX104" i="11"/>
  <c r="CY104" i="11"/>
  <c r="CZ104" i="11"/>
  <c r="AK60" i="8"/>
  <c r="DA104" i="11"/>
  <c r="DB104" i="11"/>
  <c r="DC104" i="11"/>
  <c r="DD104" i="11"/>
  <c r="DE104" i="11"/>
  <c r="B105" i="11"/>
  <c r="C61" i="8"/>
  <c r="C105" i="11"/>
  <c r="D105" i="11"/>
  <c r="E105" i="11"/>
  <c r="D61" i="8"/>
  <c r="F105" i="11"/>
  <c r="G105" i="11"/>
  <c r="H105" i="11"/>
  <c r="E61" i="8"/>
  <c r="I105" i="11"/>
  <c r="J105" i="11"/>
  <c r="K105" i="11"/>
  <c r="F61" i="8"/>
  <c r="L105" i="11"/>
  <c r="N105" i="11"/>
  <c r="G61" i="8"/>
  <c r="O105" i="11"/>
  <c r="P105" i="11"/>
  <c r="Q105" i="11"/>
  <c r="H61" i="8"/>
  <c r="R105" i="11"/>
  <c r="S105" i="11"/>
  <c r="T105" i="11"/>
  <c r="I61" i="8"/>
  <c r="U105" i="11"/>
  <c r="V105" i="11"/>
  <c r="W105" i="11"/>
  <c r="J61" i="8"/>
  <c r="X105" i="11"/>
  <c r="Y105" i="11"/>
  <c r="Z105" i="11"/>
  <c r="K61" i="8"/>
  <c r="AA105" i="11"/>
  <c r="AB105" i="11"/>
  <c r="AC105" i="11"/>
  <c r="L61" i="8"/>
  <c r="AD105" i="11"/>
  <c r="AE105" i="11"/>
  <c r="AF105" i="11"/>
  <c r="M61" i="8"/>
  <c r="AG105" i="11"/>
  <c r="AH105" i="11"/>
  <c r="AI105" i="11"/>
  <c r="N61" i="8"/>
  <c r="AJ105" i="11"/>
  <c r="AL105" i="11"/>
  <c r="O61" i="8"/>
  <c r="AM105" i="11"/>
  <c r="AN105" i="11"/>
  <c r="AO105" i="11"/>
  <c r="P61" i="8"/>
  <c r="AP105" i="11"/>
  <c r="AQ105" i="11"/>
  <c r="AR105" i="11"/>
  <c r="Q61" i="8"/>
  <c r="AS105" i="11"/>
  <c r="AT105" i="11"/>
  <c r="AU105" i="11"/>
  <c r="R61" i="8"/>
  <c r="AV105" i="11"/>
  <c r="AW105" i="11"/>
  <c r="AX105" i="11"/>
  <c r="S61" i="8"/>
  <c r="AY105" i="11"/>
  <c r="AZ105" i="11"/>
  <c r="BA105" i="11"/>
  <c r="T61" i="8"/>
  <c r="BB105" i="11"/>
  <c r="BC105" i="11"/>
  <c r="BD105" i="11"/>
  <c r="U61" i="8"/>
  <c r="BE105" i="11"/>
  <c r="BF105" i="11"/>
  <c r="BG105" i="11"/>
  <c r="V61" i="8"/>
  <c r="BH105" i="11"/>
  <c r="BJ105" i="11"/>
  <c r="W61" i="8"/>
  <c r="BK105" i="11"/>
  <c r="BL105" i="11"/>
  <c r="BM105" i="11"/>
  <c r="X61" i="8"/>
  <c r="BN105" i="11"/>
  <c r="BO105" i="11"/>
  <c r="BP105" i="11"/>
  <c r="Y61" i="8"/>
  <c r="BQ105" i="11"/>
  <c r="BR105" i="11"/>
  <c r="BS105" i="11"/>
  <c r="Z61" i="8"/>
  <c r="BT105" i="11"/>
  <c r="BU105" i="11"/>
  <c r="BV105" i="11"/>
  <c r="AA61" i="8"/>
  <c r="BW105" i="11"/>
  <c r="BX105" i="11"/>
  <c r="BY105" i="11"/>
  <c r="AB61" i="8"/>
  <c r="BZ105" i="11"/>
  <c r="CA105" i="11"/>
  <c r="CB105" i="11"/>
  <c r="AC61" i="8"/>
  <c r="CC105" i="11"/>
  <c r="CD105" i="11"/>
  <c r="CE105" i="11"/>
  <c r="AD61" i="8"/>
  <c r="CF105" i="11"/>
  <c r="CH105" i="11"/>
  <c r="AE61" i="8"/>
  <c r="CI105" i="11"/>
  <c r="CJ105" i="11"/>
  <c r="CK105" i="11"/>
  <c r="AF61" i="8"/>
  <c r="CL105" i="11"/>
  <c r="CM105" i="11"/>
  <c r="CN105" i="11"/>
  <c r="AG61" i="8"/>
  <c r="CO105" i="11"/>
  <c r="CP105" i="11"/>
  <c r="CQ105" i="11"/>
  <c r="AH61" i="8"/>
  <c r="CR105" i="11"/>
  <c r="CS105" i="11"/>
  <c r="CT105" i="11"/>
  <c r="AI61" i="8"/>
  <c r="CU105" i="11"/>
  <c r="CV105" i="11"/>
  <c r="CW105" i="11"/>
  <c r="AJ61" i="8"/>
  <c r="CX105" i="11"/>
  <c r="CY105" i="11"/>
  <c r="CZ105" i="11"/>
  <c r="AK61" i="8"/>
  <c r="DA105" i="11"/>
  <c r="DB105" i="11"/>
  <c r="DC105" i="11"/>
  <c r="DD105" i="11"/>
  <c r="B106" i="11"/>
  <c r="C62" i="8"/>
  <c r="C106" i="11"/>
  <c r="D106" i="11"/>
  <c r="E106" i="11"/>
  <c r="D62" i="8"/>
  <c r="F106" i="11"/>
  <c r="G106" i="11"/>
  <c r="H106" i="11"/>
  <c r="E62" i="8"/>
  <c r="I106" i="11"/>
  <c r="J106" i="11"/>
  <c r="K106" i="11"/>
  <c r="F62" i="8"/>
  <c r="L106" i="11"/>
  <c r="M106" i="11"/>
  <c r="N106" i="11"/>
  <c r="G62" i="8"/>
  <c r="O106" i="11"/>
  <c r="P106" i="11"/>
  <c r="Q106" i="11"/>
  <c r="H62" i="8"/>
  <c r="R106" i="11"/>
  <c r="S106" i="11"/>
  <c r="T106" i="11"/>
  <c r="I62" i="8"/>
  <c r="U106" i="11"/>
  <c r="V106" i="11"/>
  <c r="W106" i="11"/>
  <c r="J62" i="8"/>
  <c r="X106" i="11"/>
  <c r="Z106" i="11"/>
  <c r="K62" i="8"/>
  <c r="AA106" i="11"/>
  <c r="AB106" i="11"/>
  <c r="AC106" i="11"/>
  <c r="L62" i="8"/>
  <c r="AD106" i="11"/>
  <c r="AE106" i="11"/>
  <c r="AF106" i="11"/>
  <c r="M62" i="8"/>
  <c r="AG106" i="11"/>
  <c r="AH106" i="11"/>
  <c r="AI106" i="11"/>
  <c r="N62" i="8"/>
  <c r="AJ106" i="11"/>
  <c r="AK106" i="11"/>
  <c r="AL106" i="11"/>
  <c r="O62" i="8"/>
  <c r="AM106" i="11"/>
  <c r="AN106" i="11"/>
  <c r="AO106" i="11"/>
  <c r="P62" i="8"/>
  <c r="AP106" i="11"/>
  <c r="AQ106" i="11"/>
  <c r="AR106" i="11"/>
  <c r="Q62" i="8"/>
  <c r="AS106" i="11"/>
  <c r="AT106" i="11"/>
  <c r="AU106" i="11"/>
  <c r="R62" i="8"/>
  <c r="AV106" i="11"/>
  <c r="AX106" i="11"/>
  <c r="S62" i="8"/>
  <c r="AY106" i="11"/>
  <c r="AZ106" i="11"/>
  <c r="BA106" i="11"/>
  <c r="T62" i="8"/>
  <c r="BB106" i="11"/>
  <c r="BC106" i="11"/>
  <c r="BD106" i="11"/>
  <c r="U62" i="8"/>
  <c r="BE106" i="11"/>
  <c r="BF106" i="11"/>
  <c r="BG106" i="11"/>
  <c r="V62" i="8"/>
  <c r="BH106" i="11"/>
  <c r="BI106" i="11"/>
  <c r="BJ106" i="11"/>
  <c r="W62" i="8"/>
  <c r="BK106" i="11"/>
  <c r="BL106" i="11"/>
  <c r="BM106" i="11"/>
  <c r="X62" i="8"/>
  <c r="BN106" i="11"/>
  <c r="BO106" i="11"/>
  <c r="BP106" i="11"/>
  <c r="Y62" i="8"/>
  <c r="BQ106" i="11"/>
  <c r="BR106" i="11"/>
  <c r="BS106" i="11"/>
  <c r="Z62" i="8"/>
  <c r="BT106" i="11"/>
  <c r="BV106" i="11"/>
  <c r="AA62" i="8"/>
  <c r="BW106" i="11"/>
  <c r="BX106" i="11"/>
  <c r="BY106" i="11"/>
  <c r="AB62" i="8"/>
  <c r="BZ106" i="11"/>
  <c r="CA106" i="11"/>
  <c r="CB106" i="11"/>
  <c r="AC62" i="8"/>
  <c r="CC106" i="11"/>
  <c r="CD106" i="11"/>
  <c r="CE106" i="11"/>
  <c r="AD62" i="8"/>
  <c r="CF106" i="11"/>
  <c r="CG106" i="11"/>
  <c r="CH106" i="11"/>
  <c r="AE62" i="8"/>
  <c r="CI106" i="11"/>
  <c r="CJ106" i="11"/>
  <c r="CK106" i="11"/>
  <c r="AF62" i="8"/>
  <c r="CL106" i="11"/>
  <c r="CM106" i="11"/>
  <c r="CN106" i="11"/>
  <c r="AG62" i="8"/>
  <c r="CO106" i="11"/>
  <c r="CP106" i="11"/>
  <c r="CQ106" i="11"/>
  <c r="AH62" i="8"/>
  <c r="CR106" i="11"/>
  <c r="CT106" i="11"/>
  <c r="AI62" i="8"/>
  <c r="CU106" i="11"/>
  <c r="CV106" i="11"/>
  <c r="CW106" i="11"/>
  <c r="AJ62" i="8"/>
  <c r="CX106" i="11"/>
  <c r="CY106" i="11"/>
  <c r="CZ106" i="11"/>
  <c r="AK62" i="8"/>
  <c r="DA106" i="11"/>
  <c r="DB106" i="11"/>
  <c r="DC106" i="11"/>
  <c r="DD106" i="11"/>
  <c r="DE106" i="11"/>
  <c r="B107" i="11"/>
  <c r="D107" i="11"/>
  <c r="E107" i="11"/>
  <c r="G107" i="11"/>
  <c r="H107" i="11"/>
  <c r="J107" i="11"/>
  <c r="K107" i="11"/>
  <c r="M107" i="11"/>
  <c r="N107" i="11"/>
  <c r="P107" i="11"/>
  <c r="Q107" i="11"/>
  <c r="S107" i="11"/>
  <c r="T107" i="11"/>
  <c r="V107" i="11"/>
  <c r="W107" i="11"/>
  <c r="Y107" i="11"/>
  <c r="Z107" i="11"/>
  <c r="AB107" i="11"/>
  <c r="AC107" i="11"/>
  <c r="AE107" i="11"/>
  <c r="AF107" i="11"/>
  <c r="AH107" i="11"/>
  <c r="AI107" i="11"/>
  <c r="AK107" i="11"/>
  <c r="AL107" i="11"/>
  <c r="AN107" i="11"/>
  <c r="AO107" i="11"/>
  <c r="AQ107" i="11"/>
  <c r="AR107" i="11"/>
  <c r="AT107" i="11"/>
  <c r="AU107" i="11"/>
  <c r="AW107" i="11"/>
  <c r="AX107" i="11"/>
  <c r="AZ107" i="11"/>
  <c r="BA107" i="11"/>
  <c r="BC107" i="11"/>
  <c r="BD107" i="11"/>
  <c r="BF107" i="11"/>
  <c r="BG107" i="11"/>
  <c r="BI107" i="11"/>
  <c r="BJ107" i="11"/>
  <c r="BL107" i="11"/>
  <c r="BM107" i="11"/>
  <c r="BO107" i="11"/>
  <c r="BP107" i="11"/>
  <c r="BR107" i="11"/>
  <c r="BS107" i="11"/>
  <c r="BU107" i="11"/>
  <c r="BV107" i="11"/>
  <c r="BX107" i="11"/>
  <c r="BY107" i="11"/>
  <c r="CA107" i="11"/>
  <c r="CB107" i="11"/>
  <c r="CD107" i="11"/>
  <c r="CE107" i="11"/>
  <c r="CG107" i="11"/>
  <c r="CH107" i="11"/>
  <c r="CJ107" i="11"/>
  <c r="CK107" i="11"/>
  <c r="CM107" i="11"/>
  <c r="CN107" i="11"/>
  <c r="CP107" i="11"/>
  <c r="CQ107" i="11"/>
  <c r="CS107" i="11"/>
  <c r="CT107" i="11"/>
  <c r="CV107" i="11"/>
  <c r="CW107" i="11"/>
  <c r="CY107" i="11"/>
  <c r="CZ107" i="11"/>
  <c r="DB107" i="11"/>
  <c r="DC107" i="11"/>
  <c r="DE107" i="11"/>
  <c r="B108" i="11"/>
  <c r="D108" i="11"/>
  <c r="E108" i="11"/>
  <c r="G108" i="11"/>
  <c r="H108" i="11"/>
  <c r="J108" i="11"/>
  <c r="K108" i="11"/>
  <c r="M108" i="11"/>
  <c r="N108" i="11"/>
  <c r="P108" i="11"/>
  <c r="Q108" i="11"/>
  <c r="S108" i="11"/>
  <c r="T108" i="11"/>
  <c r="V108" i="11"/>
  <c r="W108" i="11"/>
  <c r="Y108" i="11"/>
  <c r="Z108" i="11"/>
  <c r="AB108" i="11"/>
  <c r="AC108" i="11"/>
  <c r="AE108" i="11"/>
  <c r="AF108" i="11"/>
  <c r="AH108" i="11"/>
  <c r="AI108" i="11"/>
  <c r="AK108" i="11"/>
  <c r="AL108" i="11"/>
  <c r="AN108" i="11"/>
  <c r="AO108" i="11"/>
  <c r="AQ108" i="11"/>
  <c r="AR108" i="11"/>
  <c r="AT108" i="11"/>
  <c r="AU108" i="11"/>
  <c r="AW108" i="11"/>
  <c r="AX108" i="11"/>
  <c r="AZ108" i="11"/>
  <c r="BA108" i="11"/>
  <c r="BC108" i="11"/>
  <c r="BD108" i="11"/>
  <c r="BF108" i="11"/>
  <c r="BG108" i="11"/>
  <c r="BI108" i="11"/>
  <c r="BJ108" i="11"/>
  <c r="BL108" i="11"/>
  <c r="BM108" i="11"/>
  <c r="BO108" i="11"/>
  <c r="BP108" i="11"/>
  <c r="BR108" i="11"/>
  <c r="BS108" i="11"/>
  <c r="BU108" i="11"/>
  <c r="BV108" i="11"/>
  <c r="BX108" i="11"/>
  <c r="BY108" i="11"/>
  <c r="CA108" i="11"/>
  <c r="CB108" i="11"/>
  <c r="CD108" i="11"/>
  <c r="CE108" i="11"/>
  <c r="CG108" i="11"/>
  <c r="CH108" i="11"/>
  <c r="CJ108" i="11"/>
  <c r="CK108" i="11"/>
  <c r="CM108" i="11"/>
  <c r="CN108" i="11"/>
  <c r="CP108" i="11"/>
  <c r="CQ108" i="11"/>
  <c r="CS108" i="11"/>
  <c r="CT108" i="11"/>
  <c r="CV108" i="11"/>
  <c r="CW108" i="11"/>
  <c r="CY108" i="11"/>
  <c r="CZ108" i="11"/>
  <c r="DB108" i="11"/>
  <c r="DC108" i="11"/>
  <c r="DE108" i="11"/>
  <c r="B109" i="11"/>
  <c r="D109" i="11"/>
  <c r="E109" i="11"/>
  <c r="G109" i="11"/>
  <c r="H109" i="11"/>
  <c r="J109" i="11"/>
  <c r="K109" i="11"/>
  <c r="M109" i="11"/>
  <c r="N109" i="11"/>
  <c r="P109" i="11"/>
  <c r="Q109" i="11"/>
  <c r="S109" i="11"/>
  <c r="T109" i="11"/>
  <c r="V109" i="11"/>
  <c r="W109" i="11"/>
  <c r="Y109" i="11"/>
  <c r="Z109" i="11"/>
  <c r="AB109" i="11"/>
  <c r="AC109" i="11"/>
  <c r="AE109" i="11"/>
  <c r="AF109" i="11"/>
  <c r="AH109" i="11"/>
  <c r="AI109" i="11"/>
  <c r="AK109" i="11"/>
  <c r="AL109" i="11"/>
  <c r="AN109" i="11"/>
  <c r="AO109" i="11"/>
  <c r="AQ109" i="11"/>
  <c r="AR109" i="11"/>
  <c r="AT109" i="11"/>
  <c r="AU109" i="11"/>
  <c r="AW109" i="11"/>
  <c r="AX109" i="11"/>
  <c r="AZ109" i="11"/>
  <c r="BA109" i="11"/>
  <c r="BC109" i="11"/>
  <c r="BD109" i="11"/>
  <c r="BF109" i="11"/>
  <c r="BG109" i="11"/>
  <c r="BI109" i="11"/>
  <c r="BJ109" i="11"/>
  <c r="BL109" i="11"/>
  <c r="BM109" i="11"/>
  <c r="BO109" i="11"/>
  <c r="BP109" i="11"/>
  <c r="BR109" i="11"/>
  <c r="BS109" i="11"/>
  <c r="BU109" i="11"/>
  <c r="BV109" i="11"/>
  <c r="BX109" i="11"/>
  <c r="BY109" i="11"/>
  <c r="CA109" i="11"/>
  <c r="CB109" i="11"/>
  <c r="CD109" i="11"/>
  <c r="CE109" i="11"/>
  <c r="CG109" i="11"/>
  <c r="CH109" i="11"/>
  <c r="CJ109" i="11"/>
  <c r="CK109" i="11"/>
  <c r="CM109" i="11"/>
  <c r="CN109" i="11"/>
  <c r="CP109" i="11"/>
  <c r="CQ109" i="11"/>
  <c r="CS109" i="11"/>
  <c r="CT109" i="11"/>
  <c r="CV109" i="11"/>
  <c r="CW109" i="11"/>
  <c r="CY109" i="11"/>
  <c r="CZ109" i="11"/>
  <c r="DB109" i="11"/>
  <c r="DC109" i="11"/>
  <c r="DE109" i="11"/>
  <c r="B110" i="11"/>
  <c r="C63" i="8"/>
  <c r="C110" i="11"/>
  <c r="D110" i="11"/>
  <c r="E110" i="11"/>
  <c r="D63" i="8"/>
  <c r="F110" i="11"/>
  <c r="G110" i="11"/>
  <c r="H110" i="11"/>
  <c r="E63" i="8"/>
  <c r="I110" i="11"/>
  <c r="J110" i="11"/>
  <c r="K110" i="11"/>
  <c r="F63" i="8"/>
  <c r="L110" i="11"/>
  <c r="M110" i="11"/>
  <c r="N110" i="11"/>
  <c r="G63" i="8"/>
  <c r="O110" i="11"/>
  <c r="P110" i="11"/>
  <c r="Q110" i="11"/>
  <c r="H63" i="8"/>
  <c r="R110" i="11"/>
  <c r="S110" i="11"/>
  <c r="T110" i="11"/>
  <c r="I63" i="8"/>
  <c r="U110" i="11"/>
  <c r="V110" i="11"/>
  <c r="W110" i="11"/>
  <c r="J63" i="8"/>
  <c r="X110" i="11"/>
  <c r="Y110" i="11"/>
  <c r="Z110" i="11"/>
  <c r="K63" i="8"/>
  <c r="AA110" i="11"/>
  <c r="AB110" i="11"/>
  <c r="AC110" i="11"/>
  <c r="L63" i="8"/>
  <c r="AD110" i="11"/>
  <c r="AE110" i="11"/>
  <c r="AF110" i="11"/>
  <c r="M63" i="8"/>
  <c r="AG110" i="11"/>
  <c r="AH110" i="11"/>
  <c r="AI110" i="11"/>
  <c r="N63" i="8"/>
  <c r="AJ110" i="11"/>
  <c r="AK110" i="11"/>
  <c r="AL110" i="11"/>
  <c r="O63" i="8"/>
  <c r="AM110" i="11"/>
  <c r="AN110" i="11"/>
  <c r="AO110" i="11"/>
  <c r="P63" i="8"/>
  <c r="AP110" i="11"/>
  <c r="AQ110" i="11"/>
  <c r="AR110" i="11"/>
  <c r="Q63" i="8"/>
  <c r="AS110" i="11"/>
  <c r="AT110" i="11"/>
  <c r="AU110" i="11"/>
  <c r="R63" i="8"/>
  <c r="AV110" i="11"/>
  <c r="AW110" i="11"/>
  <c r="AX110" i="11"/>
  <c r="S63" i="8"/>
  <c r="AY110" i="11"/>
  <c r="AZ110" i="11"/>
  <c r="BA110" i="11"/>
  <c r="T63" i="8"/>
  <c r="BB110" i="11"/>
  <c r="BC110" i="11"/>
  <c r="BD110" i="11"/>
  <c r="U63" i="8"/>
  <c r="BE110" i="11"/>
  <c r="BF110" i="11"/>
  <c r="BG110" i="11"/>
  <c r="V63" i="8"/>
  <c r="BH110" i="11"/>
  <c r="BI110" i="11"/>
  <c r="BJ110" i="11"/>
  <c r="W63" i="8"/>
  <c r="BK110" i="11"/>
  <c r="BL110" i="11"/>
  <c r="BM110" i="11"/>
  <c r="X63" i="8"/>
  <c r="BN110" i="11"/>
  <c r="BO110" i="11"/>
  <c r="BP110" i="11"/>
  <c r="Y63" i="8"/>
  <c r="BQ110" i="11"/>
  <c r="BR110" i="11"/>
  <c r="BS110" i="11"/>
  <c r="Z63" i="8"/>
  <c r="BT110" i="11"/>
  <c r="BU110" i="11"/>
  <c r="BV110" i="11"/>
  <c r="AA63" i="8"/>
  <c r="BW110" i="11"/>
  <c r="BX110" i="11"/>
  <c r="BY110" i="11"/>
  <c r="AB63" i="8"/>
  <c r="BZ110" i="11"/>
  <c r="CA110" i="11"/>
  <c r="CB110" i="11"/>
  <c r="AC63" i="8"/>
  <c r="CC110" i="11"/>
  <c r="CD110" i="11"/>
  <c r="CE110" i="11"/>
  <c r="AD63" i="8"/>
  <c r="CF110" i="11"/>
  <c r="CG110" i="11"/>
  <c r="CH110" i="11"/>
  <c r="AE63" i="8"/>
  <c r="CI110" i="11"/>
  <c r="CJ110" i="11"/>
  <c r="CK110" i="11"/>
  <c r="AF63" i="8"/>
  <c r="CL110" i="11"/>
  <c r="CM110" i="11"/>
  <c r="CN110" i="11"/>
  <c r="AG63" i="8"/>
  <c r="CO110" i="11"/>
  <c r="CP110" i="11"/>
  <c r="CQ110" i="11"/>
  <c r="AH63" i="8"/>
  <c r="CR110" i="11"/>
  <c r="CS110" i="11"/>
  <c r="CT110" i="11"/>
  <c r="AI63" i="8"/>
  <c r="CU110" i="11"/>
  <c r="CV110" i="11"/>
  <c r="CW110" i="11"/>
  <c r="AJ63" i="8"/>
  <c r="CX110" i="11"/>
  <c r="CY110" i="11"/>
  <c r="CZ110" i="11"/>
  <c r="AK63" i="8"/>
  <c r="DA110" i="11"/>
  <c r="DB110" i="11"/>
  <c r="DC110" i="11"/>
  <c r="DD110" i="11"/>
  <c r="DE110" i="11"/>
  <c r="B111" i="11"/>
  <c r="D111" i="11"/>
  <c r="E111" i="11"/>
  <c r="G111" i="11"/>
  <c r="H111" i="11"/>
  <c r="J111" i="11"/>
  <c r="K111" i="11"/>
  <c r="M111" i="11"/>
  <c r="N111" i="11"/>
  <c r="P111" i="11"/>
  <c r="Q111" i="11"/>
  <c r="S111" i="11"/>
  <c r="T111" i="11"/>
  <c r="V111" i="11"/>
  <c r="W111" i="11"/>
  <c r="Y111" i="11"/>
  <c r="Z111" i="11"/>
  <c r="AB111" i="11"/>
  <c r="AC111" i="11"/>
  <c r="AE111" i="11"/>
  <c r="AF111" i="11"/>
  <c r="AH111" i="11"/>
  <c r="AI111" i="11"/>
  <c r="AK111" i="11"/>
  <c r="AL111" i="11"/>
  <c r="AN111" i="11"/>
  <c r="AO111" i="11"/>
  <c r="AQ111" i="11"/>
  <c r="AR111" i="11"/>
  <c r="AT111" i="11"/>
  <c r="AU111" i="11"/>
  <c r="AW111" i="11"/>
  <c r="AX111" i="11"/>
  <c r="AZ111" i="11"/>
  <c r="BA111" i="11"/>
  <c r="BC111" i="11"/>
  <c r="BD111" i="11"/>
  <c r="BF111" i="11"/>
  <c r="BG111" i="11"/>
  <c r="BI111" i="11"/>
  <c r="BJ111" i="11"/>
  <c r="BL111" i="11"/>
  <c r="BM111" i="11"/>
  <c r="BO111" i="11"/>
  <c r="BP111" i="11"/>
  <c r="BR111" i="11"/>
  <c r="BS111" i="11"/>
  <c r="BU111" i="11"/>
  <c r="BV111" i="11"/>
  <c r="BX111" i="11"/>
  <c r="BY111" i="11"/>
  <c r="CA111" i="11"/>
  <c r="CB111" i="11"/>
  <c r="CD111" i="11"/>
  <c r="CE111" i="11"/>
  <c r="CG111" i="11"/>
  <c r="CH111" i="11"/>
  <c r="CJ111" i="11"/>
  <c r="CK111" i="11"/>
  <c r="CM111" i="11"/>
  <c r="CN111" i="11"/>
  <c r="CP111" i="11"/>
  <c r="CQ111" i="11"/>
  <c r="CS111" i="11"/>
  <c r="CT111" i="11"/>
  <c r="CV111" i="11"/>
  <c r="CW111" i="11"/>
  <c r="CY111" i="11"/>
  <c r="CZ111" i="11"/>
  <c r="DB111" i="11"/>
  <c r="DC111" i="11"/>
  <c r="DE111" i="11"/>
  <c r="B112" i="11"/>
  <c r="D112" i="11"/>
  <c r="E112" i="11"/>
  <c r="G112" i="11"/>
  <c r="H112" i="11"/>
  <c r="J112" i="11"/>
  <c r="K112" i="11"/>
  <c r="M112" i="11"/>
  <c r="N112" i="11"/>
  <c r="P112" i="11"/>
  <c r="Q112" i="11"/>
  <c r="S112" i="11"/>
  <c r="T112" i="11"/>
  <c r="V112" i="11"/>
  <c r="W112" i="11"/>
  <c r="Y112" i="11"/>
  <c r="Z112" i="11"/>
  <c r="AB112" i="11"/>
  <c r="AC112" i="11"/>
  <c r="AE112" i="11"/>
  <c r="AF112" i="11"/>
  <c r="AH112" i="11"/>
  <c r="AI112" i="11"/>
  <c r="AK112" i="11"/>
  <c r="AL112" i="11"/>
  <c r="AN112" i="11"/>
  <c r="AO112" i="11"/>
  <c r="AQ112" i="11"/>
  <c r="AR112" i="11"/>
  <c r="AT112" i="11"/>
  <c r="AU112" i="11"/>
  <c r="AW112" i="11"/>
  <c r="AX112" i="11"/>
  <c r="AZ112" i="11"/>
  <c r="BA112" i="11"/>
  <c r="BC112" i="11"/>
  <c r="BD112" i="11"/>
  <c r="BF112" i="11"/>
  <c r="BG112" i="11"/>
  <c r="BI112" i="11"/>
  <c r="BJ112" i="11"/>
  <c r="BL112" i="11"/>
  <c r="BM112" i="11"/>
  <c r="BO112" i="11"/>
  <c r="BP112" i="11"/>
  <c r="BR112" i="11"/>
  <c r="BS112" i="11"/>
  <c r="BU112" i="11"/>
  <c r="BV112" i="11"/>
  <c r="BX112" i="11"/>
  <c r="BY112" i="11"/>
  <c r="CA112" i="11"/>
  <c r="CB112" i="11"/>
  <c r="CD112" i="11"/>
  <c r="CE112" i="11"/>
  <c r="CG112" i="11"/>
  <c r="CH112" i="11"/>
  <c r="CJ112" i="11"/>
  <c r="CK112" i="11"/>
  <c r="CM112" i="11"/>
  <c r="CN112" i="11"/>
  <c r="CP112" i="11"/>
  <c r="CQ112" i="11"/>
  <c r="CS112" i="11"/>
  <c r="CT112" i="11"/>
  <c r="CV112" i="11"/>
  <c r="CW112" i="11"/>
  <c r="CY112" i="11"/>
  <c r="CZ112" i="11"/>
  <c r="DB112" i="11"/>
  <c r="DC112" i="11"/>
  <c r="DE112" i="11"/>
  <c r="C202" i="6"/>
  <c r="B113" i="11"/>
  <c r="C64" i="8"/>
  <c r="C113" i="11"/>
  <c r="D113" i="11"/>
  <c r="D202" i="6"/>
  <c r="E113" i="11"/>
  <c r="D64" i="8"/>
  <c r="F113" i="11"/>
  <c r="G113" i="11"/>
  <c r="E202" i="6"/>
  <c r="H113" i="11"/>
  <c r="E64" i="8"/>
  <c r="I113" i="11"/>
  <c r="J113" i="11"/>
  <c r="F202" i="6"/>
  <c r="K113" i="11"/>
  <c r="F64" i="8"/>
  <c r="L113" i="11"/>
  <c r="M113" i="11"/>
  <c r="G202" i="6"/>
  <c r="N113" i="11"/>
  <c r="G64" i="8"/>
  <c r="O113" i="11"/>
  <c r="P113" i="11"/>
  <c r="H202" i="6"/>
  <c r="Q113" i="11"/>
  <c r="H64" i="8"/>
  <c r="R113" i="11"/>
  <c r="S113" i="11"/>
  <c r="I202" i="6"/>
  <c r="T113" i="11"/>
  <c r="I64" i="8"/>
  <c r="U113" i="11"/>
  <c r="V113" i="11"/>
  <c r="J202" i="6"/>
  <c r="W113" i="11"/>
  <c r="J64" i="8"/>
  <c r="X113" i="11"/>
  <c r="Y113" i="11"/>
  <c r="K202" i="6"/>
  <c r="Z113" i="11"/>
  <c r="K64" i="8"/>
  <c r="AA113" i="11"/>
  <c r="AB113" i="11"/>
  <c r="L202" i="6"/>
  <c r="AC113" i="11"/>
  <c r="L64" i="8"/>
  <c r="AD113" i="11"/>
  <c r="AE113" i="11"/>
  <c r="M202" i="6"/>
  <c r="AF113" i="11"/>
  <c r="M64" i="8"/>
  <c r="AG113" i="11"/>
  <c r="AH113" i="11"/>
  <c r="N202" i="6"/>
  <c r="AI113" i="11"/>
  <c r="N64" i="8"/>
  <c r="AJ113" i="11"/>
  <c r="AK113" i="11"/>
  <c r="O202" i="6"/>
  <c r="AL113" i="11"/>
  <c r="O64" i="8"/>
  <c r="AM113" i="11"/>
  <c r="AN113" i="11"/>
  <c r="P202" i="6"/>
  <c r="AO113" i="11"/>
  <c r="P64" i="8"/>
  <c r="AP113" i="11"/>
  <c r="AQ113" i="11"/>
  <c r="Q202" i="6"/>
  <c r="AR113" i="11"/>
  <c r="Q64" i="8"/>
  <c r="AS113" i="11"/>
  <c r="AT113" i="11"/>
  <c r="R202" i="6"/>
  <c r="AU113" i="11"/>
  <c r="R64" i="8"/>
  <c r="AV113" i="11"/>
  <c r="AW113" i="11"/>
  <c r="S202" i="6"/>
  <c r="AX113" i="11"/>
  <c r="S64" i="8"/>
  <c r="AY113" i="11"/>
  <c r="AZ113" i="11"/>
  <c r="T202" i="6"/>
  <c r="BA113" i="11"/>
  <c r="T64" i="8"/>
  <c r="BB113" i="11"/>
  <c r="BC113" i="11"/>
  <c r="U202" i="6"/>
  <c r="BD113" i="11"/>
  <c r="U64" i="8"/>
  <c r="BE113" i="11"/>
  <c r="BF113" i="11"/>
  <c r="V202" i="6"/>
  <c r="BG113" i="11"/>
  <c r="V64" i="8"/>
  <c r="BH113" i="11"/>
  <c r="BI113" i="11"/>
  <c r="W202" i="6"/>
  <c r="BJ113" i="11"/>
  <c r="W64" i="8"/>
  <c r="BK113" i="11"/>
  <c r="BL113" i="11"/>
  <c r="X202" i="6"/>
  <c r="BM113" i="11"/>
  <c r="X64" i="8"/>
  <c r="BN113" i="11"/>
  <c r="BO113" i="11"/>
  <c r="Y202" i="6"/>
  <c r="BP113" i="11"/>
  <c r="Y64" i="8"/>
  <c r="BQ113" i="11"/>
  <c r="BR113" i="11"/>
  <c r="Z202" i="6"/>
  <c r="BS113" i="11"/>
  <c r="Z64" i="8"/>
  <c r="BT113" i="11"/>
  <c r="BU113" i="11"/>
  <c r="AA202" i="6"/>
  <c r="BV113" i="11"/>
  <c r="AA64" i="8"/>
  <c r="BW113" i="11"/>
  <c r="BX113" i="11"/>
  <c r="AB202" i="6"/>
  <c r="BY113" i="11"/>
  <c r="AB64" i="8"/>
  <c r="BZ113" i="11"/>
  <c r="CA113" i="11"/>
  <c r="AC202" i="6"/>
  <c r="CB113" i="11"/>
  <c r="AC64" i="8"/>
  <c r="CC113" i="11"/>
  <c r="CD113" i="11"/>
  <c r="AD202" i="6"/>
  <c r="CE113" i="11"/>
  <c r="AD64" i="8"/>
  <c r="CF113" i="11"/>
  <c r="CG113" i="11"/>
  <c r="AE202" i="6"/>
  <c r="CH113" i="11"/>
  <c r="AE64" i="8"/>
  <c r="CI113" i="11"/>
  <c r="CJ113" i="11"/>
  <c r="AF202" i="6"/>
  <c r="CK113" i="11"/>
  <c r="AF64" i="8"/>
  <c r="CL113" i="11"/>
  <c r="CM113" i="11"/>
  <c r="AG202" i="6"/>
  <c r="CN113" i="11"/>
  <c r="AG64" i="8"/>
  <c r="CO113" i="11"/>
  <c r="CP113" i="11"/>
  <c r="AH202" i="6"/>
  <c r="CQ113" i="11"/>
  <c r="AH64" i="8"/>
  <c r="CR113" i="11"/>
  <c r="CS113" i="11"/>
  <c r="AI202" i="6"/>
  <c r="CT113" i="11"/>
  <c r="AI64" i="8"/>
  <c r="CU113" i="11"/>
  <c r="CV113" i="11"/>
  <c r="AJ202" i="6"/>
  <c r="CW113" i="11"/>
  <c r="AJ64" i="8"/>
  <c r="CX113" i="11"/>
  <c r="CY113" i="11"/>
  <c r="AK202" i="6"/>
  <c r="CZ113" i="11"/>
  <c r="AK64" i="8"/>
  <c r="DA113" i="11"/>
  <c r="DB113" i="11"/>
  <c r="AL202" i="6"/>
  <c r="DC113" i="11"/>
  <c r="DD113" i="11"/>
  <c r="DE113" i="11"/>
  <c r="B114" i="11"/>
  <c r="C65" i="8"/>
  <c r="C114" i="11"/>
  <c r="D114" i="11"/>
  <c r="E114" i="11"/>
  <c r="D65" i="8"/>
  <c r="F114" i="11"/>
  <c r="G114" i="11"/>
  <c r="H114" i="11"/>
  <c r="E65" i="8"/>
  <c r="I114" i="11"/>
  <c r="J114" i="11"/>
  <c r="K114" i="11"/>
  <c r="F65" i="8"/>
  <c r="L114" i="11"/>
  <c r="M114" i="11"/>
  <c r="N114" i="11"/>
  <c r="G65" i="8"/>
  <c r="O114" i="11"/>
  <c r="P114" i="11"/>
  <c r="Q114" i="11"/>
  <c r="H65" i="8"/>
  <c r="R114" i="11"/>
  <c r="S114" i="11"/>
  <c r="T114" i="11"/>
  <c r="I65" i="8"/>
  <c r="U114" i="11"/>
  <c r="V114" i="11"/>
  <c r="W114" i="11"/>
  <c r="J65" i="8"/>
  <c r="X114" i="11"/>
  <c r="Y114" i="11"/>
  <c r="Z114" i="11"/>
  <c r="K65" i="8"/>
  <c r="AA114" i="11"/>
  <c r="AB114" i="11"/>
  <c r="AC114" i="11"/>
  <c r="L65" i="8"/>
  <c r="AD114" i="11"/>
  <c r="AE114" i="11"/>
  <c r="AF114" i="11"/>
  <c r="M65" i="8"/>
  <c r="AG114" i="11"/>
  <c r="AH114" i="11"/>
  <c r="AI114" i="11"/>
  <c r="N65" i="8"/>
  <c r="AJ114" i="11"/>
  <c r="AK114" i="11"/>
  <c r="AL114" i="11"/>
  <c r="O65" i="8"/>
  <c r="AM114" i="11"/>
  <c r="AN114" i="11"/>
  <c r="AO114" i="11"/>
  <c r="P65" i="8"/>
  <c r="AP114" i="11"/>
  <c r="AQ114" i="11"/>
  <c r="AR114" i="11"/>
  <c r="Q65" i="8"/>
  <c r="AS114" i="11"/>
  <c r="AT114" i="11"/>
  <c r="AU114" i="11"/>
  <c r="R65" i="8"/>
  <c r="AV114" i="11"/>
  <c r="AW114" i="11"/>
  <c r="AX114" i="11"/>
  <c r="S65" i="8"/>
  <c r="AY114" i="11"/>
  <c r="AZ114" i="11"/>
  <c r="BA114" i="11"/>
  <c r="T65" i="8"/>
  <c r="BB114" i="11"/>
  <c r="BC114" i="11"/>
  <c r="BD114" i="11"/>
  <c r="U65" i="8"/>
  <c r="BE114" i="11"/>
  <c r="BF114" i="11"/>
  <c r="BG114" i="11"/>
  <c r="V65" i="8"/>
  <c r="BH114" i="11"/>
  <c r="BI114" i="11"/>
  <c r="BJ114" i="11"/>
  <c r="W65" i="8"/>
  <c r="BK114" i="11"/>
  <c r="BL114" i="11"/>
  <c r="BM114" i="11"/>
  <c r="X65" i="8"/>
  <c r="BN114" i="11"/>
  <c r="BO114" i="11"/>
  <c r="BP114" i="11"/>
  <c r="Y65" i="8"/>
  <c r="BQ114" i="11"/>
  <c r="BR114" i="11"/>
  <c r="BS114" i="11"/>
  <c r="Z65" i="8"/>
  <c r="BT114" i="11"/>
  <c r="BU114" i="11"/>
  <c r="BV114" i="11"/>
  <c r="AA65" i="8"/>
  <c r="BW114" i="11"/>
  <c r="BX114" i="11"/>
  <c r="BY114" i="11"/>
  <c r="AB65" i="8"/>
  <c r="BZ114" i="11"/>
  <c r="CA114" i="11"/>
  <c r="CB114" i="11"/>
  <c r="AC65" i="8"/>
  <c r="CC114" i="11"/>
  <c r="CD114" i="11"/>
  <c r="CE114" i="11"/>
  <c r="AD65" i="8"/>
  <c r="CF114" i="11"/>
  <c r="CG114" i="11"/>
  <c r="CH114" i="11"/>
  <c r="AE65" i="8"/>
  <c r="CI114" i="11"/>
  <c r="CJ114" i="11"/>
  <c r="CK114" i="11"/>
  <c r="AF65" i="8"/>
  <c r="CL114" i="11"/>
  <c r="CM114" i="11"/>
  <c r="CN114" i="11"/>
  <c r="AG65" i="8"/>
  <c r="CO114" i="11"/>
  <c r="CP114" i="11"/>
  <c r="CQ114" i="11"/>
  <c r="AH65" i="8"/>
  <c r="CR114" i="11"/>
  <c r="CS114" i="11"/>
  <c r="CT114" i="11"/>
  <c r="AI65" i="8"/>
  <c r="CU114" i="11"/>
  <c r="CV114" i="11"/>
  <c r="CW114" i="11"/>
  <c r="AJ65" i="8"/>
  <c r="CX114" i="11"/>
  <c r="CY114" i="11"/>
  <c r="CZ114" i="11"/>
  <c r="AK65" i="8"/>
  <c r="DA114" i="11"/>
  <c r="DB114" i="11"/>
  <c r="DC114" i="11"/>
  <c r="DD114" i="11"/>
  <c r="DE114" i="11"/>
  <c r="C66" i="8"/>
  <c r="C115" i="11"/>
  <c r="D66" i="8"/>
  <c r="F115" i="11"/>
  <c r="E66" i="8"/>
  <c r="I115" i="11"/>
  <c r="F66" i="8"/>
  <c r="L115" i="11"/>
  <c r="G66" i="8"/>
  <c r="O115" i="11"/>
  <c r="H66" i="8"/>
  <c r="R115" i="11"/>
  <c r="I66" i="8"/>
  <c r="U115" i="11"/>
  <c r="J66" i="8"/>
  <c r="X115" i="11"/>
  <c r="K66" i="8"/>
  <c r="AA115" i="11"/>
  <c r="L66" i="8"/>
  <c r="AD115" i="11"/>
  <c r="M66" i="8"/>
  <c r="AG115" i="11"/>
  <c r="N66" i="8"/>
  <c r="AJ115" i="11"/>
  <c r="O66" i="8"/>
  <c r="AM115" i="11"/>
  <c r="P66" i="8"/>
  <c r="AP115" i="11"/>
  <c r="Q66" i="8"/>
  <c r="AS115" i="11"/>
  <c r="R66" i="8"/>
  <c r="AV115" i="11"/>
  <c r="S66" i="8"/>
  <c r="AY115" i="11"/>
  <c r="T66" i="8"/>
  <c r="BB115" i="11"/>
  <c r="U66" i="8"/>
  <c r="BE115" i="11"/>
  <c r="V66" i="8"/>
  <c r="BH115" i="11"/>
  <c r="W66" i="8"/>
  <c r="BK115" i="11"/>
  <c r="X66" i="8"/>
  <c r="BN115" i="11"/>
  <c r="Y66" i="8"/>
  <c r="BQ115" i="11"/>
  <c r="Z66" i="8"/>
  <c r="BT115" i="11"/>
  <c r="AA66" i="8"/>
  <c r="BW115" i="11"/>
  <c r="AB66" i="8"/>
  <c r="BZ115" i="11"/>
  <c r="AC66" i="8"/>
  <c r="CC115" i="11"/>
  <c r="AD66" i="8"/>
  <c r="CF115" i="11"/>
  <c r="AE66" i="8"/>
  <c r="CI115" i="11"/>
  <c r="AF66" i="8"/>
  <c r="CL115" i="11"/>
  <c r="AG66" i="8"/>
  <c r="CO115" i="11"/>
  <c r="AH66" i="8"/>
  <c r="CR115" i="11"/>
  <c r="AI66" i="8"/>
  <c r="CU115" i="11"/>
  <c r="AJ66" i="8"/>
  <c r="CX115" i="11"/>
  <c r="AK66" i="8"/>
  <c r="DA115" i="11"/>
  <c r="DD115" i="11"/>
  <c r="B116" i="11"/>
  <c r="C67" i="8"/>
  <c r="C116" i="11"/>
  <c r="E116" i="11"/>
  <c r="D67" i="8"/>
  <c r="F116" i="11"/>
  <c r="G116" i="11"/>
  <c r="H116" i="11"/>
  <c r="E67" i="8"/>
  <c r="I116" i="11"/>
  <c r="J116" i="11"/>
  <c r="K116" i="11"/>
  <c r="K121" i="11"/>
  <c r="K115" i="11"/>
  <c r="M115" i="11"/>
  <c r="F67" i="8"/>
  <c r="L116" i="11"/>
  <c r="M116" i="11"/>
  <c r="N116" i="11"/>
  <c r="G67" i="8"/>
  <c r="O116" i="11"/>
  <c r="Q116" i="11"/>
  <c r="H67" i="8"/>
  <c r="R116" i="11"/>
  <c r="S116" i="11"/>
  <c r="T116" i="11"/>
  <c r="I67" i="8"/>
  <c r="U116" i="11"/>
  <c r="V116" i="11"/>
  <c r="W116" i="11"/>
  <c r="W121" i="11"/>
  <c r="W115" i="11"/>
  <c r="Y115" i="11"/>
  <c r="J67" i="8"/>
  <c r="X116" i="11"/>
  <c r="Y116" i="11"/>
  <c r="Z116" i="11"/>
  <c r="K67" i="8"/>
  <c r="AA116" i="11"/>
  <c r="AC116" i="11"/>
  <c r="L67" i="8"/>
  <c r="AD116" i="11"/>
  <c r="AE116" i="11"/>
  <c r="AF116" i="11"/>
  <c r="M67" i="8"/>
  <c r="AG116" i="11"/>
  <c r="AH116" i="11"/>
  <c r="AI116" i="11"/>
  <c r="AI121" i="11"/>
  <c r="AI115" i="11"/>
  <c r="AK115" i="11"/>
  <c r="N67" i="8"/>
  <c r="AJ116" i="11"/>
  <c r="AK116" i="11"/>
  <c r="AL116" i="11"/>
  <c r="O67" i="8"/>
  <c r="AM116" i="11"/>
  <c r="AO116" i="11"/>
  <c r="P67" i="8"/>
  <c r="AP116" i="11"/>
  <c r="AR116" i="11"/>
  <c r="Q67" i="8"/>
  <c r="AS116" i="11"/>
  <c r="AT116" i="11"/>
  <c r="AU116" i="11"/>
  <c r="AU121" i="11"/>
  <c r="AU115" i="11"/>
  <c r="AW115" i="11"/>
  <c r="R67" i="8"/>
  <c r="AV116" i="11"/>
  <c r="AW116" i="11"/>
  <c r="AX116" i="11"/>
  <c r="S67" i="8"/>
  <c r="AY116" i="11"/>
  <c r="BA116" i="11"/>
  <c r="T67" i="8"/>
  <c r="BB116" i="11"/>
  <c r="BD116" i="11"/>
  <c r="U67" i="8"/>
  <c r="BE116" i="11"/>
  <c r="BF116" i="11"/>
  <c r="BG116" i="11"/>
  <c r="BG121" i="11"/>
  <c r="BG115" i="11"/>
  <c r="BI115" i="11"/>
  <c r="V67" i="8"/>
  <c r="BH116" i="11"/>
  <c r="BI116" i="11"/>
  <c r="BJ116" i="11"/>
  <c r="W67" i="8"/>
  <c r="BK116" i="11"/>
  <c r="BM116" i="11"/>
  <c r="X67" i="8"/>
  <c r="BN116" i="11"/>
  <c r="BO116" i="11"/>
  <c r="BP116" i="11"/>
  <c r="Y67" i="8"/>
  <c r="BQ116" i="11"/>
  <c r="BR116" i="11"/>
  <c r="BS116" i="11"/>
  <c r="BS121" i="11"/>
  <c r="BS115" i="11"/>
  <c r="BU115" i="11"/>
  <c r="Z67" i="8"/>
  <c r="BT116" i="11"/>
  <c r="BU116" i="11"/>
  <c r="BV116" i="11"/>
  <c r="AA67" i="8"/>
  <c r="BW116" i="11"/>
  <c r="BY116" i="11"/>
  <c r="AB67" i="8"/>
  <c r="BZ116" i="11"/>
  <c r="CA116" i="11"/>
  <c r="CB116" i="11"/>
  <c r="AC67" i="8"/>
  <c r="CC116" i="11"/>
  <c r="CD116" i="11"/>
  <c r="CE116" i="11"/>
  <c r="CE121" i="11"/>
  <c r="CE115" i="11"/>
  <c r="CG115" i="11"/>
  <c r="AD67" i="8"/>
  <c r="CF116" i="11"/>
  <c r="CG116" i="11"/>
  <c r="CH116" i="11"/>
  <c r="AE67" i="8"/>
  <c r="CI116" i="11"/>
  <c r="CK116" i="11"/>
  <c r="AF67" i="8"/>
  <c r="CL116" i="11"/>
  <c r="CM116" i="11"/>
  <c r="CN116" i="11"/>
  <c r="AG67" i="8"/>
  <c r="CO116" i="11"/>
  <c r="CP116" i="11"/>
  <c r="CQ116" i="11"/>
  <c r="CQ121" i="11"/>
  <c r="CQ115" i="11"/>
  <c r="CS115" i="11"/>
  <c r="AH67" i="8"/>
  <c r="CR116" i="11"/>
  <c r="CS116" i="11"/>
  <c r="CT116" i="11"/>
  <c r="AI67" i="8"/>
  <c r="CU116" i="11"/>
  <c r="CW116" i="11"/>
  <c r="AJ67" i="8"/>
  <c r="CX116" i="11"/>
  <c r="CZ116" i="11"/>
  <c r="AK67" i="8"/>
  <c r="DA116" i="11"/>
  <c r="DB116" i="11"/>
  <c r="DC116" i="11"/>
  <c r="DC121" i="11"/>
  <c r="DC115" i="11"/>
  <c r="DE115" i="11"/>
  <c r="DD116" i="11"/>
  <c r="DE116" i="11"/>
  <c r="B117" i="11"/>
  <c r="C68" i="8"/>
  <c r="C117" i="11"/>
  <c r="D117" i="11"/>
  <c r="E117" i="11"/>
  <c r="D68" i="8"/>
  <c r="F117" i="11"/>
  <c r="G117" i="11"/>
  <c r="H117" i="11"/>
  <c r="E68" i="8"/>
  <c r="I117" i="11"/>
  <c r="J117" i="11"/>
  <c r="K117" i="11"/>
  <c r="F68" i="8"/>
  <c r="L117" i="11"/>
  <c r="M117" i="11"/>
  <c r="N117" i="11"/>
  <c r="G68" i="8"/>
  <c r="O117" i="11"/>
  <c r="P117" i="11"/>
  <c r="Q117" i="11"/>
  <c r="H68" i="8"/>
  <c r="R117" i="11"/>
  <c r="S117" i="11"/>
  <c r="T117" i="11"/>
  <c r="I68" i="8"/>
  <c r="U117" i="11"/>
  <c r="V117" i="11"/>
  <c r="W117" i="11"/>
  <c r="J68" i="8"/>
  <c r="X117" i="11"/>
  <c r="Y117" i="11"/>
  <c r="Z117" i="11"/>
  <c r="K68" i="8"/>
  <c r="AA117" i="11"/>
  <c r="AB117" i="11"/>
  <c r="AC117" i="11"/>
  <c r="L68" i="8"/>
  <c r="AD117" i="11"/>
  <c r="AE117" i="11"/>
  <c r="AF117" i="11"/>
  <c r="M68" i="8"/>
  <c r="AG117" i="11"/>
  <c r="AH117" i="11"/>
  <c r="AI117" i="11"/>
  <c r="N68" i="8"/>
  <c r="AJ117" i="11"/>
  <c r="AK117" i="11"/>
  <c r="AL117" i="11"/>
  <c r="O68" i="8"/>
  <c r="AM117" i="11"/>
  <c r="AN117" i="11"/>
  <c r="AO117" i="11"/>
  <c r="P68" i="8"/>
  <c r="AP117" i="11"/>
  <c r="AR117" i="11"/>
  <c r="Q68" i="8"/>
  <c r="AS117" i="11"/>
  <c r="AT117" i="11"/>
  <c r="AU117" i="11"/>
  <c r="R68" i="8"/>
  <c r="AV117" i="11"/>
  <c r="AW117" i="11"/>
  <c r="AX117" i="11"/>
  <c r="S68" i="8"/>
  <c r="AY117" i="11"/>
  <c r="AZ117" i="11"/>
  <c r="BA117" i="11"/>
  <c r="T68" i="8"/>
  <c r="BB117" i="11"/>
  <c r="BC117" i="11"/>
  <c r="BD117" i="11"/>
  <c r="U68" i="8"/>
  <c r="BE117" i="11"/>
  <c r="BF117" i="11"/>
  <c r="BG117" i="11"/>
  <c r="V68" i="8"/>
  <c r="BH117" i="11"/>
  <c r="BI117" i="11"/>
  <c r="BJ117" i="11"/>
  <c r="W68" i="8"/>
  <c r="BK117" i="11"/>
  <c r="BL117" i="11"/>
  <c r="BM117" i="11"/>
  <c r="X68" i="8"/>
  <c r="BN117" i="11"/>
  <c r="BO117" i="11"/>
  <c r="BP117" i="11"/>
  <c r="Y68" i="8"/>
  <c r="BQ117" i="11"/>
  <c r="BR117" i="11"/>
  <c r="BS117" i="11"/>
  <c r="Z68" i="8"/>
  <c r="BT117" i="11"/>
  <c r="BU117" i="11"/>
  <c r="BV117" i="11"/>
  <c r="AA68" i="8"/>
  <c r="BW117" i="11"/>
  <c r="BX117" i="11"/>
  <c r="BY117" i="11"/>
  <c r="AB68" i="8"/>
  <c r="BZ117" i="11"/>
  <c r="CA117" i="11"/>
  <c r="CB117" i="11"/>
  <c r="AC68" i="8"/>
  <c r="CC117" i="11"/>
  <c r="CD117" i="11"/>
  <c r="CE117" i="11"/>
  <c r="AD68" i="8"/>
  <c r="CF117" i="11"/>
  <c r="CG117" i="11"/>
  <c r="CH117" i="11"/>
  <c r="AE68" i="8"/>
  <c r="CI117" i="11"/>
  <c r="CJ117" i="11"/>
  <c r="CK117" i="11"/>
  <c r="AF68" i="8"/>
  <c r="CL117" i="11"/>
  <c r="CN117" i="11"/>
  <c r="AG68" i="8"/>
  <c r="CO117" i="11"/>
  <c r="CP117" i="11"/>
  <c r="CQ117" i="11"/>
  <c r="AH68" i="8"/>
  <c r="CR117" i="11"/>
  <c r="CS117" i="11"/>
  <c r="CT117" i="11"/>
  <c r="AI68" i="8"/>
  <c r="CU117" i="11"/>
  <c r="CV117" i="11"/>
  <c r="CW117" i="11"/>
  <c r="AJ68" i="8"/>
  <c r="CX117" i="11"/>
  <c r="CY117" i="11"/>
  <c r="CZ117" i="11"/>
  <c r="AK68" i="8"/>
  <c r="DA117" i="11"/>
  <c r="DB117" i="11"/>
  <c r="DC117" i="11"/>
  <c r="DD117" i="11"/>
  <c r="DE117" i="11"/>
  <c r="B118" i="11"/>
  <c r="C69" i="8"/>
  <c r="C118" i="11"/>
  <c r="D118" i="11"/>
  <c r="E118" i="11"/>
  <c r="D69" i="8"/>
  <c r="F118" i="11"/>
  <c r="G118" i="11"/>
  <c r="H118" i="11"/>
  <c r="E69" i="8"/>
  <c r="I118" i="11"/>
  <c r="J118" i="11"/>
  <c r="K118" i="11"/>
  <c r="F69" i="8"/>
  <c r="L118" i="11"/>
  <c r="M118" i="11"/>
  <c r="N118" i="11"/>
  <c r="G69" i="8"/>
  <c r="O118" i="11"/>
  <c r="P118" i="11"/>
  <c r="Q118" i="11"/>
  <c r="H69" i="8"/>
  <c r="R118" i="11"/>
  <c r="S118" i="11"/>
  <c r="T118" i="11"/>
  <c r="I69" i="8"/>
  <c r="U118" i="11"/>
  <c r="V118" i="11"/>
  <c r="W118" i="11"/>
  <c r="J69" i="8"/>
  <c r="X118" i="11"/>
  <c r="Y118" i="11"/>
  <c r="Z118" i="11"/>
  <c r="K69" i="8"/>
  <c r="AA118" i="11"/>
  <c r="AB118" i="11"/>
  <c r="AC118" i="11"/>
  <c r="L69" i="8"/>
  <c r="AD118" i="11"/>
  <c r="AE118" i="11"/>
  <c r="AF118" i="11"/>
  <c r="M69" i="8"/>
  <c r="AG118" i="11"/>
  <c r="AH118" i="11"/>
  <c r="AI118" i="11"/>
  <c r="N69" i="8"/>
  <c r="AJ118" i="11"/>
  <c r="AK118" i="11"/>
  <c r="AL118" i="11"/>
  <c r="O69" i="8"/>
  <c r="AM118" i="11"/>
  <c r="AN118" i="11"/>
  <c r="AO118" i="11"/>
  <c r="P69" i="8"/>
  <c r="AP118" i="11"/>
  <c r="AQ118" i="11"/>
  <c r="AR118" i="11"/>
  <c r="Q69" i="8"/>
  <c r="AS118" i="11"/>
  <c r="AT118" i="11"/>
  <c r="AU118" i="11"/>
  <c r="R69" i="8"/>
  <c r="AV118" i="11"/>
  <c r="AW118" i="11"/>
  <c r="AX118" i="11"/>
  <c r="S69" i="8"/>
  <c r="AY118" i="11"/>
  <c r="AZ118" i="11"/>
  <c r="BA118" i="11"/>
  <c r="T69" i="8"/>
  <c r="BB118" i="11"/>
  <c r="BC118" i="11"/>
  <c r="BD118" i="11"/>
  <c r="U69" i="8"/>
  <c r="BE118" i="11"/>
  <c r="BF118" i="11"/>
  <c r="BG118" i="11"/>
  <c r="V69" i="8"/>
  <c r="BH118" i="11"/>
  <c r="BI118" i="11"/>
  <c r="BJ118" i="11"/>
  <c r="W69" i="8"/>
  <c r="BK118" i="11"/>
  <c r="BL118" i="11"/>
  <c r="BM118" i="11"/>
  <c r="X69" i="8"/>
  <c r="BN118" i="11"/>
  <c r="BO118" i="11"/>
  <c r="BP118" i="11"/>
  <c r="Y69" i="8"/>
  <c r="BQ118" i="11"/>
  <c r="BR118" i="11"/>
  <c r="BS118" i="11"/>
  <c r="Z69" i="8"/>
  <c r="BT118" i="11"/>
  <c r="BU118" i="11"/>
  <c r="BV118" i="11"/>
  <c r="AA69" i="8"/>
  <c r="BW118" i="11"/>
  <c r="BX118" i="11"/>
  <c r="BY118" i="11"/>
  <c r="AB69" i="8"/>
  <c r="BZ118" i="11"/>
  <c r="CA118" i="11"/>
  <c r="CB118" i="11"/>
  <c r="AC69" i="8"/>
  <c r="CC118" i="11"/>
  <c r="CD118" i="11"/>
  <c r="CE118" i="11"/>
  <c r="AD69" i="8"/>
  <c r="CF118" i="11"/>
  <c r="CG118" i="11"/>
  <c r="CH118" i="11"/>
  <c r="AE69" i="8"/>
  <c r="CI118" i="11"/>
  <c r="CJ118" i="11"/>
  <c r="CK118" i="11"/>
  <c r="AF69" i="8"/>
  <c r="CL118" i="11"/>
  <c r="CM118" i="11"/>
  <c r="CN118" i="11"/>
  <c r="AG69" i="8"/>
  <c r="CO118" i="11"/>
  <c r="CP118" i="11"/>
  <c r="CQ118" i="11"/>
  <c r="AH69" i="8"/>
  <c r="CR118" i="11"/>
  <c r="CS118" i="11"/>
  <c r="CT118" i="11"/>
  <c r="AI69" i="8"/>
  <c r="CU118" i="11"/>
  <c r="CV118" i="11"/>
  <c r="CW118" i="11"/>
  <c r="AJ69" i="8"/>
  <c r="CX118" i="11"/>
  <c r="CY118" i="11"/>
  <c r="CZ118" i="11"/>
  <c r="AK69" i="8"/>
  <c r="DA118" i="11"/>
  <c r="DB118" i="11"/>
  <c r="DC118" i="11"/>
  <c r="DD118" i="11"/>
  <c r="DE118" i="11"/>
  <c r="B119" i="11"/>
  <c r="D119" i="11"/>
  <c r="E119" i="11"/>
  <c r="G119" i="11"/>
  <c r="H119" i="11"/>
  <c r="J119" i="11"/>
  <c r="K119" i="11"/>
  <c r="M119" i="11"/>
  <c r="N119" i="11"/>
  <c r="P119" i="11"/>
  <c r="Q119" i="11"/>
  <c r="S119" i="11"/>
  <c r="T119" i="11"/>
  <c r="V119" i="11"/>
  <c r="W119" i="11"/>
  <c r="Y119" i="11"/>
  <c r="Z119" i="11"/>
  <c r="AB119" i="11"/>
  <c r="AC119" i="11"/>
  <c r="AE119" i="11"/>
  <c r="AF119" i="11"/>
  <c r="AH119" i="11"/>
  <c r="AI119" i="11"/>
  <c r="AK119" i="11"/>
  <c r="AL119" i="11"/>
  <c r="AN119" i="11"/>
  <c r="AO119" i="11"/>
  <c r="AQ119" i="11"/>
  <c r="AR119" i="11"/>
  <c r="AT119" i="11"/>
  <c r="AU119" i="11"/>
  <c r="AW119" i="11"/>
  <c r="AX119" i="11"/>
  <c r="AZ119" i="11"/>
  <c r="BA119" i="11"/>
  <c r="BC119" i="11"/>
  <c r="BD119" i="11"/>
  <c r="BF119" i="11"/>
  <c r="BG119" i="11"/>
  <c r="BI119" i="11"/>
  <c r="BJ119" i="11"/>
  <c r="BL119" i="11"/>
  <c r="BM119" i="11"/>
  <c r="BO119" i="11"/>
  <c r="BP119" i="11"/>
  <c r="BR119" i="11"/>
  <c r="BS119" i="11"/>
  <c r="BU119" i="11"/>
  <c r="BV119" i="11"/>
  <c r="BX119" i="11"/>
  <c r="BY119" i="11"/>
  <c r="CA119" i="11"/>
  <c r="CB119" i="11"/>
  <c r="CD119" i="11"/>
  <c r="CE119" i="11"/>
  <c r="CG119" i="11"/>
  <c r="CH119" i="11"/>
  <c r="CJ119" i="11"/>
  <c r="CK119" i="11"/>
  <c r="CM119" i="11"/>
  <c r="CN119" i="11"/>
  <c r="CP119" i="11"/>
  <c r="CQ119" i="11"/>
  <c r="CS119" i="11"/>
  <c r="CT119" i="11"/>
  <c r="CV119" i="11"/>
  <c r="CW119" i="11"/>
  <c r="CY119" i="11"/>
  <c r="CZ119" i="11"/>
  <c r="DB119" i="11"/>
  <c r="DC119" i="11"/>
  <c r="DE119" i="11"/>
  <c r="C70" i="8"/>
  <c r="C120" i="11"/>
  <c r="D120" i="11"/>
  <c r="D70" i="8"/>
  <c r="F120" i="11"/>
  <c r="G120" i="11"/>
  <c r="E70" i="8"/>
  <c r="I120" i="11"/>
  <c r="J120" i="11"/>
  <c r="F70" i="8"/>
  <c r="L120" i="11"/>
  <c r="M120" i="11"/>
  <c r="G70" i="8"/>
  <c r="O120" i="11"/>
  <c r="P120" i="11"/>
  <c r="H70" i="8"/>
  <c r="R120" i="11"/>
  <c r="S120" i="11"/>
  <c r="I70" i="8"/>
  <c r="U120" i="11"/>
  <c r="V120" i="11"/>
  <c r="J70" i="8"/>
  <c r="X120" i="11"/>
  <c r="Y120" i="11"/>
  <c r="K70" i="8"/>
  <c r="AA120" i="11"/>
  <c r="AB120" i="11"/>
  <c r="L70" i="8"/>
  <c r="AD120" i="11"/>
  <c r="AE120" i="11"/>
  <c r="M70" i="8"/>
  <c r="AG120" i="11"/>
  <c r="AH120" i="11"/>
  <c r="N70" i="8"/>
  <c r="AJ120" i="11"/>
  <c r="AK120" i="11"/>
  <c r="O70" i="8"/>
  <c r="AM120" i="11"/>
  <c r="AN120" i="11"/>
  <c r="P70" i="8"/>
  <c r="AP120" i="11"/>
  <c r="AQ120" i="11"/>
  <c r="Q70" i="8"/>
  <c r="AS120" i="11"/>
  <c r="AT120" i="11"/>
  <c r="R70" i="8"/>
  <c r="AV120" i="11"/>
  <c r="AW120" i="11"/>
  <c r="S70" i="8"/>
  <c r="AY120" i="11"/>
  <c r="AZ120" i="11"/>
  <c r="T70" i="8"/>
  <c r="BB120" i="11"/>
  <c r="BC120" i="11"/>
  <c r="U70" i="8"/>
  <c r="BE120" i="11"/>
  <c r="BF120" i="11"/>
  <c r="V70" i="8"/>
  <c r="BH120" i="11"/>
  <c r="BI120" i="11"/>
  <c r="W70" i="8"/>
  <c r="BK120" i="11"/>
  <c r="BL120" i="11"/>
  <c r="X70" i="8"/>
  <c r="BN120" i="11"/>
  <c r="BO120" i="11"/>
  <c r="Y70" i="8"/>
  <c r="BQ120" i="11"/>
  <c r="BR120" i="11"/>
  <c r="Z70" i="8"/>
  <c r="BT120" i="11"/>
  <c r="BU120" i="11"/>
  <c r="AA70" i="8"/>
  <c r="BW120" i="11"/>
  <c r="BX120" i="11"/>
  <c r="AB70" i="8"/>
  <c r="BZ120" i="11"/>
  <c r="CA120" i="11"/>
  <c r="AC70" i="8"/>
  <c r="CC120" i="11"/>
  <c r="CD120" i="11"/>
  <c r="AD70" i="8"/>
  <c r="CF120" i="11"/>
  <c r="CG120" i="11"/>
  <c r="AE70" i="8"/>
  <c r="CI120" i="11"/>
  <c r="CJ120" i="11"/>
  <c r="AF70" i="8"/>
  <c r="CL120" i="11"/>
  <c r="CM120" i="11"/>
  <c r="AG70" i="8"/>
  <c r="CO120" i="11"/>
  <c r="CP120" i="11"/>
  <c r="AH70" i="8"/>
  <c r="CR120" i="11"/>
  <c r="CS120" i="11"/>
  <c r="AI70" i="8"/>
  <c r="CU120" i="11"/>
  <c r="CV120" i="11"/>
  <c r="AJ70" i="8"/>
  <c r="CX120" i="11"/>
  <c r="CY120" i="11"/>
  <c r="AK70" i="8"/>
  <c r="DA120" i="11"/>
  <c r="DB120" i="11"/>
  <c r="DD120" i="11"/>
  <c r="DE120" i="11"/>
  <c r="B121" i="11"/>
  <c r="C71" i="8"/>
  <c r="C121" i="11"/>
  <c r="D121" i="11"/>
  <c r="E121" i="11"/>
  <c r="D71" i="8"/>
  <c r="F121" i="11"/>
  <c r="G121" i="11"/>
  <c r="H121" i="11"/>
  <c r="E71" i="8"/>
  <c r="I121" i="11"/>
  <c r="J121" i="11"/>
  <c r="F71" i="8"/>
  <c r="L121" i="11"/>
  <c r="M121" i="11"/>
  <c r="N121" i="11"/>
  <c r="G71" i="8"/>
  <c r="O121" i="11"/>
  <c r="P121" i="11"/>
  <c r="Q121" i="11"/>
  <c r="H71" i="8"/>
  <c r="R121" i="11"/>
  <c r="S121" i="11"/>
  <c r="T121" i="11"/>
  <c r="I71" i="8"/>
  <c r="U121" i="11"/>
  <c r="V121" i="11"/>
  <c r="J71" i="8"/>
  <c r="X121" i="11"/>
  <c r="Y121" i="11"/>
  <c r="Z121" i="11"/>
  <c r="K71" i="8"/>
  <c r="AA121" i="11"/>
  <c r="AB121" i="11"/>
  <c r="AC121" i="11"/>
  <c r="L71" i="8"/>
  <c r="AD121" i="11"/>
  <c r="AE121" i="11"/>
  <c r="AF121" i="11"/>
  <c r="M71" i="8"/>
  <c r="AG121" i="11"/>
  <c r="AH121" i="11"/>
  <c r="N71" i="8"/>
  <c r="AJ121" i="11"/>
  <c r="AK121" i="11"/>
  <c r="AL121" i="11"/>
  <c r="O71" i="8"/>
  <c r="AM121" i="11"/>
  <c r="AN121" i="11"/>
  <c r="AO121" i="11"/>
  <c r="P71" i="8"/>
  <c r="AP121" i="11"/>
  <c r="AQ121" i="11"/>
  <c r="AR121" i="11"/>
  <c r="Q71" i="8"/>
  <c r="AS121" i="11"/>
  <c r="AT121" i="11"/>
  <c r="R71" i="8"/>
  <c r="AV121" i="11"/>
  <c r="AW121" i="11"/>
  <c r="AX121" i="11"/>
  <c r="S71" i="8"/>
  <c r="AY121" i="11"/>
  <c r="AZ121" i="11"/>
  <c r="BA121" i="11"/>
  <c r="T71" i="8"/>
  <c r="BB121" i="11"/>
  <c r="BC121" i="11"/>
  <c r="BD121" i="11"/>
  <c r="U71" i="8"/>
  <c r="BE121" i="11"/>
  <c r="BF121" i="11"/>
  <c r="V71" i="8"/>
  <c r="BH121" i="11"/>
  <c r="BI121" i="11"/>
  <c r="BJ121" i="11"/>
  <c r="W71" i="8"/>
  <c r="BK121" i="11"/>
  <c r="BL121" i="11"/>
  <c r="BM121" i="11"/>
  <c r="X71" i="8"/>
  <c r="BN121" i="11"/>
  <c r="BO121" i="11"/>
  <c r="BP121" i="11"/>
  <c r="Y71" i="8"/>
  <c r="BQ121" i="11"/>
  <c r="BR121" i="11"/>
  <c r="Z71" i="8"/>
  <c r="BT121" i="11"/>
  <c r="BU121" i="11"/>
  <c r="BV121" i="11"/>
  <c r="AA71" i="8"/>
  <c r="BW121" i="11"/>
  <c r="BX121" i="11"/>
  <c r="BY121" i="11"/>
  <c r="AB71" i="8"/>
  <c r="BZ121" i="11"/>
  <c r="CA121" i="11"/>
  <c r="CB121" i="11"/>
  <c r="AC71" i="8"/>
  <c r="CC121" i="11"/>
  <c r="CD121" i="11"/>
  <c r="AD71" i="8"/>
  <c r="CF121" i="11"/>
  <c r="CG121" i="11"/>
  <c r="CH121" i="11"/>
  <c r="AE71" i="8"/>
  <c r="CI121" i="11"/>
  <c r="CJ121" i="11"/>
  <c r="CK121" i="11"/>
  <c r="AF71" i="8"/>
  <c r="CL121" i="11"/>
  <c r="CM121" i="11"/>
  <c r="CN121" i="11"/>
  <c r="AG71" i="8"/>
  <c r="CO121" i="11"/>
  <c r="CP121" i="11"/>
  <c r="AH71" i="8"/>
  <c r="CR121" i="11"/>
  <c r="CS121" i="11"/>
  <c r="CT121" i="11"/>
  <c r="AI71" i="8"/>
  <c r="CU121" i="11"/>
  <c r="CV121" i="11"/>
  <c r="CW121" i="11"/>
  <c r="AJ71" i="8"/>
  <c r="CX121" i="11"/>
  <c r="CY121" i="11"/>
  <c r="CZ121" i="11"/>
  <c r="AK71" i="8"/>
  <c r="DA121" i="11"/>
  <c r="DB121" i="11"/>
  <c r="DD121" i="11"/>
  <c r="DE121" i="11"/>
  <c r="B122" i="11"/>
  <c r="C72" i="8"/>
  <c r="C122" i="11"/>
  <c r="D122" i="11"/>
  <c r="E122" i="11"/>
  <c r="D72" i="8"/>
  <c r="F122" i="11"/>
  <c r="G122" i="11"/>
  <c r="H122" i="11"/>
  <c r="E72" i="8"/>
  <c r="I122" i="11"/>
  <c r="J122" i="11"/>
  <c r="K122" i="11"/>
  <c r="F72" i="8"/>
  <c r="L122" i="11"/>
  <c r="M122" i="11"/>
  <c r="N122" i="11"/>
  <c r="G72" i="8"/>
  <c r="O122" i="11"/>
  <c r="P122" i="11"/>
  <c r="Q122" i="11"/>
  <c r="H72" i="8"/>
  <c r="R122" i="11"/>
  <c r="S122" i="11"/>
  <c r="T122" i="11"/>
  <c r="I72" i="8"/>
  <c r="U122" i="11"/>
  <c r="V122" i="11"/>
  <c r="W122" i="11"/>
  <c r="J72" i="8"/>
  <c r="X122" i="11"/>
  <c r="Y122" i="11"/>
  <c r="Z122" i="11"/>
  <c r="K72" i="8"/>
  <c r="AA122" i="11"/>
  <c r="AB122" i="11"/>
  <c r="AC122" i="11"/>
  <c r="L72" i="8"/>
  <c r="AD122" i="11"/>
  <c r="AE122" i="11"/>
  <c r="AF122" i="11"/>
  <c r="M72" i="8"/>
  <c r="AG122" i="11"/>
  <c r="AH122" i="11"/>
  <c r="AI122" i="11"/>
  <c r="N72" i="8"/>
  <c r="AJ122" i="11"/>
  <c r="AK122" i="11"/>
  <c r="AL122" i="11"/>
  <c r="O72" i="8"/>
  <c r="AM122" i="11"/>
  <c r="AN122" i="11"/>
  <c r="AO122" i="11"/>
  <c r="P72" i="8"/>
  <c r="AP122" i="11"/>
  <c r="AQ122" i="11"/>
  <c r="AR122" i="11"/>
  <c r="Q72" i="8"/>
  <c r="AS122" i="11"/>
  <c r="AT122" i="11"/>
  <c r="AU122" i="11"/>
  <c r="R72" i="8"/>
  <c r="AV122" i="11"/>
  <c r="AW122" i="11"/>
  <c r="AX122" i="11"/>
  <c r="S72" i="8"/>
  <c r="AY122" i="11"/>
  <c r="AZ122" i="11"/>
  <c r="BA122" i="11"/>
  <c r="T72" i="8"/>
  <c r="BB122" i="11"/>
  <c r="BC122" i="11"/>
  <c r="BD122" i="11"/>
  <c r="U72" i="8"/>
  <c r="BE122" i="11"/>
  <c r="BF122" i="11"/>
  <c r="BG122" i="11"/>
  <c r="V72" i="8"/>
  <c r="BH122" i="11"/>
  <c r="BI122" i="11"/>
  <c r="BJ122" i="11"/>
  <c r="W72" i="8"/>
  <c r="BK122" i="11"/>
  <c r="BL122" i="11"/>
  <c r="BM122" i="11"/>
  <c r="X72" i="8"/>
  <c r="BN122" i="11"/>
  <c r="BO122" i="11"/>
  <c r="BP122" i="11"/>
  <c r="Y72" i="8"/>
  <c r="BQ122" i="11"/>
  <c r="BR122" i="11"/>
  <c r="BS122" i="11"/>
  <c r="Z72" i="8"/>
  <c r="BT122" i="11"/>
  <c r="BU122" i="11"/>
  <c r="BV122" i="11"/>
  <c r="AA72" i="8"/>
  <c r="BW122" i="11"/>
  <c r="BX122" i="11"/>
  <c r="BY122" i="11"/>
  <c r="AB72" i="8"/>
  <c r="BZ122" i="11"/>
  <c r="CA122" i="11"/>
  <c r="CB122" i="11"/>
  <c r="AC72" i="8"/>
  <c r="CC122" i="11"/>
  <c r="CD122" i="11"/>
  <c r="CE122" i="11"/>
  <c r="AD72" i="8"/>
  <c r="CF122" i="11"/>
  <c r="CG122" i="11"/>
  <c r="CH122" i="11"/>
  <c r="AE72" i="8"/>
  <c r="CI122" i="11"/>
  <c r="CJ122" i="11"/>
  <c r="CK122" i="11"/>
  <c r="AF72" i="8"/>
  <c r="CL122" i="11"/>
  <c r="CM122" i="11"/>
  <c r="CN122" i="11"/>
  <c r="AG72" i="8"/>
  <c r="CO122" i="11"/>
  <c r="CP122" i="11"/>
  <c r="CQ122" i="11"/>
  <c r="AH72" i="8"/>
  <c r="CR122" i="11"/>
  <c r="CS122" i="11"/>
  <c r="CT122" i="11"/>
  <c r="AI72" i="8"/>
  <c r="CU122" i="11"/>
  <c r="CV122" i="11"/>
  <c r="CW122" i="11"/>
  <c r="AJ72" i="8"/>
  <c r="CX122" i="11"/>
  <c r="CY122" i="11"/>
  <c r="CZ122" i="11"/>
  <c r="AK72" i="8"/>
  <c r="DA122" i="11"/>
  <c r="DB122" i="11"/>
  <c r="DC122" i="11"/>
  <c r="DD122" i="11"/>
  <c r="DE122" i="11"/>
  <c r="B123" i="11"/>
  <c r="C73" i="8"/>
  <c r="C123" i="11"/>
  <c r="D123" i="11"/>
  <c r="E123" i="11"/>
  <c r="D73" i="8"/>
  <c r="F123" i="11"/>
  <c r="G123" i="11"/>
  <c r="H123" i="11"/>
  <c r="E73" i="8"/>
  <c r="I123" i="11"/>
  <c r="J123" i="11"/>
  <c r="K123" i="11"/>
  <c r="F73" i="8"/>
  <c r="L123" i="11"/>
  <c r="M123" i="11"/>
  <c r="N123" i="11"/>
  <c r="G73" i="8"/>
  <c r="O123" i="11"/>
  <c r="P123" i="11"/>
  <c r="Q123" i="11"/>
  <c r="H73" i="8"/>
  <c r="R123" i="11"/>
  <c r="S123" i="11"/>
  <c r="T123" i="11"/>
  <c r="I73" i="8"/>
  <c r="U123" i="11"/>
  <c r="V123" i="11"/>
  <c r="W123" i="11"/>
  <c r="J73" i="8"/>
  <c r="X123" i="11"/>
  <c r="Y123" i="11"/>
  <c r="Z123" i="11"/>
  <c r="K73" i="8"/>
  <c r="AA123" i="11"/>
  <c r="AB123" i="11"/>
  <c r="AC123" i="11"/>
  <c r="L73" i="8"/>
  <c r="AD123" i="11"/>
  <c r="AE123" i="11"/>
  <c r="AF123" i="11"/>
  <c r="M73" i="8"/>
  <c r="AG123" i="11"/>
  <c r="AH123" i="11"/>
  <c r="AI123" i="11"/>
  <c r="N73" i="8"/>
  <c r="AJ123" i="11"/>
  <c r="AK123" i="11"/>
  <c r="AL123" i="11"/>
  <c r="O73" i="8"/>
  <c r="AM123" i="11"/>
  <c r="AN123" i="11"/>
  <c r="AO123" i="11"/>
  <c r="P73" i="8"/>
  <c r="AP123" i="11"/>
  <c r="AQ123" i="11"/>
  <c r="AR123" i="11"/>
  <c r="Q73" i="8"/>
  <c r="AS123" i="11"/>
  <c r="AT123" i="11"/>
  <c r="AU123" i="11"/>
  <c r="R73" i="8"/>
  <c r="AV123" i="11"/>
  <c r="AW123" i="11"/>
  <c r="AX123" i="11"/>
  <c r="S73" i="8"/>
  <c r="AY123" i="11"/>
  <c r="AZ123" i="11"/>
  <c r="BA123" i="11"/>
  <c r="T73" i="8"/>
  <c r="BB123" i="11"/>
  <c r="BC123" i="11"/>
  <c r="BD123" i="11"/>
  <c r="U73" i="8"/>
  <c r="BE123" i="11"/>
  <c r="BF123" i="11"/>
  <c r="BG123" i="11"/>
  <c r="V73" i="8"/>
  <c r="BH123" i="11"/>
  <c r="BI123" i="11"/>
  <c r="BJ123" i="11"/>
  <c r="W73" i="8"/>
  <c r="BK123" i="11"/>
  <c r="BL123" i="11"/>
  <c r="BM123" i="11"/>
  <c r="X73" i="8"/>
  <c r="BN123" i="11"/>
  <c r="BO123" i="11"/>
  <c r="BP123" i="11"/>
  <c r="Y73" i="8"/>
  <c r="BQ123" i="11"/>
  <c r="BR123" i="11"/>
  <c r="BS123" i="11"/>
  <c r="Z73" i="8"/>
  <c r="BT123" i="11"/>
  <c r="BU123" i="11"/>
  <c r="BV123" i="11"/>
  <c r="AA73" i="8"/>
  <c r="BW123" i="11"/>
  <c r="BX123" i="11"/>
  <c r="BY123" i="11"/>
  <c r="AB73" i="8"/>
  <c r="BZ123" i="11"/>
  <c r="CA123" i="11"/>
  <c r="CB123" i="11"/>
  <c r="AC73" i="8"/>
  <c r="CC123" i="11"/>
  <c r="CD123" i="11"/>
  <c r="CE123" i="11"/>
  <c r="AD73" i="8"/>
  <c r="CF123" i="11"/>
  <c r="CG123" i="11"/>
  <c r="CH123" i="11"/>
  <c r="AE73" i="8"/>
  <c r="CI123" i="11"/>
  <c r="CJ123" i="11"/>
  <c r="CK123" i="11"/>
  <c r="AF73" i="8"/>
  <c r="CL123" i="11"/>
  <c r="CM123" i="11"/>
  <c r="CN123" i="11"/>
  <c r="AG73" i="8"/>
  <c r="CO123" i="11"/>
  <c r="CP123" i="11"/>
  <c r="CQ123" i="11"/>
  <c r="AH73" i="8"/>
  <c r="CR123" i="11"/>
  <c r="CS123" i="11"/>
  <c r="CT123" i="11"/>
  <c r="AI73" i="8"/>
  <c r="CU123" i="11"/>
  <c r="CV123" i="11"/>
  <c r="CW123" i="11"/>
  <c r="AJ73" i="8"/>
  <c r="CX123" i="11"/>
  <c r="CY123" i="11"/>
  <c r="CZ123" i="11"/>
  <c r="AK73" i="8"/>
  <c r="DA123" i="11"/>
  <c r="DB123" i="11"/>
  <c r="DC123" i="11"/>
  <c r="DD123" i="11"/>
  <c r="DE123" i="11"/>
  <c r="B124" i="11"/>
  <c r="C74" i="8"/>
  <c r="C124" i="11"/>
  <c r="D124" i="11"/>
  <c r="E124" i="11"/>
  <c r="D74" i="8"/>
  <c r="F124" i="11"/>
  <c r="G124" i="11"/>
  <c r="H124" i="11"/>
  <c r="E74" i="8"/>
  <c r="I124" i="11"/>
  <c r="J124" i="11"/>
  <c r="K124" i="11"/>
  <c r="F74" i="8"/>
  <c r="L124" i="11"/>
  <c r="M124" i="11"/>
  <c r="N124" i="11"/>
  <c r="G74" i="8"/>
  <c r="O124" i="11"/>
  <c r="P124" i="11"/>
  <c r="Q124" i="11"/>
  <c r="H74" i="8"/>
  <c r="R124" i="11"/>
  <c r="S124" i="11"/>
  <c r="T124" i="11"/>
  <c r="I74" i="8"/>
  <c r="U124" i="11"/>
  <c r="V124" i="11"/>
  <c r="W124" i="11"/>
  <c r="J74" i="8"/>
  <c r="X124" i="11"/>
  <c r="Y124" i="11"/>
  <c r="Z124" i="11"/>
  <c r="K74" i="8"/>
  <c r="AA124" i="11"/>
  <c r="AB124" i="11"/>
  <c r="AC124" i="11"/>
  <c r="L74" i="8"/>
  <c r="AD124" i="11"/>
  <c r="AE124" i="11"/>
  <c r="AF124" i="11"/>
  <c r="M74" i="8"/>
  <c r="AG124" i="11"/>
  <c r="AH124" i="11"/>
  <c r="AI124" i="11"/>
  <c r="N74" i="8"/>
  <c r="AJ124" i="11"/>
  <c r="AK124" i="11"/>
  <c r="AL124" i="11"/>
  <c r="O74" i="8"/>
  <c r="AM124" i="11"/>
  <c r="AN124" i="11"/>
  <c r="AO124" i="11"/>
  <c r="P74" i="8"/>
  <c r="AP124" i="11"/>
  <c r="AQ124" i="11"/>
  <c r="AR124" i="11"/>
  <c r="Q74" i="8"/>
  <c r="AS124" i="11"/>
  <c r="AT124" i="11"/>
  <c r="AU124" i="11"/>
  <c r="R74" i="8"/>
  <c r="AV124" i="11"/>
  <c r="AW124" i="11"/>
  <c r="AX124" i="11"/>
  <c r="S74" i="8"/>
  <c r="AY124" i="11"/>
  <c r="AZ124" i="11"/>
  <c r="BA124" i="11"/>
  <c r="T74" i="8"/>
  <c r="BB124" i="11"/>
  <c r="BC124" i="11"/>
  <c r="BD124" i="11"/>
  <c r="U74" i="8"/>
  <c r="BE124" i="11"/>
  <c r="BF124" i="11"/>
  <c r="BG124" i="11"/>
  <c r="V74" i="8"/>
  <c r="BH124" i="11"/>
  <c r="BI124" i="11"/>
  <c r="BJ124" i="11"/>
  <c r="W74" i="8"/>
  <c r="BK124" i="11"/>
  <c r="BL124" i="11"/>
  <c r="BM124" i="11"/>
  <c r="X74" i="8"/>
  <c r="BN124" i="11"/>
  <c r="BO124" i="11"/>
  <c r="BP124" i="11"/>
  <c r="Y74" i="8"/>
  <c r="BQ124" i="11"/>
  <c r="BR124" i="11"/>
  <c r="BS124" i="11"/>
  <c r="Z74" i="8"/>
  <c r="BT124" i="11"/>
  <c r="BU124" i="11"/>
  <c r="BV124" i="11"/>
  <c r="AA74" i="8"/>
  <c r="BW124" i="11"/>
  <c r="BX124" i="11"/>
  <c r="BY124" i="11"/>
  <c r="AB74" i="8"/>
  <c r="BZ124" i="11"/>
  <c r="CA124" i="11"/>
  <c r="CB124" i="11"/>
  <c r="AC74" i="8"/>
  <c r="CC124" i="11"/>
  <c r="CD124" i="11"/>
  <c r="CE124" i="11"/>
  <c r="AD74" i="8"/>
  <c r="CF124" i="11"/>
  <c r="CG124" i="11"/>
  <c r="CH124" i="11"/>
  <c r="AE74" i="8"/>
  <c r="CI124" i="11"/>
  <c r="CJ124" i="11"/>
  <c r="CK124" i="11"/>
  <c r="AF74" i="8"/>
  <c r="CL124" i="11"/>
  <c r="CM124" i="11"/>
  <c r="CN124" i="11"/>
  <c r="AG74" i="8"/>
  <c r="CO124" i="11"/>
  <c r="CP124" i="11"/>
  <c r="CQ124" i="11"/>
  <c r="AH74" i="8"/>
  <c r="CR124" i="11"/>
  <c r="CS124" i="11"/>
  <c r="CT124" i="11"/>
  <c r="AI74" i="8"/>
  <c r="CU124" i="11"/>
  <c r="CV124" i="11"/>
  <c r="CW124" i="11"/>
  <c r="AJ74" i="8"/>
  <c r="CX124" i="11"/>
  <c r="CY124" i="11"/>
  <c r="CZ124" i="11"/>
  <c r="AK74" i="8"/>
  <c r="DA124" i="11"/>
  <c r="DB124" i="11"/>
  <c r="DC124" i="11"/>
  <c r="DD124" i="11"/>
  <c r="DE124" i="11"/>
  <c r="C75" i="8"/>
  <c r="C125" i="11"/>
  <c r="D75" i="8"/>
  <c r="F125" i="11"/>
  <c r="E75" i="8"/>
  <c r="I125" i="11"/>
  <c r="F75" i="8"/>
  <c r="L125" i="11"/>
  <c r="G75" i="8"/>
  <c r="O125" i="11"/>
  <c r="H75" i="8"/>
  <c r="R125" i="11"/>
  <c r="I75" i="8"/>
  <c r="U125" i="11"/>
  <c r="J75" i="8"/>
  <c r="X125" i="11"/>
  <c r="K75" i="8"/>
  <c r="AA125" i="11"/>
  <c r="L75" i="8"/>
  <c r="AD125" i="11"/>
  <c r="M75" i="8"/>
  <c r="AG125" i="11"/>
  <c r="N75" i="8"/>
  <c r="AJ125" i="11"/>
  <c r="O75" i="8"/>
  <c r="AM125" i="11"/>
  <c r="P75" i="8"/>
  <c r="AP125" i="11"/>
  <c r="Q75" i="8"/>
  <c r="AS125" i="11"/>
  <c r="R75" i="8"/>
  <c r="AV125" i="11"/>
  <c r="S75" i="8"/>
  <c r="AY125" i="11"/>
  <c r="T75" i="8"/>
  <c r="BB125" i="11"/>
  <c r="U75" i="8"/>
  <c r="BE125" i="11"/>
  <c r="V75" i="8"/>
  <c r="BH125" i="11"/>
  <c r="W75" i="8"/>
  <c r="BK125" i="11"/>
  <c r="X75" i="8"/>
  <c r="BN125" i="11"/>
  <c r="Y75" i="8"/>
  <c r="BQ125" i="11"/>
  <c r="Z75" i="8"/>
  <c r="BT125" i="11"/>
  <c r="AA75" i="8"/>
  <c r="BW125" i="11"/>
  <c r="AB75" i="8"/>
  <c r="BZ125" i="11"/>
  <c r="AC75" i="8"/>
  <c r="CC125" i="11"/>
  <c r="AD75" i="8"/>
  <c r="CF125" i="11"/>
  <c r="AE75" i="8"/>
  <c r="CI125" i="11"/>
  <c r="AF75" i="8"/>
  <c r="CL125" i="11"/>
  <c r="AG75" i="8"/>
  <c r="CO125" i="11"/>
  <c r="AH75" i="8"/>
  <c r="CR125" i="11"/>
  <c r="AI75" i="8"/>
  <c r="CU125" i="11"/>
  <c r="AJ75" i="8"/>
  <c r="CX125" i="11"/>
  <c r="AK75" i="8"/>
  <c r="DA125" i="11"/>
  <c r="DD125" i="11"/>
  <c r="C76" i="8"/>
  <c r="C126" i="11"/>
  <c r="D76" i="8"/>
  <c r="F126" i="11"/>
  <c r="E76" i="8"/>
  <c r="I126" i="11"/>
  <c r="F76" i="8"/>
  <c r="L126" i="11"/>
  <c r="G76" i="8"/>
  <c r="O126" i="11"/>
  <c r="H76" i="8"/>
  <c r="R126" i="11"/>
  <c r="I76" i="8"/>
  <c r="U126" i="11"/>
  <c r="J76" i="8"/>
  <c r="X126" i="11"/>
  <c r="K76" i="8"/>
  <c r="AA126" i="11"/>
  <c r="L76" i="8"/>
  <c r="AD126" i="11"/>
  <c r="M76" i="8"/>
  <c r="AG126" i="11"/>
  <c r="N76" i="8"/>
  <c r="AJ126" i="11"/>
  <c r="O76" i="8"/>
  <c r="AM126" i="11"/>
  <c r="P76" i="8"/>
  <c r="AP126" i="11"/>
  <c r="Q76" i="8"/>
  <c r="AS126" i="11"/>
  <c r="R76" i="8"/>
  <c r="AV126" i="11"/>
  <c r="S76" i="8"/>
  <c r="AY126" i="11"/>
  <c r="T76" i="8"/>
  <c r="BB126" i="11"/>
  <c r="U76" i="8"/>
  <c r="BE126" i="11"/>
  <c r="V76" i="8"/>
  <c r="BH126" i="11"/>
  <c r="W76" i="8"/>
  <c r="BK126" i="11"/>
  <c r="X76" i="8"/>
  <c r="BN126" i="11"/>
  <c r="Y76" i="8"/>
  <c r="BQ126" i="11"/>
  <c r="Z76" i="8"/>
  <c r="BT126" i="11"/>
  <c r="AA76" i="8"/>
  <c r="BW126" i="11"/>
  <c r="AB76" i="8"/>
  <c r="BZ126" i="11"/>
  <c r="AC76" i="8"/>
  <c r="CC126" i="11"/>
  <c r="AD76" i="8"/>
  <c r="CF126" i="11"/>
  <c r="AE76" i="8"/>
  <c r="CI126" i="11"/>
  <c r="AF76" i="8"/>
  <c r="CL126" i="11"/>
  <c r="AG76" i="8"/>
  <c r="CO126" i="11"/>
  <c r="AH76" i="8"/>
  <c r="CR126" i="11"/>
  <c r="AI76" i="8"/>
  <c r="CU126" i="11"/>
  <c r="AJ76" i="8"/>
  <c r="CX126" i="11"/>
  <c r="AK76" i="8"/>
  <c r="DA126" i="11"/>
  <c r="DD126" i="11"/>
  <c r="C77" i="8"/>
  <c r="C127" i="11"/>
  <c r="D77" i="8"/>
  <c r="F127" i="11"/>
  <c r="E77" i="8"/>
  <c r="I127" i="11"/>
  <c r="F77" i="8"/>
  <c r="L127" i="11"/>
  <c r="G77" i="8"/>
  <c r="O127" i="11"/>
  <c r="H77" i="8"/>
  <c r="R127" i="11"/>
  <c r="I77" i="8"/>
  <c r="U127" i="11"/>
  <c r="J77" i="8"/>
  <c r="X127" i="11"/>
  <c r="K77" i="8"/>
  <c r="AA127" i="11"/>
  <c r="L77" i="8"/>
  <c r="AD127" i="11"/>
  <c r="M77" i="8"/>
  <c r="AG127" i="11"/>
  <c r="N77" i="8"/>
  <c r="AJ127" i="11"/>
  <c r="O77" i="8"/>
  <c r="AM127" i="11"/>
  <c r="P77" i="8"/>
  <c r="AP127" i="11"/>
  <c r="Q77" i="8"/>
  <c r="AS127" i="11"/>
  <c r="R77" i="8"/>
  <c r="AV127" i="11"/>
  <c r="S77" i="8"/>
  <c r="AY127" i="11"/>
  <c r="T77" i="8"/>
  <c r="BB127" i="11"/>
  <c r="U77" i="8"/>
  <c r="BE127" i="11"/>
  <c r="V77" i="8"/>
  <c r="BH127" i="11"/>
  <c r="W77" i="8"/>
  <c r="BK127" i="11"/>
  <c r="X77" i="8"/>
  <c r="BN127" i="11"/>
  <c r="Y77" i="8"/>
  <c r="BQ127" i="11"/>
  <c r="Z77" i="8"/>
  <c r="BT127" i="11"/>
  <c r="AA77" i="8"/>
  <c r="BW127" i="11"/>
  <c r="AB77" i="8"/>
  <c r="BZ127" i="11"/>
  <c r="AC77" i="8"/>
  <c r="CC127" i="11"/>
  <c r="AD77" i="8"/>
  <c r="CF127" i="11"/>
  <c r="AE77" i="8"/>
  <c r="CI127" i="11"/>
  <c r="AF77" i="8"/>
  <c r="CL127" i="11"/>
  <c r="AG77" i="8"/>
  <c r="CO127" i="11"/>
  <c r="AH77" i="8"/>
  <c r="CR127" i="11"/>
  <c r="AI77" i="8"/>
  <c r="CU127" i="11"/>
  <c r="AJ77" i="8"/>
  <c r="CX127" i="11"/>
  <c r="AK77" i="8"/>
  <c r="DA127" i="11"/>
  <c r="DD127" i="11"/>
  <c r="B128" i="11"/>
  <c r="C78" i="8"/>
  <c r="C128" i="11"/>
  <c r="D128" i="11"/>
  <c r="E128" i="11"/>
  <c r="D78" i="8"/>
  <c r="F128" i="11"/>
  <c r="G128" i="11"/>
  <c r="H128" i="11"/>
  <c r="E78" i="8"/>
  <c r="I128" i="11"/>
  <c r="J128" i="11"/>
  <c r="K128" i="11"/>
  <c r="F78" i="8"/>
  <c r="L128" i="11"/>
  <c r="M128" i="11"/>
  <c r="N128" i="11"/>
  <c r="G78" i="8"/>
  <c r="O128" i="11"/>
  <c r="P128" i="11"/>
  <c r="Q128" i="11"/>
  <c r="H78" i="8"/>
  <c r="R128" i="11"/>
  <c r="S128" i="11"/>
  <c r="T128" i="11"/>
  <c r="I78" i="8"/>
  <c r="U128" i="11"/>
  <c r="V128" i="11"/>
  <c r="W128" i="11"/>
  <c r="J78" i="8"/>
  <c r="X128" i="11"/>
  <c r="Y128" i="11"/>
  <c r="Z128" i="11"/>
  <c r="K78" i="8"/>
  <c r="AA128" i="11"/>
  <c r="AB128" i="11"/>
  <c r="AC128" i="11"/>
  <c r="L78" i="8"/>
  <c r="AD128" i="11"/>
  <c r="AE128" i="11"/>
  <c r="AF128" i="11"/>
  <c r="M78" i="8"/>
  <c r="AG128" i="11"/>
  <c r="AH128" i="11"/>
  <c r="AI128" i="11"/>
  <c r="N78" i="8"/>
  <c r="AJ128" i="11"/>
  <c r="AK128" i="11"/>
  <c r="AL128" i="11"/>
  <c r="O78" i="8"/>
  <c r="AM128" i="11"/>
  <c r="AN128" i="11"/>
  <c r="AO128" i="11"/>
  <c r="P78" i="8"/>
  <c r="AP128" i="11"/>
  <c r="AQ128" i="11"/>
  <c r="AR128" i="11"/>
  <c r="Q78" i="8"/>
  <c r="AS128" i="11"/>
  <c r="AT128" i="11"/>
  <c r="AU128" i="11"/>
  <c r="R78" i="8"/>
  <c r="AV128" i="11"/>
  <c r="AW128" i="11"/>
  <c r="AX128" i="11"/>
  <c r="S78" i="8"/>
  <c r="AY128" i="11"/>
  <c r="AZ128" i="11"/>
  <c r="BA128" i="11"/>
  <c r="T78" i="8"/>
  <c r="BB128" i="11"/>
  <c r="BC128" i="11"/>
  <c r="BD128" i="11"/>
  <c r="U78" i="8"/>
  <c r="BE128" i="11"/>
  <c r="BF128" i="11"/>
  <c r="BG128" i="11"/>
  <c r="V78" i="8"/>
  <c r="BH128" i="11"/>
  <c r="BI128" i="11"/>
  <c r="BJ128" i="11"/>
  <c r="W78" i="8"/>
  <c r="BK128" i="11"/>
  <c r="BL128" i="11"/>
  <c r="BM128" i="11"/>
  <c r="X78" i="8"/>
  <c r="BN128" i="11"/>
  <c r="BO128" i="11"/>
  <c r="BP128" i="11"/>
  <c r="Y78" i="8"/>
  <c r="BQ128" i="11"/>
  <c r="BR128" i="11"/>
  <c r="BS128" i="11"/>
  <c r="Z78" i="8"/>
  <c r="BT128" i="11"/>
  <c r="BU128" i="11"/>
  <c r="BV128" i="11"/>
  <c r="AA78" i="8"/>
  <c r="BW128" i="11"/>
  <c r="BX128" i="11"/>
  <c r="BY128" i="11"/>
  <c r="BZ128" i="11"/>
  <c r="CA128" i="11"/>
  <c r="CB128" i="11"/>
  <c r="CC128" i="11"/>
  <c r="CD128" i="11"/>
  <c r="CE128" i="11"/>
  <c r="CF128" i="11"/>
  <c r="CG128" i="11"/>
  <c r="CH128" i="11"/>
  <c r="CI128" i="11"/>
  <c r="CJ128" i="11"/>
  <c r="CK128" i="11"/>
  <c r="CL128" i="11"/>
  <c r="CM128" i="11"/>
  <c r="CN128" i="11"/>
  <c r="CO128" i="11"/>
  <c r="CP128" i="11"/>
  <c r="CQ128" i="11"/>
  <c r="CR128" i="11"/>
  <c r="CS128" i="11"/>
  <c r="CT128" i="11"/>
  <c r="CU128" i="11"/>
  <c r="CV128" i="11"/>
  <c r="CW128" i="11"/>
  <c r="CX128" i="11"/>
  <c r="CY128" i="11"/>
  <c r="CZ128" i="11"/>
  <c r="AK78" i="8"/>
  <c r="DA128" i="11"/>
  <c r="DB128" i="11"/>
  <c r="DC128" i="11"/>
  <c r="DD128" i="11"/>
  <c r="DE128" i="11"/>
  <c r="B129" i="11"/>
  <c r="C79" i="8"/>
  <c r="C129" i="11"/>
  <c r="D129" i="11"/>
  <c r="E129" i="11"/>
  <c r="D79" i="8"/>
  <c r="F129" i="11"/>
  <c r="H129" i="11"/>
  <c r="E79" i="8"/>
  <c r="I129" i="11"/>
  <c r="J129" i="11"/>
  <c r="K129" i="11"/>
  <c r="F79" i="8"/>
  <c r="L129" i="11"/>
  <c r="M129" i="11"/>
  <c r="N129" i="11"/>
  <c r="G79" i="8"/>
  <c r="O129" i="11"/>
  <c r="P129" i="11"/>
  <c r="Q129" i="11"/>
  <c r="H79" i="8"/>
  <c r="R129" i="11"/>
  <c r="S129" i="11"/>
  <c r="T129" i="11"/>
  <c r="I79" i="8"/>
  <c r="U129" i="11"/>
  <c r="V129" i="11"/>
  <c r="W129" i="11"/>
  <c r="J79" i="8"/>
  <c r="X129" i="11"/>
  <c r="Y129" i="11"/>
  <c r="Z129" i="11"/>
  <c r="K79" i="8"/>
  <c r="AA129" i="11"/>
  <c r="AB129" i="11"/>
  <c r="AC129" i="11"/>
  <c r="L79" i="8"/>
  <c r="AD129" i="11"/>
  <c r="AF129" i="11"/>
  <c r="M79" i="8"/>
  <c r="AG129" i="11"/>
  <c r="AH129" i="11"/>
  <c r="AI129" i="11"/>
  <c r="N79" i="8"/>
  <c r="AJ129" i="11"/>
  <c r="AK129" i="11"/>
  <c r="AL129" i="11"/>
  <c r="O79" i="8"/>
  <c r="AM129" i="11"/>
  <c r="AN129" i="11"/>
  <c r="AO129" i="11"/>
  <c r="P79" i="8"/>
  <c r="AP129" i="11"/>
  <c r="AQ129" i="11"/>
  <c r="AR129" i="11"/>
  <c r="Q79" i="8"/>
  <c r="AS129" i="11"/>
  <c r="AT129" i="11"/>
  <c r="AU129" i="11"/>
  <c r="R79" i="8"/>
  <c r="AV129" i="11"/>
  <c r="AW129" i="11"/>
  <c r="AX129" i="11"/>
  <c r="S79" i="8"/>
  <c r="AY129" i="11"/>
  <c r="AZ129" i="11"/>
  <c r="BA129" i="11"/>
  <c r="T79" i="8"/>
  <c r="BB129" i="11"/>
  <c r="BD129" i="11"/>
  <c r="U79" i="8"/>
  <c r="BE129" i="11"/>
  <c r="BF129" i="11"/>
  <c r="BG129" i="11"/>
  <c r="V79" i="8"/>
  <c r="BH129" i="11"/>
  <c r="BI129" i="11"/>
  <c r="BJ129" i="11"/>
  <c r="W79" i="8"/>
  <c r="BK129" i="11"/>
  <c r="BL129" i="11"/>
  <c r="BM129" i="11"/>
  <c r="X79" i="8"/>
  <c r="BN129" i="11"/>
  <c r="BP129" i="11"/>
  <c r="Y79" i="8"/>
  <c r="BQ129" i="11"/>
  <c r="BR129" i="11"/>
  <c r="BS129" i="11"/>
  <c r="Z79" i="8"/>
  <c r="BT129" i="11"/>
  <c r="BU129" i="11"/>
  <c r="BV129" i="11"/>
  <c r="AA79" i="8"/>
  <c r="BW129" i="11"/>
  <c r="BX129" i="11"/>
  <c r="BY129" i="11"/>
  <c r="AB79" i="8"/>
  <c r="BZ129" i="11"/>
  <c r="CA129" i="11"/>
  <c r="CB129" i="11"/>
  <c r="AC79" i="8"/>
  <c r="CC129" i="11"/>
  <c r="CD129" i="11"/>
  <c r="CE129" i="11"/>
  <c r="AD79" i="8"/>
  <c r="CF129" i="11"/>
  <c r="CG129" i="11"/>
  <c r="CH129" i="11"/>
  <c r="AE79" i="8"/>
  <c r="CI129" i="11"/>
  <c r="CJ129" i="11"/>
  <c r="CK129" i="11"/>
  <c r="AF79" i="8"/>
  <c r="CL129" i="11"/>
  <c r="CN129" i="11"/>
  <c r="AG79" i="8"/>
  <c r="CO129" i="11"/>
  <c r="CP129" i="11"/>
  <c r="CQ129" i="11"/>
  <c r="AH79" i="8"/>
  <c r="CR129" i="11"/>
  <c r="CS129" i="11"/>
  <c r="CT129" i="11"/>
  <c r="AI79" i="8"/>
  <c r="CU129" i="11"/>
  <c r="CV129" i="11"/>
  <c r="CW129" i="11"/>
  <c r="AJ79" i="8"/>
  <c r="CX129" i="11"/>
  <c r="CZ129" i="11"/>
  <c r="AK79" i="8"/>
  <c r="DA129" i="11"/>
  <c r="DB129" i="11"/>
  <c r="DC129" i="11"/>
  <c r="DD129" i="11"/>
  <c r="DE129" i="11"/>
  <c r="B130" i="11"/>
  <c r="E130" i="11"/>
  <c r="H130" i="11"/>
  <c r="K130" i="11"/>
  <c r="N130" i="11"/>
  <c r="Q130" i="11"/>
  <c r="T130" i="11"/>
  <c r="W130" i="11"/>
  <c r="Z130" i="11"/>
  <c r="AC130" i="11"/>
  <c r="AF130" i="11"/>
  <c r="AI130" i="11"/>
  <c r="AL130" i="11"/>
  <c r="AO130" i="11"/>
  <c r="AR130" i="11"/>
  <c r="AU130" i="11"/>
  <c r="AX130" i="11"/>
  <c r="BA130" i="11"/>
  <c r="BD130" i="11"/>
  <c r="BG130" i="11"/>
  <c r="BJ130" i="11"/>
  <c r="BM130" i="11"/>
  <c r="BP130" i="11"/>
  <c r="BS130" i="11"/>
  <c r="BV130" i="11"/>
  <c r="BY130" i="11"/>
  <c r="CB130" i="11"/>
  <c r="CE130" i="11"/>
  <c r="CH130" i="11"/>
  <c r="CK130" i="11"/>
  <c r="CN130" i="11"/>
  <c r="CQ130" i="11"/>
  <c r="CT130" i="11"/>
  <c r="CW130" i="11"/>
  <c r="CZ130" i="11"/>
  <c r="DC130" i="11"/>
  <c r="B131" i="11"/>
  <c r="E131" i="11"/>
  <c r="H131" i="11"/>
  <c r="K131" i="11"/>
  <c r="N131" i="11"/>
  <c r="Q131" i="11"/>
  <c r="T131" i="11"/>
  <c r="W131" i="11"/>
  <c r="Z131" i="11"/>
  <c r="AC131" i="11"/>
  <c r="AF131" i="11"/>
  <c r="AI131" i="11"/>
  <c r="AL131" i="11"/>
  <c r="AO131" i="11"/>
  <c r="AR131" i="11"/>
  <c r="AU131" i="11"/>
  <c r="AX131" i="11"/>
  <c r="BA131" i="11"/>
  <c r="BD131" i="11"/>
  <c r="BG131" i="11"/>
  <c r="BJ131" i="11"/>
  <c r="BM131" i="11"/>
  <c r="BP131" i="11"/>
  <c r="BS131" i="11"/>
  <c r="BV131" i="11"/>
  <c r="BY131" i="11"/>
  <c r="CB131" i="11"/>
  <c r="CE131" i="11"/>
  <c r="CH131" i="11"/>
  <c r="CK131" i="11"/>
  <c r="CN131" i="11"/>
  <c r="CQ131" i="11"/>
  <c r="CT131" i="11"/>
  <c r="CW131" i="11"/>
  <c r="CZ131" i="11"/>
  <c r="DC131" i="11"/>
  <c r="B132" i="11"/>
  <c r="E132" i="11"/>
  <c r="H132" i="11"/>
  <c r="K132" i="11"/>
  <c r="N132" i="11"/>
  <c r="Q132" i="11"/>
  <c r="T132" i="11"/>
  <c r="W132" i="11"/>
  <c r="Z132" i="11"/>
  <c r="AC132" i="11"/>
  <c r="AF132" i="11"/>
  <c r="AI132" i="11"/>
  <c r="AL132" i="11"/>
  <c r="AO132" i="11"/>
  <c r="AR132" i="11"/>
  <c r="AU132" i="11"/>
  <c r="AX132" i="11"/>
  <c r="BA132" i="11"/>
  <c r="BD132" i="11"/>
  <c r="BG132" i="11"/>
  <c r="BJ132" i="11"/>
  <c r="BM132" i="11"/>
  <c r="BP132" i="11"/>
  <c r="BS132" i="11"/>
  <c r="BV132" i="11"/>
  <c r="BY132" i="11"/>
  <c r="CB132" i="11"/>
  <c r="CE132" i="11"/>
  <c r="CH132" i="11"/>
  <c r="CK132" i="11"/>
  <c r="CN132" i="11"/>
  <c r="CQ132" i="11"/>
  <c r="CT132" i="11"/>
  <c r="CW132" i="11"/>
  <c r="CZ132" i="11"/>
  <c r="DC132" i="11"/>
  <c r="B133" i="11"/>
  <c r="E133" i="11"/>
  <c r="H133" i="11"/>
  <c r="K133" i="11"/>
  <c r="N133" i="11"/>
  <c r="Q133" i="11"/>
  <c r="T133" i="11"/>
  <c r="W133" i="11"/>
  <c r="Z133" i="11"/>
  <c r="AC133" i="11"/>
  <c r="AF133" i="11"/>
  <c r="AI133" i="11"/>
  <c r="AL133" i="11"/>
  <c r="AO133" i="11"/>
  <c r="AR133" i="11"/>
  <c r="AU133" i="11"/>
  <c r="AX133" i="11"/>
  <c r="BA133" i="11"/>
  <c r="BD133" i="11"/>
  <c r="BG133" i="11"/>
  <c r="BJ133" i="11"/>
  <c r="BM133" i="11"/>
  <c r="BP133" i="11"/>
  <c r="BS133" i="11"/>
  <c r="BV133" i="11"/>
  <c r="BY133" i="11"/>
  <c r="CB133" i="11"/>
  <c r="CE133" i="11"/>
  <c r="CH133" i="11"/>
  <c r="CK133" i="11"/>
  <c r="CN133" i="11"/>
  <c r="CQ133" i="11"/>
  <c r="CT133" i="11"/>
  <c r="CW133" i="11"/>
  <c r="CZ133" i="11"/>
  <c r="DC133" i="11"/>
  <c r="B134" i="11"/>
  <c r="D134" i="11"/>
  <c r="E134" i="11"/>
  <c r="G134" i="11"/>
  <c r="H134" i="11"/>
  <c r="J134" i="11"/>
  <c r="K134" i="11"/>
  <c r="M134" i="11"/>
  <c r="N134" i="11"/>
  <c r="P134" i="11"/>
  <c r="Q134" i="11"/>
  <c r="S134" i="11"/>
  <c r="T134" i="11"/>
  <c r="V134" i="11"/>
  <c r="W134" i="11"/>
  <c r="Y134" i="11"/>
  <c r="Z134" i="11"/>
  <c r="AB134" i="11"/>
  <c r="AC134" i="11"/>
  <c r="AE134" i="11"/>
  <c r="AF134" i="11"/>
  <c r="AH134" i="11"/>
  <c r="AI134" i="11"/>
  <c r="AK134" i="11"/>
  <c r="AL134" i="11"/>
  <c r="AN134" i="11"/>
  <c r="AO134" i="11"/>
  <c r="AQ134" i="11"/>
  <c r="AR134" i="11"/>
  <c r="AT134" i="11"/>
  <c r="AU134" i="11"/>
  <c r="AW134" i="11"/>
  <c r="AX134" i="11"/>
  <c r="AZ134" i="11"/>
  <c r="BA134" i="11"/>
  <c r="BC134" i="11"/>
  <c r="BD134" i="11"/>
  <c r="BF134" i="11"/>
  <c r="BG134" i="11"/>
  <c r="BI134" i="11"/>
  <c r="BJ134" i="11"/>
  <c r="BL134" i="11"/>
  <c r="BM134" i="11"/>
  <c r="BO134" i="11"/>
  <c r="BP134" i="11"/>
  <c r="BR134" i="11"/>
  <c r="BS134" i="11"/>
  <c r="BU134" i="11"/>
  <c r="BV134" i="11"/>
  <c r="BX134" i="11"/>
  <c r="BY134" i="11"/>
  <c r="CA134" i="11"/>
  <c r="CB134" i="11"/>
  <c r="CD134" i="11"/>
  <c r="CE134" i="11"/>
  <c r="CG134" i="11"/>
  <c r="CH134" i="11"/>
  <c r="CJ134" i="11"/>
  <c r="CK134" i="11"/>
  <c r="CM134" i="11"/>
  <c r="CN134" i="11"/>
  <c r="CP134" i="11"/>
  <c r="CQ134" i="11"/>
  <c r="CS134" i="11"/>
  <c r="CT134" i="11"/>
  <c r="CV134" i="11"/>
  <c r="CW134" i="11"/>
  <c r="CY134" i="11"/>
  <c r="CZ134" i="11"/>
  <c r="DB134" i="11"/>
  <c r="DC134" i="11"/>
  <c r="DE134" i="11"/>
  <c r="B135" i="11"/>
  <c r="D135" i="11"/>
  <c r="E135" i="11"/>
  <c r="G135" i="11"/>
  <c r="H135" i="11"/>
  <c r="J135" i="11"/>
  <c r="K135" i="11"/>
  <c r="M135" i="11"/>
  <c r="N135" i="11"/>
  <c r="P135" i="11"/>
  <c r="Q135" i="11"/>
  <c r="S135" i="11"/>
  <c r="T135" i="11"/>
  <c r="V135" i="11"/>
  <c r="W135" i="11"/>
  <c r="Y135" i="11"/>
  <c r="Z135" i="11"/>
  <c r="AB135" i="11"/>
  <c r="AC135" i="11"/>
  <c r="AE135" i="11"/>
  <c r="AF135" i="11"/>
  <c r="AH135" i="11"/>
  <c r="AI135" i="11"/>
  <c r="AK135" i="11"/>
  <c r="AL135" i="11"/>
  <c r="AN135" i="11"/>
  <c r="AO135" i="11"/>
  <c r="AQ135" i="11"/>
  <c r="AR135" i="11"/>
  <c r="AT135" i="11"/>
  <c r="AU135" i="11"/>
  <c r="AW135" i="11"/>
  <c r="AX135" i="11"/>
  <c r="AZ135" i="11"/>
  <c r="BA135" i="11"/>
  <c r="BC135" i="11"/>
  <c r="BD135" i="11"/>
  <c r="BF135" i="11"/>
  <c r="BG135" i="11"/>
  <c r="BI135" i="11"/>
  <c r="BJ135" i="11"/>
  <c r="BL135" i="11"/>
  <c r="BM135" i="11"/>
  <c r="BO135" i="11"/>
  <c r="BP135" i="11"/>
  <c r="BR135" i="11"/>
  <c r="BS135" i="11"/>
  <c r="BU135" i="11"/>
  <c r="BV135" i="11"/>
  <c r="BX135" i="11"/>
  <c r="BY135" i="11"/>
  <c r="CA135" i="11"/>
  <c r="CB135" i="11"/>
  <c r="CD135" i="11"/>
  <c r="CE135" i="11"/>
  <c r="CG135" i="11"/>
  <c r="CH135" i="11"/>
  <c r="CJ135" i="11"/>
  <c r="CK135" i="11"/>
  <c r="CM135" i="11"/>
  <c r="CN135" i="11"/>
  <c r="CP135" i="11"/>
  <c r="CQ135" i="11"/>
  <c r="CS135" i="11"/>
  <c r="CT135" i="11"/>
  <c r="CV135" i="11"/>
  <c r="CW135" i="11"/>
  <c r="CY135" i="11"/>
  <c r="CZ135" i="11"/>
  <c r="DB135" i="11"/>
  <c r="DC135" i="11"/>
  <c r="DE135" i="11"/>
  <c r="B136" i="11"/>
  <c r="D136" i="11"/>
  <c r="E136" i="11"/>
  <c r="G136" i="11"/>
  <c r="H136" i="11"/>
  <c r="J136" i="11"/>
  <c r="K136" i="11"/>
  <c r="M136" i="11"/>
  <c r="N136" i="11"/>
  <c r="P136" i="11"/>
  <c r="Q136" i="11"/>
  <c r="S136" i="11"/>
  <c r="T136" i="11"/>
  <c r="V136" i="11"/>
  <c r="W136" i="11"/>
  <c r="Y136" i="11"/>
  <c r="Z136" i="11"/>
  <c r="AB136" i="11"/>
  <c r="AC136" i="11"/>
  <c r="AE136" i="11"/>
  <c r="AF136" i="11"/>
  <c r="AH136" i="11"/>
  <c r="AI136" i="11"/>
  <c r="AK136" i="11"/>
  <c r="AL136" i="11"/>
  <c r="AN136" i="11"/>
  <c r="AO136" i="11"/>
  <c r="AQ136" i="11"/>
  <c r="AR136" i="11"/>
  <c r="AT136" i="11"/>
  <c r="AU136" i="11"/>
  <c r="AW136" i="11"/>
  <c r="AX136" i="11"/>
  <c r="AZ136" i="11"/>
  <c r="BA136" i="11"/>
  <c r="BC136" i="11"/>
  <c r="BD136" i="11"/>
  <c r="BF136" i="11"/>
  <c r="BG136" i="11"/>
  <c r="BI136" i="11"/>
  <c r="BJ136" i="11"/>
  <c r="BL136" i="11"/>
  <c r="BM136" i="11"/>
  <c r="BO136" i="11"/>
  <c r="BP136" i="11"/>
  <c r="BR136" i="11"/>
  <c r="BS136" i="11"/>
  <c r="BU136" i="11"/>
  <c r="BV136" i="11"/>
  <c r="BX136" i="11"/>
  <c r="BY136" i="11"/>
  <c r="CA136" i="11"/>
  <c r="CB136" i="11"/>
  <c r="CD136" i="11"/>
  <c r="CE136" i="11"/>
  <c r="CG136" i="11"/>
  <c r="CH136" i="11"/>
  <c r="CJ136" i="11"/>
  <c r="CK136" i="11"/>
  <c r="CM136" i="11"/>
  <c r="CN136" i="11"/>
  <c r="CP136" i="11"/>
  <c r="CQ136" i="11"/>
  <c r="CS136" i="11"/>
  <c r="CT136" i="11"/>
  <c r="CV136" i="11"/>
  <c r="CW136" i="11"/>
  <c r="CY136" i="11"/>
  <c r="CZ136" i="11"/>
  <c r="DB136" i="11"/>
  <c r="DC136" i="11"/>
  <c r="DE136" i="11"/>
  <c r="B137" i="11"/>
  <c r="D137" i="11"/>
  <c r="E137" i="11"/>
  <c r="G137" i="11"/>
  <c r="H137" i="11"/>
  <c r="J137" i="11"/>
  <c r="K137" i="11"/>
  <c r="M137" i="11"/>
  <c r="N137" i="11"/>
  <c r="P137" i="11"/>
  <c r="Q137" i="11"/>
  <c r="S137" i="11"/>
  <c r="T137" i="11"/>
  <c r="V137" i="11"/>
  <c r="W137" i="11"/>
  <c r="Y137" i="11"/>
  <c r="Z137" i="11"/>
  <c r="AB137" i="11"/>
  <c r="AC137" i="11"/>
  <c r="AE137" i="11"/>
  <c r="AF137" i="11"/>
  <c r="AH137" i="11"/>
  <c r="AI137" i="11"/>
  <c r="AK137" i="11"/>
  <c r="AL137" i="11"/>
  <c r="AN137" i="11"/>
  <c r="AO137" i="11"/>
  <c r="AQ137" i="11"/>
  <c r="AR137" i="11"/>
  <c r="AT137" i="11"/>
  <c r="AU137" i="11"/>
  <c r="AW137" i="11"/>
  <c r="AX137" i="11"/>
  <c r="AZ137" i="11"/>
  <c r="BA137" i="11"/>
  <c r="BC137" i="11"/>
  <c r="BD137" i="11"/>
  <c r="BF137" i="11"/>
  <c r="BG137" i="11"/>
  <c r="BI137" i="11"/>
  <c r="BJ137" i="11"/>
  <c r="BL137" i="11"/>
  <c r="BM137" i="11"/>
  <c r="BO137" i="11"/>
  <c r="BP137" i="11"/>
  <c r="BR137" i="11"/>
  <c r="BS137" i="11"/>
  <c r="BU137" i="11"/>
  <c r="BV137" i="11"/>
  <c r="BX137" i="11"/>
  <c r="BY137" i="11"/>
  <c r="CA137" i="11"/>
  <c r="CB137" i="11"/>
  <c r="CD137" i="11"/>
  <c r="CE137" i="11"/>
  <c r="CG137" i="11"/>
  <c r="CH137" i="11"/>
  <c r="CJ137" i="11"/>
  <c r="CK137" i="11"/>
  <c r="CM137" i="11"/>
  <c r="CN137" i="11"/>
  <c r="CP137" i="11"/>
  <c r="CQ137" i="11"/>
  <c r="CS137" i="11"/>
  <c r="CT137" i="11"/>
  <c r="CV137" i="11"/>
  <c r="CW137" i="11"/>
  <c r="CY137" i="11"/>
  <c r="CZ137" i="11"/>
  <c r="DB137" i="11"/>
  <c r="DC137" i="11"/>
  <c r="DE137" i="11"/>
  <c r="B138" i="11"/>
  <c r="D138" i="11"/>
  <c r="E138" i="11"/>
  <c r="G138" i="11"/>
  <c r="H138" i="11"/>
  <c r="J138" i="11"/>
  <c r="K138" i="11"/>
  <c r="M138" i="11"/>
  <c r="N138" i="11"/>
  <c r="P138" i="11"/>
  <c r="Q138" i="11"/>
  <c r="S138" i="11"/>
  <c r="T138" i="11"/>
  <c r="V138" i="11"/>
  <c r="W138" i="11"/>
  <c r="Y138" i="11"/>
  <c r="Z138" i="11"/>
  <c r="AB138" i="11"/>
  <c r="AC138" i="11"/>
  <c r="AE138" i="11"/>
  <c r="AF138" i="11"/>
  <c r="AH138" i="11"/>
  <c r="AI138" i="11"/>
  <c r="AK138" i="11"/>
  <c r="AL138" i="11"/>
  <c r="AN138" i="11"/>
  <c r="AO138" i="11"/>
  <c r="AQ138" i="11"/>
  <c r="AR138" i="11"/>
  <c r="AT138" i="11"/>
  <c r="AU138" i="11"/>
  <c r="AW138" i="11"/>
  <c r="AX138" i="11"/>
  <c r="AZ138" i="11"/>
  <c r="BA138" i="11"/>
  <c r="BC138" i="11"/>
  <c r="BD138" i="11"/>
  <c r="BF138" i="11"/>
  <c r="BG138" i="11"/>
  <c r="BI138" i="11"/>
  <c r="BJ138" i="11"/>
  <c r="BL138" i="11"/>
  <c r="BM138" i="11"/>
  <c r="BO138" i="11"/>
  <c r="BP138" i="11"/>
  <c r="BR138" i="11"/>
  <c r="BS138" i="11"/>
  <c r="BU138" i="11"/>
  <c r="BV138" i="11"/>
  <c r="BX138" i="11"/>
  <c r="BY138" i="11"/>
  <c r="CA138" i="11"/>
  <c r="CB138" i="11"/>
  <c r="CD138" i="11"/>
  <c r="CE138" i="11"/>
  <c r="CG138" i="11"/>
  <c r="CH138" i="11"/>
  <c r="CJ138" i="11"/>
  <c r="CK138" i="11"/>
  <c r="CM138" i="11"/>
  <c r="CN138" i="11"/>
  <c r="CP138" i="11"/>
  <c r="CQ138" i="11"/>
  <c r="CS138" i="11"/>
  <c r="CT138" i="11"/>
  <c r="CV138" i="11"/>
  <c r="CW138" i="11"/>
  <c r="CY138" i="11"/>
  <c r="CZ138" i="11"/>
  <c r="DB138" i="11"/>
  <c r="DC138" i="11"/>
  <c r="DE138" i="11"/>
  <c r="B139" i="11"/>
  <c r="D139" i="11"/>
  <c r="E139" i="11"/>
  <c r="G139" i="11"/>
  <c r="H139" i="11"/>
  <c r="J139" i="11"/>
  <c r="K139" i="11"/>
  <c r="M139" i="11"/>
  <c r="N139" i="11"/>
  <c r="P139" i="11"/>
  <c r="Q139" i="11"/>
  <c r="S139" i="11"/>
  <c r="T139" i="11"/>
  <c r="V139" i="11"/>
  <c r="W139" i="11"/>
  <c r="Y139" i="11"/>
  <c r="Z139" i="11"/>
  <c r="AB139" i="11"/>
  <c r="AC139" i="11"/>
  <c r="AE139" i="11"/>
  <c r="AF139" i="11"/>
  <c r="AH139" i="11"/>
  <c r="AI139" i="11"/>
  <c r="AK139" i="11"/>
  <c r="AL139" i="11"/>
  <c r="AN139" i="11"/>
  <c r="AO139" i="11"/>
  <c r="AQ139" i="11"/>
  <c r="AR139" i="11"/>
  <c r="AT139" i="11"/>
  <c r="AU139" i="11"/>
  <c r="AW139" i="11"/>
  <c r="AX139" i="11"/>
  <c r="AZ139" i="11"/>
  <c r="BA139" i="11"/>
  <c r="BC139" i="11"/>
  <c r="BD139" i="11"/>
  <c r="BF139" i="11"/>
  <c r="BG139" i="11"/>
  <c r="BI139" i="11"/>
  <c r="BJ139" i="11"/>
  <c r="BL139" i="11"/>
  <c r="BM139" i="11"/>
  <c r="BO139" i="11"/>
  <c r="BP139" i="11"/>
  <c r="BR139" i="11"/>
  <c r="BS139" i="11"/>
  <c r="BU139" i="11"/>
  <c r="BV139" i="11"/>
  <c r="BX139" i="11"/>
  <c r="BY139" i="11"/>
  <c r="CA139" i="11"/>
  <c r="CB139" i="11"/>
  <c r="CD139" i="11"/>
  <c r="CE139" i="11"/>
  <c r="CG139" i="11"/>
  <c r="CH139" i="11"/>
  <c r="CJ139" i="11"/>
  <c r="CK139" i="11"/>
  <c r="CM139" i="11"/>
  <c r="CN139" i="11"/>
  <c r="CP139" i="11"/>
  <c r="CQ139" i="11"/>
  <c r="CS139" i="11"/>
  <c r="CT139" i="11"/>
  <c r="CV139" i="11"/>
  <c r="CW139" i="11"/>
  <c r="CY139" i="11"/>
  <c r="CZ139" i="11"/>
  <c r="DB139" i="11"/>
  <c r="DC139" i="11"/>
  <c r="DE139" i="11"/>
  <c r="B140" i="11"/>
  <c r="C80" i="8"/>
  <c r="C140" i="11"/>
  <c r="D140" i="11"/>
  <c r="E140" i="11"/>
  <c r="D80" i="8"/>
  <c r="F140" i="11"/>
  <c r="G140" i="11"/>
  <c r="H140" i="11"/>
  <c r="E80" i="8"/>
  <c r="I140" i="11"/>
  <c r="J140" i="11"/>
  <c r="K140" i="11"/>
  <c r="F80" i="8"/>
  <c r="L140" i="11"/>
  <c r="M140" i="11"/>
  <c r="N140" i="11"/>
  <c r="G80" i="8"/>
  <c r="O140" i="11"/>
  <c r="P140" i="11"/>
  <c r="Q140" i="11"/>
  <c r="H80" i="8"/>
  <c r="R140" i="11"/>
  <c r="S140" i="11"/>
  <c r="T140" i="11"/>
  <c r="I80" i="8"/>
  <c r="U140" i="11"/>
  <c r="V140" i="11"/>
  <c r="W140" i="11"/>
  <c r="J80" i="8"/>
  <c r="X140" i="11"/>
  <c r="Y140" i="11"/>
  <c r="Z140" i="11"/>
  <c r="K80" i="8"/>
  <c r="AA140" i="11"/>
  <c r="AB140" i="11"/>
  <c r="AC140" i="11"/>
  <c r="L80" i="8"/>
  <c r="AD140" i="11"/>
  <c r="AE140" i="11"/>
  <c r="AF140" i="11"/>
  <c r="M80" i="8"/>
  <c r="AG140" i="11"/>
  <c r="AH140" i="11"/>
  <c r="AI140" i="11"/>
  <c r="N80" i="8"/>
  <c r="AJ140" i="11"/>
  <c r="AK140" i="11"/>
  <c r="AL140" i="11"/>
  <c r="O80" i="8"/>
  <c r="AM140" i="11"/>
  <c r="AN140" i="11"/>
  <c r="AO140" i="11"/>
  <c r="P80" i="8"/>
  <c r="AP140" i="11"/>
  <c r="AQ140" i="11"/>
  <c r="AR140" i="11"/>
  <c r="Q80" i="8"/>
  <c r="AS140" i="11"/>
  <c r="AT140" i="11"/>
  <c r="AU140" i="11"/>
  <c r="R80" i="8"/>
  <c r="AV140" i="11"/>
  <c r="AW140" i="11"/>
  <c r="AX140" i="11"/>
  <c r="S80" i="8"/>
  <c r="AY140" i="11"/>
  <c r="AZ140" i="11"/>
  <c r="BA140" i="11"/>
  <c r="T80" i="8"/>
  <c r="BB140" i="11"/>
  <c r="BC140" i="11"/>
  <c r="BD140" i="11"/>
  <c r="U80" i="8"/>
  <c r="BE140" i="11"/>
  <c r="BF140" i="11"/>
  <c r="BG140" i="11"/>
  <c r="V80" i="8"/>
  <c r="BH140" i="11"/>
  <c r="BI140" i="11"/>
  <c r="BJ140" i="11"/>
  <c r="W80" i="8"/>
  <c r="BK140" i="11"/>
  <c r="BL140" i="11"/>
  <c r="BM140" i="11"/>
  <c r="X80" i="8"/>
  <c r="BN140" i="11"/>
  <c r="BO140" i="11"/>
  <c r="BP140" i="11"/>
  <c r="Y80" i="8"/>
  <c r="BQ140" i="11"/>
  <c r="BR140" i="11"/>
  <c r="BS140" i="11"/>
  <c r="Z80" i="8"/>
  <c r="BT140" i="11"/>
  <c r="BU140" i="11"/>
  <c r="BV140" i="11"/>
  <c r="AA80" i="8"/>
  <c r="BW140" i="11"/>
  <c r="BX140" i="11"/>
  <c r="BY140" i="11"/>
  <c r="AB80" i="8"/>
  <c r="BZ140" i="11"/>
  <c r="CA140" i="11"/>
  <c r="CB140" i="11"/>
  <c r="AC80" i="8"/>
  <c r="CC140" i="11"/>
  <c r="CD140" i="11"/>
  <c r="CE140" i="11"/>
  <c r="AD80" i="8"/>
  <c r="CF140" i="11"/>
  <c r="CG140" i="11"/>
  <c r="CH140" i="11"/>
  <c r="AE80" i="8"/>
  <c r="CI140" i="11"/>
  <c r="CJ140" i="11"/>
  <c r="CK140" i="11"/>
  <c r="AF80" i="8"/>
  <c r="CL140" i="11"/>
  <c r="CM140" i="11"/>
  <c r="CN140" i="11"/>
  <c r="AG80" i="8"/>
  <c r="CO140" i="11"/>
  <c r="CP140" i="11"/>
  <c r="CQ140" i="11"/>
  <c r="AH80" i="8"/>
  <c r="CR140" i="11"/>
  <c r="CS140" i="11"/>
  <c r="CT140" i="11"/>
  <c r="AI80" i="8"/>
  <c r="CU140" i="11"/>
  <c r="CV140" i="11"/>
  <c r="CW140" i="11"/>
  <c r="AJ80" i="8"/>
  <c r="CX140" i="11"/>
  <c r="CY140" i="11"/>
  <c r="CZ140" i="11"/>
  <c r="AK80" i="8"/>
  <c r="DA140" i="11"/>
  <c r="DB140" i="11"/>
  <c r="DC140" i="11"/>
  <c r="DD140" i="11"/>
  <c r="DE140" i="11"/>
  <c r="B141" i="11"/>
  <c r="C81" i="8"/>
  <c r="C141" i="11"/>
  <c r="D141" i="11"/>
  <c r="E141" i="11"/>
  <c r="D81" i="8"/>
  <c r="F141" i="11"/>
  <c r="G141" i="11"/>
  <c r="H141" i="11"/>
  <c r="E81" i="8"/>
  <c r="I141" i="11"/>
  <c r="J141" i="11"/>
  <c r="K141" i="11"/>
  <c r="F81" i="8"/>
  <c r="L141" i="11"/>
  <c r="M141" i="11"/>
  <c r="N141" i="11"/>
  <c r="G81" i="8"/>
  <c r="O141" i="11"/>
  <c r="P141" i="11"/>
  <c r="Q141" i="11"/>
  <c r="H81" i="8"/>
  <c r="R141" i="11"/>
  <c r="S141" i="11"/>
  <c r="T141" i="11"/>
  <c r="I81" i="8"/>
  <c r="U141" i="11"/>
  <c r="V141" i="11"/>
  <c r="W141" i="11"/>
  <c r="J81" i="8"/>
  <c r="X141" i="11"/>
  <c r="Y141" i="11"/>
  <c r="Z141" i="11"/>
  <c r="K81" i="8"/>
  <c r="AA141" i="11"/>
  <c r="AB141" i="11"/>
  <c r="AC141" i="11"/>
  <c r="L81" i="8"/>
  <c r="AD141" i="11"/>
  <c r="AE141" i="11"/>
  <c r="AF141" i="11"/>
  <c r="M81" i="8"/>
  <c r="AG141" i="11"/>
  <c r="AH141" i="11"/>
  <c r="AI141" i="11"/>
  <c r="N81" i="8"/>
  <c r="AJ141" i="11"/>
  <c r="AK141" i="11"/>
  <c r="AL141" i="11"/>
  <c r="O81" i="8"/>
  <c r="AM141" i="11"/>
  <c r="AN141" i="11"/>
  <c r="AO141" i="11"/>
  <c r="P81" i="8"/>
  <c r="AP141" i="11"/>
  <c r="AQ141" i="11"/>
  <c r="AR141" i="11"/>
  <c r="Q81" i="8"/>
  <c r="AS141" i="11"/>
  <c r="AT141" i="11"/>
  <c r="AU141" i="11"/>
  <c r="R81" i="8"/>
  <c r="AV141" i="11"/>
  <c r="AW141" i="11"/>
  <c r="AX141" i="11"/>
  <c r="S81" i="8"/>
  <c r="AY141" i="11"/>
  <c r="AZ141" i="11"/>
  <c r="BA141" i="11"/>
  <c r="T81" i="8"/>
  <c r="BB141" i="11"/>
  <c r="BC141" i="11"/>
  <c r="BD141" i="11"/>
  <c r="U81" i="8"/>
  <c r="BE141" i="11"/>
  <c r="BF141" i="11"/>
  <c r="BG141" i="11"/>
  <c r="V81" i="8"/>
  <c r="BH141" i="11"/>
  <c r="BI141" i="11"/>
  <c r="BJ141" i="11"/>
  <c r="W81" i="8"/>
  <c r="BK141" i="11"/>
  <c r="BL141" i="11"/>
  <c r="BM141" i="11"/>
  <c r="X81" i="8"/>
  <c r="BN141" i="11"/>
  <c r="BO141" i="11"/>
  <c r="BP141" i="11"/>
  <c r="Y81" i="8"/>
  <c r="BQ141" i="11"/>
  <c r="BR141" i="11"/>
  <c r="BS141" i="11"/>
  <c r="Z81" i="8"/>
  <c r="BT141" i="11"/>
  <c r="BU141" i="11"/>
  <c r="BV141" i="11"/>
  <c r="AA81" i="8"/>
  <c r="BW141" i="11"/>
  <c r="BX141" i="11"/>
  <c r="BY141" i="11"/>
  <c r="AB81" i="8"/>
  <c r="BZ141" i="11"/>
  <c r="CA141" i="11"/>
  <c r="CB141" i="11"/>
  <c r="AC81" i="8"/>
  <c r="CC141" i="11"/>
  <c r="CD141" i="11"/>
  <c r="CE141" i="11"/>
  <c r="AD81" i="8"/>
  <c r="CF141" i="11"/>
  <c r="CG141" i="11"/>
  <c r="CH141" i="11"/>
  <c r="AE81" i="8"/>
  <c r="CI141" i="11"/>
  <c r="CJ141" i="11"/>
  <c r="CK141" i="11"/>
  <c r="AF81" i="8"/>
  <c r="CL141" i="11"/>
  <c r="CM141" i="11"/>
  <c r="CN141" i="11"/>
  <c r="AG81" i="8"/>
  <c r="CO141" i="11"/>
  <c r="CP141" i="11"/>
  <c r="CQ141" i="11"/>
  <c r="AH81" i="8"/>
  <c r="CR141" i="11"/>
  <c r="CS141" i="11"/>
  <c r="CT141" i="11"/>
  <c r="AI81" i="8"/>
  <c r="CU141" i="11"/>
  <c r="CV141" i="11"/>
  <c r="CW141" i="11"/>
  <c r="AJ81" i="8"/>
  <c r="CX141" i="11"/>
  <c r="CY141" i="11"/>
  <c r="CZ141" i="11"/>
  <c r="AK81" i="8"/>
  <c r="DA141" i="11"/>
  <c r="DB141" i="11"/>
  <c r="DC141" i="11"/>
  <c r="DD141" i="11"/>
  <c r="DE141" i="11"/>
  <c r="B142" i="11"/>
  <c r="C82" i="8"/>
  <c r="C142" i="11"/>
  <c r="D142" i="11"/>
  <c r="E142" i="11"/>
  <c r="D82" i="8"/>
  <c r="F142" i="11"/>
  <c r="G142" i="11"/>
  <c r="H142" i="11"/>
  <c r="E82" i="8"/>
  <c r="I142" i="11"/>
  <c r="J142" i="11"/>
  <c r="K142" i="11"/>
  <c r="F82" i="8"/>
  <c r="L142" i="11"/>
  <c r="M142" i="11"/>
  <c r="N142" i="11"/>
  <c r="G82" i="8"/>
  <c r="O142" i="11"/>
  <c r="P142" i="11"/>
  <c r="Q142" i="11"/>
  <c r="H82" i="8"/>
  <c r="R142" i="11"/>
  <c r="S142" i="11"/>
  <c r="T142" i="11"/>
  <c r="I82" i="8"/>
  <c r="U142" i="11"/>
  <c r="V142" i="11"/>
  <c r="W142" i="11"/>
  <c r="J82" i="8"/>
  <c r="X142" i="11"/>
  <c r="Y142" i="11"/>
  <c r="Z142" i="11"/>
  <c r="K82" i="8"/>
  <c r="AA142" i="11"/>
  <c r="AB142" i="11"/>
  <c r="AC142" i="11"/>
  <c r="L82" i="8"/>
  <c r="AD142" i="11"/>
  <c r="AE142" i="11"/>
  <c r="AF142" i="11"/>
  <c r="M82" i="8"/>
  <c r="AG142" i="11"/>
  <c r="AH142" i="11"/>
  <c r="AI142" i="11"/>
  <c r="N82" i="8"/>
  <c r="AJ142" i="11"/>
  <c r="AK142" i="11"/>
  <c r="AL142" i="11"/>
  <c r="O82" i="8"/>
  <c r="AM142" i="11"/>
  <c r="AN142" i="11"/>
  <c r="AO142" i="11"/>
  <c r="P82" i="8"/>
  <c r="AP142" i="11"/>
  <c r="AQ142" i="11"/>
  <c r="AR142" i="11"/>
  <c r="Q82" i="8"/>
  <c r="AS142" i="11"/>
  <c r="AT142" i="11"/>
  <c r="AU142" i="11"/>
  <c r="R82" i="8"/>
  <c r="AV142" i="11"/>
  <c r="AW142" i="11"/>
  <c r="AX142" i="11"/>
  <c r="S82" i="8"/>
  <c r="AY142" i="11"/>
  <c r="AZ142" i="11"/>
  <c r="BA142" i="11"/>
  <c r="T82" i="8"/>
  <c r="BB142" i="11"/>
  <c r="BC142" i="11"/>
  <c r="BD142" i="11"/>
  <c r="U82" i="8"/>
  <c r="BE142" i="11"/>
  <c r="BF142" i="11"/>
  <c r="BG142" i="11"/>
  <c r="V82" i="8"/>
  <c r="BH142" i="11"/>
  <c r="BI142" i="11"/>
  <c r="BJ142" i="11"/>
  <c r="W82" i="8"/>
  <c r="BK142" i="11"/>
  <c r="BL142" i="11"/>
  <c r="BM142" i="11"/>
  <c r="X82" i="8"/>
  <c r="BN142" i="11"/>
  <c r="BO142" i="11"/>
  <c r="BP142" i="11"/>
  <c r="Y82" i="8"/>
  <c r="BQ142" i="11"/>
  <c r="BR142" i="11"/>
  <c r="BS142" i="11"/>
  <c r="Z82" i="8"/>
  <c r="BT142" i="11"/>
  <c r="BU142" i="11"/>
  <c r="BV142" i="11"/>
  <c r="AA82" i="8"/>
  <c r="BW142" i="11"/>
  <c r="BX142" i="11"/>
  <c r="BY142" i="11"/>
  <c r="AB82" i="8"/>
  <c r="BZ142" i="11"/>
  <c r="CA142" i="11"/>
  <c r="CB142" i="11"/>
  <c r="AC82" i="8"/>
  <c r="CC142" i="11"/>
  <c r="CD142" i="11"/>
  <c r="CE142" i="11"/>
  <c r="AD82" i="8"/>
  <c r="CF142" i="11"/>
  <c r="CG142" i="11"/>
  <c r="CH142" i="11"/>
  <c r="AE82" i="8"/>
  <c r="CI142" i="11"/>
  <c r="CJ142" i="11"/>
  <c r="CK142" i="11"/>
  <c r="AF82" i="8"/>
  <c r="CL142" i="11"/>
  <c r="CM142" i="11"/>
  <c r="CN142" i="11"/>
  <c r="AG82" i="8"/>
  <c r="CO142" i="11"/>
  <c r="CP142" i="11"/>
  <c r="CQ142" i="11"/>
  <c r="AH82" i="8"/>
  <c r="CR142" i="11"/>
  <c r="CS142" i="11"/>
  <c r="CT142" i="11"/>
  <c r="AI82" i="8"/>
  <c r="CU142" i="11"/>
  <c r="CV142" i="11"/>
  <c r="CW142" i="11"/>
  <c r="AJ82" i="8"/>
  <c r="CX142" i="11"/>
  <c r="CY142" i="11"/>
  <c r="CZ142" i="11"/>
  <c r="AK82" i="8"/>
  <c r="DA142" i="11"/>
  <c r="DB142" i="11"/>
  <c r="DC142" i="11"/>
  <c r="DD142" i="11"/>
  <c r="DE142" i="11"/>
  <c r="B143" i="11"/>
  <c r="D143" i="11"/>
  <c r="E143" i="11"/>
  <c r="G143" i="11"/>
  <c r="H143" i="11"/>
  <c r="J143" i="11"/>
  <c r="K143" i="11"/>
  <c r="M143" i="11"/>
  <c r="N143" i="11"/>
  <c r="P143" i="11"/>
  <c r="Q143" i="11"/>
  <c r="S143" i="11"/>
  <c r="T143" i="11"/>
  <c r="V143" i="11"/>
  <c r="W143" i="11"/>
  <c r="Y143" i="11"/>
  <c r="Z143" i="11"/>
  <c r="AB143" i="11"/>
  <c r="AC143" i="11"/>
  <c r="AE143" i="11"/>
  <c r="AF143" i="11"/>
  <c r="AH143" i="11"/>
  <c r="AI143" i="11"/>
  <c r="AK143" i="11"/>
  <c r="AL143" i="11"/>
  <c r="AN143" i="11"/>
  <c r="AO143" i="11"/>
  <c r="AQ143" i="11"/>
  <c r="AR143" i="11"/>
  <c r="AT143" i="11"/>
  <c r="AU143" i="11"/>
  <c r="AW143" i="11"/>
  <c r="AX143" i="11"/>
  <c r="AZ143" i="11"/>
  <c r="BA143" i="11"/>
  <c r="BC143" i="11"/>
  <c r="BD143" i="11"/>
  <c r="BF143" i="11"/>
  <c r="BG143" i="11"/>
  <c r="BI143" i="11"/>
  <c r="BJ143" i="11"/>
  <c r="BL143" i="11"/>
  <c r="BM143" i="11"/>
  <c r="BO143" i="11"/>
  <c r="BP143" i="11"/>
  <c r="BR143" i="11"/>
  <c r="BS143" i="11"/>
  <c r="BU143" i="11"/>
  <c r="BV143" i="11"/>
  <c r="BX143" i="11"/>
  <c r="BY143" i="11"/>
  <c r="CA143" i="11"/>
  <c r="CB143" i="11"/>
  <c r="CD143" i="11"/>
  <c r="CE143" i="11"/>
  <c r="CG143" i="11"/>
  <c r="CH143" i="11"/>
  <c r="CJ143" i="11"/>
  <c r="CK143" i="11"/>
  <c r="CM143" i="11"/>
  <c r="CN143" i="11"/>
  <c r="CP143" i="11"/>
  <c r="CQ143" i="11"/>
  <c r="CS143" i="11"/>
  <c r="CT143" i="11"/>
  <c r="CV143" i="11"/>
  <c r="CW143" i="11"/>
  <c r="CY143" i="11"/>
  <c r="CZ143" i="11"/>
  <c r="DB143" i="11"/>
  <c r="DC143" i="11"/>
  <c r="DE143" i="11"/>
  <c r="B144" i="11"/>
  <c r="C83" i="8"/>
  <c r="C144" i="11"/>
  <c r="D144" i="11"/>
  <c r="E144" i="11"/>
  <c r="D83" i="8"/>
  <c r="F144" i="11"/>
  <c r="G144" i="11"/>
  <c r="H144" i="11"/>
  <c r="E83" i="8"/>
  <c r="I144" i="11"/>
  <c r="J144" i="11"/>
  <c r="K144" i="11"/>
  <c r="F83" i="8"/>
  <c r="L144" i="11"/>
  <c r="M144" i="11"/>
  <c r="N144" i="11"/>
  <c r="G83" i="8"/>
  <c r="O144" i="11"/>
  <c r="P144" i="11"/>
  <c r="Q144" i="11"/>
  <c r="H83" i="8"/>
  <c r="R144" i="11"/>
  <c r="S144" i="11"/>
  <c r="T144" i="11"/>
  <c r="I83" i="8"/>
  <c r="U144" i="11"/>
  <c r="V144" i="11"/>
  <c r="W144" i="11"/>
  <c r="J83" i="8"/>
  <c r="X144" i="11"/>
  <c r="Y144" i="11"/>
  <c r="Z144" i="11"/>
  <c r="K83" i="8"/>
  <c r="AA144" i="11"/>
  <c r="AB144" i="11"/>
  <c r="AC144" i="11"/>
  <c r="L83" i="8"/>
  <c r="AD144" i="11"/>
  <c r="AE144" i="11"/>
  <c r="AF144" i="11"/>
  <c r="M83" i="8"/>
  <c r="AG144" i="11"/>
  <c r="AH144" i="11"/>
  <c r="AI144" i="11"/>
  <c r="N83" i="8"/>
  <c r="AJ144" i="11"/>
  <c r="AK144" i="11"/>
  <c r="AL144" i="11"/>
  <c r="O83" i="8"/>
  <c r="AM144" i="11"/>
  <c r="AN144" i="11"/>
  <c r="AO144" i="11"/>
  <c r="P83" i="8"/>
  <c r="AP144" i="11"/>
  <c r="AQ144" i="11"/>
  <c r="AR144" i="11"/>
  <c r="Q83" i="8"/>
  <c r="AS144" i="11"/>
  <c r="AT144" i="11"/>
  <c r="AU144" i="11"/>
  <c r="R83" i="8"/>
  <c r="AV144" i="11"/>
  <c r="AW144" i="11"/>
  <c r="AX144" i="11"/>
  <c r="S83" i="8"/>
  <c r="AY144" i="11"/>
  <c r="AZ144" i="11"/>
  <c r="BA144" i="11"/>
  <c r="T83" i="8"/>
  <c r="BB144" i="11"/>
  <c r="BC144" i="11"/>
  <c r="BD144" i="11"/>
  <c r="U83" i="8"/>
  <c r="BE144" i="11"/>
  <c r="BF144" i="11"/>
  <c r="BG144" i="11"/>
  <c r="V83" i="8"/>
  <c r="BH144" i="11"/>
  <c r="BI144" i="11"/>
  <c r="BJ144" i="11"/>
  <c r="W83" i="8"/>
  <c r="BK144" i="11"/>
  <c r="BL144" i="11"/>
  <c r="BM144" i="11"/>
  <c r="X83" i="8"/>
  <c r="BN144" i="11"/>
  <c r="BO144" i="11"/>
  <c r="BP144" i="11"/>
  <c r="Y83" i="8"/>
  <c r="BQ144" i="11"/>
  <c r="BR144" i="11"/>
  <c r="BS144" i="11"/>
  <c r="Z83" i="8"/>
  <c r="BT144" i="11"/>
  <c r="BU144" i="11"/>
  <c r="BV144" i="11"/>
  <c r="AA83" i="8"/>
  <c r="BW144" i="11"/>
  <c r="BX144" i="11"/>
  <c r="BY144" i="11"/>
  <c r="AB83" i="8"/>
  <c r="BZ144" i="11"/>
  <c r="CA144" i="11"/>
  <c r="CB144" i="11"/>
  <c r="AC83" i="8"/>
  <c r="CC144" i="11"/>
  <c r="CD144" i="11"/>
  <c r="CE144" i="11"/>
  <c r="AD83" i="8"/>
  <c r="CF144" i="11"/>
  <c r="CG144" i="11"/>
  <c r="CH144" i="11"/>
  <c r="AE83" i="8"/>
  <c r="CI144" i="11"/>
  <c r="CJ144" i="11"/>
  <c r="CK144" i="11"/>
  <c r="AF83" i="8"/>
  <c r="CL144" i="11"/>
  <c r="CM144" i="11"/>
  <c r="CN144" i="11"/>
  <c r="AG83" i="8"/>
  <c r="CO144" i="11"/>
  <c r="CP144" i="11"/>
  <c r="CQ144" i="11"/>
  <c r="AH83" i="8"/>
  <c r="CR144" i="11"/>
  <c r="CS144" i="11"/>
  <c r="CT144" i="11"/>
  <c r="AI83" i="8"/>
  <c r="CU144" i="11"/>
  <c r="CV144" i="11"/>
  <c r="CW144" i="11"/>
  <c r="AJ83" i="8"/>
  <c r="CX144" i="11"/>
  <c r="CY144" i="11"/>
  <c r="CZ144" i="11"/>
  <c r="AK83" i="8"/>
  <c r="DA144" i="11"/>
  <c r="DB144" i="11"/>
  <c r="DC144" i="11"/>
  <c r="DD144" i="11"/>
  <c r="DE144" i="11"/>
  <c r="C145" i="11"/>
  <c r="F145" i="11"/>
  <c r="I145" i="11"/>
  <c r="L145" i="11"/>
  <c r="O145" i="11"/>
  <c r="R145" i="11"/>
  <c r="U145" i="11"/>
  <c r="X145" i="11"/>
  <c r="AA145" i="11"/>
  <c r="AD145" i="11"/>
  <c r="AG145" i="11"/>
  <c r="AJ145" i="11"/>
  <c r="AM145" i="11"/>
  <c r="AP145" i="11"/>
  <c r="AS145" i="11"/>
  <c r="AV145" i="11"/>
  <c r="AY145" i="11"/>
  <c r="BB145" i="11"/>
  <c r="BE145" i="11"/>
  <c r="BH145" i="11"/>
  <c r="BK145" i="11"/>
  <c r="BN145" i="11"/>
  <c r="BQ145" i="11"/>
  <c r="BT145" i="11"/>
  <c r="BW145" i="11"/>
  <c r="BZ145" i="11"/>
  <c r="CC145" i="11"/>
  <c r="CF145" i="11"/>
  <c r="CI145" i="11"/>
  <c r="CL145" i="11"/>
  <c r="CO145" i="11"/>
  <c r="CR145" i="11"/>
  <c r="CU145" i="11"/>
  <c r="CX145" i="11"/>
  <c r="DA145" i="11"/>
  <c r="DD145" i="11"/>
  <c r="B146" i="11"/>
  <c r="C85" i="8"/>
  <c r="C146" i="11"/>
  <c r="D146" i="11"/>
  <c r="E146" i="11"/>
  <c r="D85" i="8"/>
  <c r="F146" i="11"/>
  <c r="G146" i="11"/>
  <c r="H146" i="11"/>
  <c r="E85" i="8"/>
  <c r="I146" i="11"/>
  <c r="J146" i="11"/>
  <c r="K146" i="11"/>
  <c r="F85" i="8"/>
  <c r="L146" i="11"/>
  <c r="M146" i="11"/>
  <c r="N146" i="11"/>
  <c r="G85" i="8"/>
  <c r="O146" i="11"/>
  <c r="P146" i="11"/>
  <c r="Q146" i="11"/>
  <c r="H85" i="8"/>
  <c r="R146" i="11"/>
  <c r="S146" i="11"/>
  <c r="T146" i="11"/>
  <c r="I85" i="8"/>
  <c r="U146" i="11"/>
  <c r="V146" i="11"/>
  <c r="W146" i="11"/>
  <c r="J85" i="8"/>
  <c r="X146" i="11"/>
  <c r="Y146" i="11"/>
  <c r="Z146" i="11"/>
  <c r="K85" i="8"/>
  <c r="AA146" i="11"/>
  <c r="AB146" i="11"/>
  <c r="AC146" i="11"/>
  <c r="L85" i="8"/>
  <c r="AD146" i="11"/>
  <c r="AE146" i="11"/>
  <c r="AF146" i="11"/>
  <c r="M85" i="8"/>
  <c r="AG146" i="11"/>
  <c r="AH146" i="11"/>
  <c r="AI146" i="11"/>
  <c r="N85" i="8"/>
  <c r="AJ146" i="11"/>
  <c r="AK146" i="11"/>
  <c r="AL146" i="11"/>
  <c r="O85" i="8"/>
  <c r="AM146" i="11"/>
  <c r="AN146" i="11"/>
  <c r="AO146" i="11"/>
  <c r="P85" i="8"/>
  <c r="AP146" i="11"/>
  <c r="AQ146" i="11"/>
  <c r="AR146" i="11"/>
  <c r="Q85" i="8"/>
  <c r="AS146" i="11"/>
  <c r="AT146" i="11"/>
  <c r="AU146" i="11"/>
  <c r="R85" i="8"/>
  <c r="AV146" i="11"/>
  <c r="AW146" i="11"/>
  <c r="AX146" i="11"/>
  <c r="S85" i="8"/>
  <c r="AY146" i="11"/>
  <c r="AZ146" i="11"/>
  <c r="BA146" i="11"/>
  <c r="T85" i="8"/>
  <c r="BB146" i="11"/>
  <c r="BC146" i="11"/>
  <c r="BD146" i="11"/>
  <c r="U85" i="8"/>
  <c r="BE146" i="11"/>
  <c r="BF146" i="11"/>
  <c r="BG146" i="11"/>
  <c r="V85" i="8"/>
  <c r="BH146" i="11"/>
  <c r="BI146" i="11"/>
  <c r="BJ146" i="11"/>
  <c r="W85" i="8"/>
  <c r="BK146" i="11"/>
  <c r="BL146" i="11"/>
  <c r="BM146" i="11"/>
  <c r="X85" i="8"/>
  <c r="BN146" i="11"/>
  <c r="BO146" i="11"/>
  <c r="BP146" i="11"/>
  <c r="Y85" i="8"/>
  <c r="BQ146" i="11"/>
  <c r="BR146" i="11"/>
  <c r="BS146" i="11"/>
  <c r="Z85" i="8"/>
  <c r="BT146" i="11"/>
  <c r="BU146" i="11"/>
  <c r="BV146" i="11"/>
  <c r="AA85" i="8"/>
  <c r="BW146" i="11"/>
  <c r="BX146" i="11"/>
  <c r="BY146" i="11"/>
  <c r="AB85" i="8"/>
  <c r="BZ146" i="11"/>
  <c r="CA146" i="11"/>
  <c r="CB146" i="11"/>
  <c r="AC85" i="8"/>
  <c r="CC146" i="11"/>
  <c r="CD146" i="11"/>
  <c r="CE146" i="11"/>
  <c r="AD85" i="8"/>
  <c r="CF146" i="11"/>
  <c r="CG146" i="11"/>
  <c r="CH146" i="11"/>
  <c r="AE85" i="8"/>
  <c r="CI146" i="11"/>
  <c r="CJ146" i="11"/>
  <c r="CK146" i="11"/>
  <c r="AF85" i="8"/>
  <c r="CL146" i="11"/>
  <c r="CM146" i="11"/>
  <c r="CN146" i="11"/>
  <c r="AG85" i="8"/>
  <c r="CO146" i="11"/>
  <c r="CP146" i="11"/>
  <c r="CQ146" i="11"/>
  <c r="AH85" i="8"/>
  <c r="CR146" i="11"/>
  <c r="CS146" i="11"/>
  <c r="CT146" i="11"/>
  <c r="AI85" i="8"/>
  <c r="CU146" i="11"/>
  <c r="CV146" i="11"/>
  <c r="CW146" i="11"/>
  <c r="AJ85" i="8"/>
  <c r="CX146" i="11"/>
  <c r="CY146" i="11"/>
  <c r="CZ146" i="11"/>
  <c r="AK85" i="8"/>
  <c r="DA146" i="11"/>
  <c r="DB146" i="11"/>
  <c r="DC146" i="11"/>
  <c r="DD146" i="11"/>
  <c r="DE146" i="11"/>
  <c r="B147" i="11"/>
  <c r="D147" i="11"/>
  <c r="E147" i="11"/>
  <c r="G147" i="11"/>
  <c r="H147" i="11"/>
  <c r="J147" i="11"/>
  <c r="K147" i="11"/>
  <c r="M147" i="11"/>
  <c r="N147" i="11"/>
  <c r="P147" i="11"/>
  <c r="Q147" i="11"/>
  <c r="S147" i="11"/>
  <c r="T147" i="11"/>
  <c r="V147" i="11"/>
  <c r="W147" i="11"/>
  <c r="Y147" i="11"/>
  <c r="Z147" i="11"/>
  <c r="AB147" i="11"/>
  <c r="AC147" i="11"/>
  <c r="AE147" i="11"/>
  <c r="AF147" i="11"/>
  <c r="AH147" i="11"/>
  <c r="AI147" i="11"/>
  <c r="AK147" i="11"/>
  <c r="AL147" i="11"/>
  <c r="AN147" i="11"/>
  <c r="AO147" i="11"/>
  <c r="AQ147" i="11"/>
  <c r="AR147" i="11"/>
  <c r="AT147" i="11"/>
  <c r="AU147" i="11"/>
  <c r="AW147" i="11"/>
  <c r="AX147" i="11"/>
  <c r="AZ147" i="11"/>
  <c r="BA147" i="11"/>
  <c r="BC147" i="11"/>
  <c r="BD147" i="11"/>
  <c r="BF147" i="11"/>
  <c r="BG147" i="11"/>
  <c r="BI147" i="11"/>
  <c r="BJ147" i="11"/>
  <c r="BL147" i="11"/>
  <c r="BM147" i="11"/>
  <c r="BO147" i="11"/>
  <c r="BP147" i="11"/>
  <c r="BR147" i="11"/>
  <c r="BS147" i="11"/>
  <c r="BU147" i="11"/>
  <c r="BV147" i="11"/>
  <c r="BX147" i="11"/>
  <c r="BY147" i="11"/>
  <c r="CA147" i="11"/>
  <c r="CB147" i="11"/>
  <c r="CD147" i="11"/>
  <c r="CE147" i="11"/>
  <c r="CG147" i="11"/>
  <c r="CH147" i="11"/>
  <c r="CJ147" i="11"/>
  <c r="CK147" i="11"/>
  <c r="CM147" i="11"/>
  <c r="CN147" i="11"/>
  <c r="CP147" i="11"/>
  <c r="CQ147" i="11"/>
  <c r="CS147" i="11"/>
  <c r="CT147" i="11"/>
  <c r="CV147" i="11"/>
  <c r="CW147" i="11"/>
  <c r="CY147" i="11"/>
  <c r="CZ147" i="11"/>
  <c r="DB147" i="11"/>
  <c r="DC147" i="11"/>
  <c r="DE147" i="11"/>
  <c r="BL149" i="11"/>
  <c r="DE149" i="11"/>
  <c r="B151" i="11"/>
  <c r="C87" i="8"/>
  <c r="C151" i="11"/>
  <c r="D151" i="11"/>
  <c r="E151" i="11"/>
  <c r="D87" i="8"/>
  <c r="F151" i="11"/>
  <c r="G151" i="11"/>
  <c r="H151" i="11"/>
  <c r="E87" i="8"/>
  <c r="I151" i="11"/>
  <c r="J151" i="11"/>
  <c r="K151" i="11"/>
  <c r="F87" i="8"/>
  <c r="L151" i="11"/>
  <c r="M151" i="11"/>
  <c r="N151" i="11"/>
  <c r="G87" i="8"/>
  <c r="O151" i="11"/>
  <c r="P151" i="11"/>
  <c r="Q151" i="11"/>
  <c r="H87" i="8"/>
  <c r="R151" i="11"/>
  <c r="S151" i="11"/>
  <c r="T151" i="11"/>
  <c r="I87" i="8"/>
  <c r="U151" i="11"/>
  <c r="V151" i="11"/>
  <c r="W151" i="11"/>
  <c r="J87" i="8"/>
  <c r="X151" i="11"/>
  <c r="Y151" i="11"/>
  <c r="Z151" i="11"/>
  <c r="K87" i="8"/>
  <c r="AA151" i="11"/>
  <c r="AB151" i="11"/>
  <c r="AC151" i="11"/>
  <c r="L87" i="8"/>
  <c r="AD151" i="11"/>
  <c r="AE151" i="11"/>
  <c r="AF151" i="11"/>
  <c r="M87" i="8"/>
  <c r="AG151" i="11"/>
  <c r="AH151" i="11"/>
  <c r="AI151" i="11"/>
  <c r="N87" i="8"/>
  <c r="AJ151" i="11"/>
  <c r="AK151" i="11"/>
  <c r="AL151" i="11"/>
  <c r="O87" i="8"/>
  <c r="AM151" i="11"/>
  <c r="AN151" i="11"/>
  <c r="AO151" i="11"/>
  <c r="P87" i="8"/>
  <c r="AP151" i="11"/>
  <c r="AQ151" i="11"/>
  <c r="AR151" i="11"/>
  <c r="Q87" i="8"/>
  <c r="AS151" i="11"/>
  <c r="AT151" i="11"/>
  <c r="AU151" i="11"/>
  <c r="R87" i="8"/>
  <c r="AV151" i="11"/>
  <c r="AW151" i="11"/>
  <c r="AX151" i="11"/>
  <c r="S87" i="8"/>
  <c r="AY151" i="11"/>
  <c r="AZ151" i="11"/>
  <c r="BA151" i="11"/>
  <c r="T87" i="8"/>
  <c r="BB151" i="11"/>
  <c r="BC151" i="11"/>
  <c r="BD151" i="11"/>
  <c r="U87" i="8"/>
  <c r="BE151" i="11"/>
  <c r="BF151" i="11"/>
  <c r="BG151" i="11"/>
  <c r="V87" i="8"/>
  <c r="BH151" i="11"/>
  <c r="BI151" i="11"/>
  <c r="BJ151" i="11"/>
  <c r="W87" i="8"/>
  <c r="BK151" i="11"/>
  <c r="BL151" i="11"/>
  <c r="BM151" i="11"/>
  <c r="X87" i="8"/>
  <c r="BN151" i="11"/>
  <c r="BO151" i="11"/>
  <c r="BP151" i="11"/>
  <c r="Y87" i="8"/>
  <c r="BQ151" i="11"/>
  <c r="BR151" i="11"/>
  <c r="BS151" i="11"/>
  <c r="Z87" i="8"/>
  <c r="BT151" i="11"/>
  <c r="BU151" i="11"/>
  <c r="BV151" i="11"/>
  <c r="AA87" i="8"/>
  <c r="BW151" i="11"/>
  <c r="BX151" i="11"/>
  <c r="BY151" i="11"/>
  <c r="AB87" i="8"/>
  <c r="BZ151" i="11"/>
  <c r="CA151" i="11"/>
  <c r="CB151" i="11"/>
  <c r="AC87" i="8"/>
  <c r="CC151" i="11"/>
  <c r="CD151" i="11"/>
  <c r="CE151" i="11"/>
  <c r="AD87" i="8"/>
  <c r="CF151" i="11"/>
  <c r="CG151" i="11"/>
  <c r="CH151" i="11"/>
  <c r="AE87" i="8"/>
  <c r="CI151" i="11"/>
  <c r="CJ151" i="11"/>
  <c r="CK151" i="11"/>
  <c r="AF87" i="8"/>
  <c r="CL151" i="11"/>
  <c r="CM151" i="11"/>
  <c r="CN151" i="11"/>
  <c r="AG87" i="8"/>
  <c r="CO151" i="11"/>
  <c r="CP151" i="11"/>
  <c r="CQ151" i="11"/>
  <c r="AH87" i="8"/>
  <c r="CR151" i="11"/>
  <c r="CS151" i="11"/>
  <c r="CT151" i="11"/>
  <c r="AI87" i="8"/>
  <c r="CU151" i="11"/>
  <c r="CV151" i="11"/>
  <c r="CW151" i="11"/>
  <c r="AJ87" i="8"/>
  <c r="CX151" i="11"/>
  <c r="CY151" i="11"/>
  <c r="CZ151" i="11"/>
  <c r="AK87" i="8"/>
  <c r="DA151" i="11"/>
  <c r="DB151" i="11"/>
  <c r="DC151" i="11"/>
  <c r="DD151" i="11"/>
  <c r="DE151" i="11"/>
  <c r="B153" i="11"/>
  <c r="E153" i="11"/>
  <c r="G36" i="11"/>
  <c r="H153" i="11"/>
  <c r="J36" i="11"/>
  <c r="K153" i="11"/>
  <c r="N153" i="11"/>
  <c r="Q153" i="11"/>
  <c r="S36" i="11"/>
  <c r="T153" i="11"/>
  <c r="V36" i="11"/>
  <c r="W153" i="11"/>
  <c r="Z153" i="11"/>
  <c r="AC153" i="11"/>
  <c r="AE36" i="11"/>
  <c r="AF153" i="11"/>
  <c r="AH36" i="11"/>
  <c r="AI153" i="11"/>
  <c r="AL153" i="11"/>
  <c r="AO153" i="11"/>
  <c r="AQ36" i="11"/>
  <c r="AR153" i="11"/>
  <c r="AT36" i="11"/>
  <c r="AU153" i="11"/>
  <c r="AX153" i="11"/>
  <c r="BA153" i="11"/>
  <c r="BC36" i="11"/>
  <c r="BD153" i="11"/>
  <c r="BF36" i="11"/>
  <c r="BG153" i="11"/>
  <c r="BJ153" i="11"/>
  <c r="BM153" i="11"/>
  <c r="BO36" i="11"/>
  <c r="BP153" i="11"/>
  <c r="BS153" i="11"/>
  <c r="BV153" i="11"/>
  <c r="BY153" i="11"/>
  <c r="CA36" i="11"/>
  <c r="CB153" i="11"/>
  <c r="CE153" i="11"/>
  <c r="CH153" i="11"/>
  <c r="CK153" i="11"/>
  <c r="CM36" i="11"/>
  <c r="CN153" i="11"/>
  <c r="CQ153" i="11"/>
  <c r="CT153" i="11"/>
  <c r="CW153" i="11"/>
  <c r="CY36" i="11"/>
  <c r="CZ153" i="11"/>
  <c r="DC153" i="11"/>
  <c r="B158" i="11"/>
  <c r="E158" i="11"/>
  <c r="H158" i="11"/>
  <c r="K158" i="11"/>
  <c r="N158" i="11"/>
  <c r="Q158" i="11"/>
  <c r="T158" i="11"/>
  <c r="W158" i="11"/>
  <c r="Z158" i="11"/>
  <c r="AC158" i="11"/>
  <c r="AF158" i="11"/>
  <c r="AI158" i="11"/>
  <c r="AL158" i="11"/>
  <c r="AO158" i="11"/>
  <c r="AR158" i="11"/>
  <c r="AU158" i="11"/>
  <c r="AX158" i="11"/>
  <c r="BA158" i="11"/>
  <c r="BD158" i="11"/>
  <c r="BG158" i="11"/>
  <c r="BJ158" i="11"/>
  <c r="BM158" i="11"/>
  <c r="BP158" i="11"/>
  <c r="BS158" i="11"/>
  <c r="BV158" i="11"/>
  <c r="BY158" i="11"/>
  <c r="CB158" i="11"/>
  <c r="CE158" i="11"/>
  <c r="CH158" i="11"/>
  <c r="CK158" i="11"/>
  <c r="CN158" i="11"/>
  <c r="CQ158" i="11"/>
  <c r="CT158" i="11"/>
  <c r="CW158" i="11"/>
  <c r="CZ158" i="11"/>
  <c r="DC158" i="11"/>
  <c r="B159" i="11"/>
  <c r="E159" i="11"/>
  <c r="H159" i="11"/>
  <c r="K159" i="11"/>
  <c r="N159" i="11"/>
  <c r="Q159" i="11"/>
  <c r="T159" i="11"/>
  <c r="W159" i="11"/>
  <c r="Z159" i="11"/>
  <c r="AC159" i="11"/>
  <c r="AF159" i="11"/>
  <c r="AI159" i="11"/>
  <c r="AL159" i="11"/>
  <c r="AO159" i="11"/>
  <c r="AR159" i="11"/>
  <c r="AU159" i="11"/>
  <c r="AX159" i="11"/>
  <c r="BA159" i="11"/>
  <c r="BD159" i="11"/>
  <c r="BG159" i="11"/>
  <c r="BJ159" i="11"/>
  <c r="BM159" i="11"/>
  <c r="BP159" i="11"/>
  <c r="BS159" i="11"/>
  <c r="BV159" i="11"/>
  <c r="BY159" i="11"/>
  <c r="CB159" i="11"/>
  <c r="CE159" i="11"/>
  <c r="CH159" i="11"/>
  <c r="CK159" i="11"/>
  <c r="CN159" i="11"/>
  <c r="CQ159" i="11"/>
  <c r="CT159" i="11"/>
  <c r="CW159" i="11"/>
  <c r="CZ159" i="11"/>
  <c r="DC159" i="11"/>
  <c r="B160" i="11"/>
  <c r="E160" i="11"/>
  <c r="H160" i="11"/>
  <c r="K160" i="11"/>
  <c r="N160" i="11"/>
  <c r="Q160" i="11"/>
  <c r="T160" i="11"/>
  <c r="W160" i="11"/>
  <c r="Z160" i="11"/>
  <c r="AC160" i="11"/>
  <c r="AF160" i="11"/>
  <c r="AI160" i="11"/>
  <c r="AL160" i="11"/>
  <c r="AO160" i="11"/>
  <c r="AR160" i="11"/>
  <c r="AU160" i="11"/>
  <c r="AX160" i="11"/>
  <c r="BA160" i="11"/>
  <c r="BD160" i="11"/>
  <c r="BG160" i="11"/>
  <c r="BJ160" i="11"/>
  <c r="BM160" i="11"/>
  <c r="BP160" i="11"/>
  <c r="BS160" i="11"/>
  <c r="BV160" i="11"/>
  <c r="BY160" i="11"/>
  <c r="CB160" i="11"/>
  <c r="CE160" i="11"/>
  <c r="CH160" i="11"/>
  <c r="CK160" i="11"/>
  <c r="CN160" i="11"/>
  <c r="CQ160" i="11"/>
  <c r="CT160" i="11"/>
  <c r="CW160" i="11"/>
  <c r="CZ160" i="11"/>
  <c r="DC160" i="11"/>
  <c r="B161" i="11"/>
  <c r="E161" i="11"/>
  <c r="H161" i="11"/>
  <c r="K161" i="11"/>
  <c r="N161" i="11"/>
  <c r="Q161" i="11"/>
  <c r="T161" i="11"/>
  <c r="W161" i="11"/>
  <c r="Z161" i="11"/>
  <c r="AC161" i="11"/>
  <c r="AF161" i="11"/>
  <c r="AI161" i="11"/>
  <c r="AL161" i="11"/>
  <c r="AO161" i="11"/>
  <c r="AR161" i="11"/>
  <c r="AU161" i="11"/>
  <c r="AX161" i="11"/>
  <c r="BA161" i="11"/>
  <c r="BD161" i="11"/>
  <c r="BG161" i="11"/>
  <c r="BJ161" i="11"/>
  <c r="BM161" i="11"/>
  <c r="BP161" i="11"/>
  <c r="BS161" i="11"/>
  <c r="BV161" i="11"/>
  <c r="BY161" i="11"/>
  <c r="CB161" i="11"/>
  <c r="CE161" i="11"/>
  <c r="CH161" i="11"/>
  <c r="CK161" i="11"/>
  <c r="CN161" i="11"/>
  <c r="CQ161" i="11"/>
  <c r="CT161" i="11"/>
  <c r="CW161" i="11"/>
  <c r="CZ161" i="11"/>
  <c r="DC161" i="11"/>
  <c r="B162" i="11"/>
  <c r="E162" i="11"/>
  <c r="H162" i="11"/>
  <c r="K162" i="11"/>
  <c r="N162" i="11"/>
  <c r="Q162" i="11"/>
  <c r="T162" i="11"/>
  <c r="W162" i="11"/>
  <c r="Z162" i="11"/>
  <c r="AC162" i="11"/>
  <c r="AF162" i="11"/>
  <c r="AI162" i="11"/>
  <c r="AL162" i="11"/>
  <c r="AO162" i="11"/>
  <c r="AR162" i="11"/>
  <c r="AU162" i="11"/>
  <c r="AX162" i="11"/>
  <c r="BA162" i="11"/>
  <c r="BD162" i="11"/>
  <c r="BG162" i="11"/>
  <c r="BJ162" i="11"/>
  <c r="BM162" i="11"/>
  <c r="BP162" i="11"/>
  <c r="BS162" i="11"/>
  <c r="BV162" i="11"/>
  <c r="BY162" i="11"/>
  <c r="CB162" i="11"/>
  <c r="CE162" i="11"/>
  <c r="CH162" i="11"/>
  <c r="CK162" i="11"/>
  <c r="CN162" i="11"/>
  <c r="CQ162" i="11"/>
  <c r="CT162" i="11"/>
  <c r="CW162" i="11"/>
  <c r="CZ162" i="11"/>
  <c r="DC162" i="11"/>
  <c r="B163" i="11"/>
  <c r="E163" i="11"/>
  <c r="H163" i="11"/>
  <c r="K163" i="11"/>
  <c r="N163" i="11"/>
  <c r="Q163" i="11"/>
  <c r="T163" i="11"/>
  <c r="W163" i="11"/>
  <c r="Z163" i="11"/>
  <c r="AC163" i="11"/>
  <c r="AF163" i="11"/>
  <c r="AI163" i="11"/>
  <c r="AL163" i="11"/>
  <c r="AO163" i="11"/>
  <c r="AR163" i="11"/>
  <c r="AU163" i="11"/>
  <c r="AX163" i="11"/>
  <c r="BA163" i="11"/>
  <c r="BD163" i="11"/>
  <c r="BG163" i="11"/>
  <c r="BJ163" i="11"/>
  <c r="BM163" i="11"/>
  <c r="BP163" i="11"/>
  <c r="BS163" i="11"/>
  <c r="BV163" i="11"/>
  <c r="BY163" i="11"/>
  <c r="CB163" i="11"/>
  <c r="CE163" i="11"/>
  <c r="CH163" i="11"/>
  <c r="CK163" i="11"/>
  <c r="CN163" i="11"/>
  <c r="CQ163" i="11"/>
  <c r="CT163" i="11"/>
  <c r="CW163" i="11"/>
  <c r="CZ163" i="11"/>
  <c r="DC163" i="11"/>
  <c r="B164" i="11"/>
  <c r="E164" i="11"/>
  <c r="H164" i="11"/>
  <c r="K164" i="11"/>
  <c r="N164" i="11"/>
  <c r="Q164" i="11"/>
  <c r="T164" i="11"/>
  <c r="W164" i="11"/>
  <c r="Z164" i="11"/>
  <c r="AC164" i="11"/>
  <c r="AF164" i="11"/>
  <c r="AI164" i="11"/>
  <c r="AL164" i="11"/>
  <c r="AO164" i="11"/>
  <c r="AR164" i="11"/>
  <c r="AU164" i="11"/>
  <c r="AX164" i="11"/>
  <c r="BA164" i="11"/>
  <c r="BD164" i="11"/>
  <c r="BG164" i="11"/>
  <c r="BJ164" i="11"/>
  <c r="BM164" i="11"/>
  <c r="BP164" i="11"/>
  <c r="BS164" i="11"/>
  <c r="BV164" i="11"/>
  <c r="BY164" i="11"/>
  <c r="CB164" i="11"/>
  <c r="CE164" i="11"/>
  <c r="CH164" i="11"/>
  <c r="CK164" i="11"/>
  <c r="CN164" i="11"/>
  <c r="CQ164" i="11"/>
  <c r="CT164" i="11"/>
  <c r="CW164" i="11"/>
  <c r="CZ164" i="11"/>
  <c r="DC164" i="11"/>
  <c r="B165" i="11"/>
  <c r="E165" i="11"/>
  <c r="H165" i="11"/>
  <c r="K165" i="11"/>
  <c r="N165" i="11"/>
  <c r="Q165" i="11"/>
  <c r="T165" i="11"/>
  <c r="W165" i="11"/>
  <c r="Z165" i="11"/>
  <c r="AC165" i="11"/>
  <c r="AF165" i="11"/>
  <c r="AI165" i="11"/>
  <c r="AL165" i="11"/>
  <c r="AO165" i="11"/>
  <c r="AR165" i="11"/>
  <c r="AU165" i="11"/>
  <c r="AX165" i="11"/>
  <c r="BA165" i="11"/>
  <c r="BD165" i="11"/>
  <c r="BG165" i="11"/>
  <c r="BJ165" i="11"/>
  <c r="BM165" i="11"/>
  <c r="BP165" i="11"/>
  <c r="BS165" i="11"/>
  <c r="BV165" i="11"/>
  <c r="BY165" i="11"/>
  <c r="CB165" i="11"/>
  <c r="CE165" i="11"/>
  <c r="CH165" i="11"/>
  <c r="CK165" i="11"/>
  <c r="CN165" i="11"/>
  <c r="CQ165" i="11"/>
  <c r="CT165" i="11"/>
  <c r="CW165" i="11"/>
  <c r="CZ165" i="11"/>
  <c r="DC165" i="11"/>
  <c r="B166" i="11"/>
  <c r="E166" i="11"/>
  <c r="H166" i="11"/>
  <c r="K166" i="11"/>
  <c r="N166" i="11"/>
  <c r="Q166" i="11"/>
  <c r="T166" i="11"/>
  <c r="W166" i="11"/>
  <c r="Z166" i="11"/>
  <c r="AC166" i="11"/>
  <c r="AF166" i="11"/>
  <c r="AI166" i="11"/>
  <c r="AL166" i="11"/>
  <c r="AO166" i="11"/>
  <c r="AR166" i="11"/>
  <c r="AU166" i="11"/>
  <c r="AX166" i="11"/>
  <c r="BA166" i="11"/>
  <c r="BD166" i="11"/>
  <c r="BG166" i="11"/>
  <c r="BJ166" i="11"/>
  <c r="BM166" i="11"/>
  <c r="BP166" i="11"/>
  <c r="BS166" i="11"/>
  <c r="BV166" i="11"/>
  <c r="BY166" i="11"/>
  <c r="CB166" i="11"/>
  <c r="CE166" i="11"/>
  <c r="CH166" i="11"/>
  <c r="CK166" i="11"/>
  <c r="CN166" i="11"/>
  <c r="CQ166" i="11"/>
  <c r="CT166" i="11"/>
  <c r="CW166" i="11"/>
  <c r="CZ166" i="11"/>
  <c r="DC166" i="11"/>
  <c r="B167" i="11"/>
  <c r="E167" i="11"/>
  <c r="H167" i="11"/>
  <c r="K167" i="11"/>
  <c r="N167" i="11"/>
  <c r="Q167" i="11"/>
  <c r="T167" i="11"/>
  <c r="W167" i="11"/>
  <c r="Z167" i="11"/>
  <c r="AC167" i="11"/>
  <c r="AF167" i="11"/>
  <c r="AI167" i="11"/>
  <c r="AL167" i="11"/>
  <c r="AO167" i="11"/>
  <c r="AR167" i="11"/>
  <c r="AU167" i="11"/>
  <c r="AX167" i="11"/>
  <c r="BA167" i="11"/>
  <c r="BD167" i="11"/>
  <c r="BG167" i="11"/>
  <c r="BJ167" i="11"/>
  <c r="BM167" i="11"/>
  <c r="BP167" i="11"/>
  <c r="BS167" i="11"/>
  <c r="BV167" i="11"/>
  <c r="BY167" i="11"/>
  <c r="CB167" i="11"/>
  <c r="CE167" i="11"/>
  <c r="CH167" i="11"/>
  <c r="CK167" i="11"/>
  <c r="CN167" i="11"/>
  <c r="CQ167" i="11"/>
  <c r="CT167" i="11"/>
  <c r="CW167" i="11"/>
  <c r="CZ167" i="11"/>
  <c r="DC167" i="11"/>
  <c r="B168" i="11"/>
  <c r="E168" i="11"/>
  <c r="H168" i="11"/>
  <c r="K168" i="11"/>
  <c r="N168" i="11"/>
  <c r="Q168" i="11"/>
  <c r="T168" i="11"/>
  <c r="W168" i="11"/>
  <c r="Z168" i="11"/>
  <c r="AC168" i="11"/>
  <c r="AF168" i="11"/>
  <c r="AI168" i="11"/>
  <c r="AL168" i="11"/>
  <c r="AO168" i="11"/>
  <c r="AR168" i="11"/>
  <c r="AU168" i="11"/>
  <c r="AX168" i="11"/>
  <c r="BA168" i="11"/>
  <c r="BD168" i="11"/>
  <c r="BG168" i="11"/>
  <c r="BJ168" i="11"/>
  <c r="BM168" i="11"/>
  <c r="BP168" i="11"/>
  <c r="BS168" i="11"/>
  <c r="BV168" i="11"/>
  <c r="BY168" i="11"/>
  <c r="CB168" i="11"/>
  <c r="CE168" i="11"/>
  <c r="CH168" i="11"/>
  <c r="CK168" i="11"/>
  <c r="CN168" i="11"/>
  <c r="CQ168" i="11"/>
  <c r="CT168" i="11"/>
  <c r="CW168" i="11"/>
  <c r="CZ168" i="11"/>
  <c r="DC168" i="11"/>
  <c r="B171" i="11"/>
  <c r="B145" i="11"/>
  <c r="D145" i="11"/>
  <c r="E171" i="11"/>
  <c r="E145" i="11"/>
  <c r="G145" i="11"/>
  <c r="H171" i="11"/>
  <c r="H145" i="11"/>
  <c r="J145" i="11"/>
  <c r="K171" i="11"/>
  <c r="K145" i="11"/>
  <c r="M145" i="11"/>
  <c r="N171" i="11"/>
  <c r="N145" i="11"/>
  <c r="P145" i="11"/>
  <c r="Q171" i="11"/>
  <c r="Q145" i="11"/>
  <c r="S145" i="11"/>
  <c r="T171" i="11"/>
  <c r="T145" i="11"/>
  <c r="V145" i="11"/>
  <c r="W171" i="11"/>
  <c r="W145" i="11"/>
  <c r="Y145" i="11"/>
  <c r="Z171" i="11"/>
  <c r="Z145" i="11"/>
  <c r="AB145" i="11"/>
  <c r="AC171" i="11"/>
  <c r="AC145" i="11"/>
  <c r="AE145" i="11"/>
  <c r="AF171" i="11"/>
  <c r="AF145" i="11"/>
  <c r="AH145" i="11"/>
  <c r="AI171" i="11"/>
  <c r="AI145" i="11"/>
  <c r="AK145" i="11"/>
  <c r="AL171" i="11"/>
  <c r="AL145" i="11"/>
  <c r="AN145" i="11"/>
  <c r="AO171" i="11"/>
  <c r="AO145" i="11"/>
  <c r="AQ145" i="11"/>
  <c r="AR171" i="11"/>
  <c r="AR145" i="11"/>
  <c r="AT145" i="11"/>
  <c r="AU171" i="11"/>
  <c r="AU145" i="11"/>
  <c r="AW145" i="11"/>
  <c r="AX171" i="11"/>
  <c r="AX145" i="11"/>
  <c r="AZ145" i="11"/>
  <c r="BA171" i="11"/>
  <c r="BA145" i="11"/>
  <c r="BC145" i="11"/>
  <c r="BD171" i="11"/>
  <c r="BD145" i="11"/>
  <c r="BF145" i="11"/>
  <c r="BG171" i="11"/>
  <c r="BG145" i="11"/>
  <c r="BI145" i="11"/>
  <c r="BJ171" i="11"/>
  <c r="BJ145" i="11"/>
  <c r="BL145" i="11"/>
  <c r="BM171" i="11"/>
  <c r="BM145" i="11"/>
  <c r="BO145" i="11"/>
  <c r="BP171" i="11"/>
  <c r="BP145" i="11"/>
  <c r="BR145" i="11"/>
  <c r="BS171" i="11"/>
  <c r="BS145" i="11"/>
  <c r="BU145" i="11"/>
  <c r="BV171" i="11"/>
  <c r="BV145" i="11"/>
  <c r="BX145" i="11"/>
  <c r="BY171" i="11"/>
  <c r="BY145" i="11"/>
  <c r="CA145" i="11"/>
  <c r="CB171" i="11"/>
  <c r="CB145" i="11"/>
  <c r="CD145" i="11"/>
  <c r="CE171" i="11"/>
  <c r="CE145" i="11"/>
  <c r="CG145" i="11"/>
  <c r="CH171" i="11"/>
  <c r="CH145" i="11"/>
  <c r="CJ145" i="11"/>
  <c r="CK171" i="11"/>
  <c r="CK145" i="11"/>
  <c r="CM145" i="11"/>
  <c r="CN171" i="11"/>
  <c r="CN145" i="11"/>
  <c r="CP145" i="11"/>
  <c r="CQ171" i="11"/>
  <c r="CQ145" i="11"/>
  <c r="CS145" i="11"/>
  <c r="CT171" i="11"/>
  <c r="CT145" i="11"/>
  <c r="CV145" i="11"/>
  <c r="CW171" i="11"/>
  <c r="CW145" i="11"/>
  <c r="CY145" i="11"/>
  <c r="CZ171" i="11"/>
  <c r="CZ145" i="11"/>
  <c r="DB145" i="11"/>
  <c r="DC171" i="11"/>
  <c r="DC145" i="11"/>
  <c r="DE145" i="11"/>
  <c r="B210" i="11"/>
  <c r="E210" i="11"/>
  <c r="H210" i="11"/>
  <c r="K210" i="11"/>
  <c r="N210" i="11"/>
  <c r="Q210" i="11"/>
  <c r="T210" i="11"/>
  <c r="W210" i="11"/>
  <c r="Z210" i="11"/>
  <c r="AC210" i="11"/>
  <c r="AF210" i="11"/>
  <c r="AI210" i="11"/>
  <c r="AL210" i="11"/>
  <c r="AO210" i="11"/>
  <c r="AR210" i="11"/>
  <c r="AU210" i="11"/>
  <c r="AX210" i="11"/>
  <c r="BA210" i="11"/>
  <c r="BD210" i="11"/>
  <c r="BG210" i="11"/>
  <c r="BJ210" i="11"/>
  <c r="BM210" i="11"/>
  <c r="BP210" i="11"/>
  <c r="BS210" i="11"/>
  <c r="BV210" i="11"/>
  <c r="BY210" i="11"/>
  <c r="CB210" i="11"/>
  <c r="CE210" i="11"/>
  <c r="CH210" i="11"/>
  <c r="CK210" i="11"/>
  <c r="CN210" i="11"/>
  <c r="CQ210" i="11"/>
  <c r="CT210" i="11"/>
  <c r="CW210" i="11"/>
  <c r="CZ210" i="11"/>
  <c r="DC210" i="11"/>
  <c r="B211" i="11"/>
  <c r="E211" i="11"/>
  <c r="H211" i="11"/>
  <c r="K211" i="11"/>
  <c r="N211" i="11"/>
  <c r="Q211" i="11"/>
  <c r="T211" i="11"/>
  <c r="W211" i="11"/>
  <c r="Z211" i="11"/>
  <c r="AC211" i="11"/>
  <c r="AF211" i="11"/>
  <c r="AI211" i="11"/>
  <c r="AL211" i="11"/>
  <c r="AO211" i="11"/>
  <c r="AR211" i="11"/>
  <c r="AU211" i="11"/>
  <c r="AX211" i="11"/>
  <c r="BA211" i="11"/>
  <c r="BD211" i="11"/>
  <c r="BG211" i="11"/>
  <c r="BJ211" i="11"/>
  <c r="BM211" i="11"/>
  <c r="BP211" i="11"/>
  <c r="BS211" i="11"/>
  <c r="BV211" i="11"/>
  <c r="BY211" i="11"/>
  <c r="CB211" i="11"/>
  <c r="CE211" i="11"/>
  <c r="CH211" i="11"/>
  <c r="CK211" i="11"/>
  <c r="CN211" i="11"/>
  <c r="CQ211" i="11"/>
  <c r="CT211" i="11"/>
  <c r="CW211" i="11"/>
  <c r="CZ211" i="11"/>
  <c r="DC211" i="11"/>
  <c r="B212" i="11"/>
  <c r="E212" i="11"/>
  <c r="H212" i="11"/>
  <c r="K212" i="11"/>
  <c r="N212" i="11"/>
  <c r="Q212" i="11"/>
  <c r="T212" i="11"/>
  <c r="W212" i="11"/>
  <c r="Z212" i="11"/>
  <c r="AC212" i="11"/>
  <c r="AF212" i="11"/>
  <c r="AI212" i="11"/>
  <c r="AL212" i="11"/>
  <c r="AO212" i="11"/>
  <c r="AR212" i="11"/>
  <c r="AU212" i="11"/>
  <c r="AX212" i="11"/>
  <c r="BA212" i="11"/>
  <c r="BD212" i="11"/>
  <c r="BG212" i="11"/>
  <c r="BJ212" i="11"/>
  <c r="BM212" i="11"/>
  <c r="BP212" i="11"/>
  <c r="BS212" i="11"/>
  <c r="BV212" i="11"/>
  <c r="BY212" i="11"/>
  <c r="CB212" i="11"/>
  <c r="CE212" i="11"/>
  <c r="CH212" i="11"/>
  <c r="CK212" i="11"/>
  <c r="CN212" i="11"/>
  <c r="CQ212" i="11"/>
  <c r="CT212" i="11"/>
  <c r="CW212" i="11"/>
  <c r="CZ212" i="11"/>
  <c r="DC212" i="11"/>
  <c r="B218" i="11"/>
  <c r="E218" i="11"/>
  <c r="H218" i="11"/>
  <c r="K218" i="11"/>
  <c r="N218" i="11"/>
  <c r="Q218" i="11"/>
  <c r="T218" i="11"/>
  <c r="W218" i="11"/>
  <c r="Z218" i="11"/>
  <c r="AC218" i="11"/>
  <c r="AF218" i="11"/>
  <c r="AI218" i="11"/>
  <c r="AL218" i="11"/>
  <c r="AO218" i="11"/>
  <c r="AR218" i="11"/>
  <c r="AU218" i="11"/>
  <c r="AX218" i="11"/>
  <c r="BA218" i="11"/>
  <c r="BD218" i="11"/>
  <c r="BG218" i="11"/>
  <c r="BJ218" i="11"/>
  <c r="BM218" i="11"/>
  <c r="BP218" i="11"/>
  <c r="BS218" i="11"/>
  <c r="BV218" i="11"/>
  <c r="BY218" i="11"/>
  <c r="CB218" i="11"/>
  <c r="CE218" i="11"/>
  <c r="CH218" i="11"/>
  <c r="CK218" i="11"/>
  <c r="CN218" i="11"/>
  <c r="CQ218" i="11"/>
  <c r="CT218" i="11"/>
  <c r="CW218" i="11"/>
  <c r="CZ218" i="11"/>
  <c r="DC218" i="11"/>
  <c r="B219" i="11"/>
  <c r="E219" i="11"/>
  <c r="H219" i="11"/>
  <c r="K219" i="11"/>
  <c r="N219" i="11"/>
  <c r="Q219" i="11"/>
  <c r="T219" i="11"/>
  <c r="W219" i="11"/>
  <c r="Z219" i="11"/>
  <c r="AC219" i="11"/>
  <c r="AF219" i="11"/>
  <c r="AI219" i="11"/>
  <c r="AL219" i="11"/>
  <c r="AO219" i="11"/>
  <c r="AR219" i="11"/>
  <c r="AU219" i="11"/>
  <c r="AX219" i="11"/>
  <c r="BA219" i="11"/>
  <c r="BD219" i="11"/>
  <c r="BG219" i="11"/>
  <c r="BJ219" i="11"/>
  <c r="BM219" i="11"/>
  <c r="BP219" i="11"/>
  <c r="BS219" i="11"/>
  <c r="BV219" i="11"/>
  <c r="BY219" i="11"/>
  <c r="CB219" i="11"/>
  <c r="CE219" i="11"/>
  <c r="CH219" i="11"/>
  <c r="CK219" i="11"/>
  <c r="CN219" i="11"/>
  <c r="CQ219" i="11"/>
  <c r="CT219" i="11"/>
  <c r="CW219" i="11"/>
  <c r="CZ219" i="11"/>
  <c r="DC219" i="11"/>
  <c r="B220" i="11"/>
  <c r="E220" i="11"/>
  <c r="H220" i="11"/>
  <c r="K220" i="11"/>
  <c r="N220" i="11"/>
  <c r="Q220" i="11"/>
  <c r="T220" i="11"/>
  <c r="W220" i="11"/>
  <c r="Z220" i="11"/>
  <c r="AC220" i="11"/>
  <c r="AF220" i="11"/>
  <c r="AI220" i="11"/>
  <c r="AL220" i="11"/>
  <c r="AO220" i="11"/>
  <c r="AR220" i="11"/>
  <c r="AU220" i="11"/>
  <c r="AX220" i="11"/>
  <c r="BA220" i="11"/>
  <c r="BD220" i="11"/>
  <c r="BG220" i="11"/>
  <c r="BJ220" i="11"/>
  <c r="BM220" i="11"/>
  <c r="BP220" i="11"/>
  <c r="BS220" i="11"/>
  <c r="BV220" i="11"/>
  <c r="BY220" i="11"/>
  <c r="CB220" i="11"/>
  <c r="CE220" i="11"/>
  <c r="CH220" i="11"/>
  <c r="CK220" i="11"/>
  <c r="CN220" i="11"/>
  <c r="CQ220" i="11"/>
  <c r="CT220" i="11"/>
  <c r="CW220" i="11"/>
  <c r="CZ220" i="11"/>
  <c r="DC220" i="11"/>
  <c r="B223" i="11"/>
  <c r="E223" i="11"/>
  <c r="H223" i="11"/>
  <c r="K223" i="11"/>
  <c r="N223" i="11"/>
  <c r="Q223" i="11"/>
  <c r="T223" i="11"/>
  <c r="W223" i="11"/>
  <c r="Z223" i="11"/>
  <c r="AC223" i="11"/>
  <c r="AF223" i="11"/>
  <c r="AI223" i="11"/>
  <c r="AL223" i="11"/>
  <c r="AO223" i="11"/>
  <c r="AR223" i="11"/>
  <c r="AU223" i="11"/>
  <c r="AX223" i="11"/>
  <c r="BA223" i="11"/>
  <c r="BD223" i="11"/>
  <c r="BG223" i="11"/>
  <c r="BJ223" i="11"/>
  <c r="BM223" i="11"/>
  <c r="BP223" i="11"/>
  <c r="BS223" i="11"/>
  <c r="BV223" i="11"/>
  <c r="BY223" i="11"/>
  <c r="CB223" i="11"/>
  <c r="CE223" i="11"/>
  <c r="CH223" i="11"/>
  <c r="CK223" i="11"/>
  <c r="CN223" i="11"/>
  <c r="CQ223" i="11"/>
  <c r="CT223" i="11"/>
  <c r="CW223" i="11"/>
  <c r="CZ223" i="11"/>
  <c r="DC223" i="11"/>
  <c r="B224" i="11"/>
  <c r="E224" i="11"/>
  <c r="H224" i="11"/>
  <c r="K224" i="11"/>
  <c r="N224" i="11"/>
  <c r="Q224" i="11"/>
  <c r="T224" i="11"/>
  <c r="W224" i="11"/>
  <c r="Z224" i="11"/>
  <c r="AC224" i="11"/>
  <c r="AF224" i="11"/>
  <c r="AI224" i="11"/>
  <c r="AL224" i="11"/>
  <c r="AO224" i="11"/>
  <c r="AR224" i="11"/>
  <c r="AU224" i="11"/>
  <c r="AX224" i="11"/>
  <c r="BA224" i="11"/>
  <c r="BD224" i="11"/>
  <c r="BG224" i="11"/>
  <c r="BJ224" i="11"/>
  <c r="BM224" i="11"/>
  <c r="BP224" i="11"/>
  <c r="BS224" i="11"/>
  <c r="BV224" i="11"/>
  <c r="BY224" i="11"/>
  <c r="CB224" i="11"/>
  <c r="CE224" i="11"/>
  <c r="CH224" i="11"/>
  <c r="CK224" i="11"/>
  <c r="CN224" i="11"/>
  <c r="CQ224" i="11"/>
  <c r="CT224" i="11"/>
  <c r="CW224" i="11"/>
  <c r="CZ224" i="11"/>
  <c r="DC224" i="11"/>
  <c r="B225" i="11"/>
  <c r="E225" i="11"/>
  <c r="H225" i="11"/>
  <c r="K225" i="11"/>
  <c r="N225" i="11"/>
  <c r="Q225" i="11"/>
  <c r="T225" i="11"/>
  <c r="W225" i="11"/>
  <c r="Z225" i="11"/>
  <c r="AC225" i="11"/>
  <c r="AF225" i="11"/>
  <c r="AI225" i="11"/>
  <c r="AL225" i="11"/>
  <c r="AO225" i="11"/>
  <c r="AR225" i="11"/>
  <c r="AU225" i="11"/>
  <c r="AX225" i="11"/>
  <c r="BA225" i="11"/>
  <c r="BD225" i="11"/>
  <c r="BG225" i="11"/>
  <c r="BJ225" i="11"/>
  <c r="BM225" i="11"/>
  <c r="BP225" i="11"/>
  <c r="BS225" i="11"/>
  <c r="BV225" i="11"/>
  <c r="BY225" i="11"/>
  <c r="CB225" i="11"/>
  <c r="CE225" i="11"/>
  <c r="CH225" i="11"/>
  <c r="CK225" i="11"/>
  <c r="CN225" i="11"/>
  <c r="CQ225" i="11"/>
  <c r="CT225" i="11"/>
  <c r="CW225" i="11"/>
  <c r="CZ225" i="11"/>
  <c r="DC225" i="11"/>
  <c r="B228" i="11"/>
  <c r="E228" i="11"/>
  <c r="H228" i="11"/>
  <c r="K228" i="11"/>
  <c r="N228" i="11"/>
  <c r="Q228" i="11"/>
  <c r="T228" i="11"/>
  <c r="W228" i="11"/>
  <c r="Z228" i="11"/>
  <c r="AC228" i="11"/>
  <c r="AF228" i="11"/>
  <c r="AI228" i="11"/>
  <c r="AL228" i="11"/>
  <c r="AO228" i="11"/>
  <c r="AR228" i="11"/>
  <c r="AU228" i="11"/>
  <c r="AX228" i="11"/>
  <c r="BA228" i="11"/>
  <c r="BD228" i="11"/>
  <c r="BG228" i="11"/>
  <c r="BJ228" i="11"/>
  <c r="BM228" i="11"/>
  <c r="BP228" i="11"/>
  <c r="BS228" i="11"/>
  <c r="BV228" i="11"/>
  <c r="BY228" i="11"/>
  <c r="CB228" i="11"/>
  <c r="CE228" i="11"/>
  <c r="CH228" i="11"/>
  <c r="CK228" i="11"/>
  <c r="CN228" i="11"/>
  <c r="CQ228" i="11"/>
  <c r="CT228" i="11"/>
  <c r="CW228" i="11"/>
  <c r="CZ228" i="11"/>
  <c r="DC228" i="11"/>
  <c r="B229" i="11"/>
  <c r="E229" i="11"/>
  <c r="H229" i="11"/>
  <c r="K229" i="11"/>
  <c r="N229" i="11"/>
  <c r="Q229" i="11"/>
  <c r="T229" i="11"/>
  <c r="W229" i="11"/>
  <c r="Z229" i="11"/>
  <c r="AC229" i="11"/>
  <c r="AF229" i="11"/>
  <c r="AI229" i="11"/>
  <c r="AL229" i="11"/>
  <c r="AO229" i="11"/>
  <c r="AR229" i="11"/>
  <c r="AU229" i="11"/>
  <c r="AX229" i="11"/>
  <c r="BA229" i="11"/>
  <c r="BD229" i="11"/>
  <c r="BG229" i="11"/>
  <c r="BJ229" i="11"/>
  <c r="BM229" i="11"/>
  <c r="BP229" i="11"/>
  <c r="BS229" i="11"/>
  <c r="BV229" i="11"/>
  <c r="BY229" i="11"/>
  <c r="CB229" i="11"/>
  <c r="CE229" i="11"/>
  <c r="CH229" i="11"/>
  <c r="CK229" i="11"/>
  <c r="CN229" i="11"/>
  <c r="CQ229" i="11"/>
  <c r="CT229" i="11"/>
  <c r="CW229" i="11"/>
  <c r="CZ229" i="11"/>
  <c r="DC229" i="11"/>
  <c r="B230" i="11"/>
  <c r="E230" i="11"/>
  <c r="H230" i="11"/>
  <c r="K230" i="11"/>
  <c r="N230" i="11"/>
  <c r="Q230" i="11"/>
  <c r="T230" i="11"/>
  <c r="W230" i="11"/>
  <c r="Z230" i="11"/>
  <c r="AC230" i="11"/>
  <c r="AF230" i="11"/>
  <c r="AI230" i="11"/>
  <c r="AL230" i="11"/>
  <c r="AO230" i="11"/>
  <c r="AR230" i="11"/>
  <c r="AU230" i="11"/>
  <c r="AX230" i="11"/>
  <c r="BA230" i="11"/>
  <c r="BD230" i="11"/>
  <c r="BG230" i="11"/>
  <c r="BJ230" i="11"/>
  <c r="BM230" i="11"/>
  <c r="BP230" i="11"/>
  <c r="BS230" i="11"/>
  <c r="BV230" i="11"/>
  <c r="BY230" i="11"/>
  <c r="CB230" i="11"/>
  <c r="CE230" i="11"/>
  <c r="CH230" i="11"/>
  <c r="CK230" i="11"/>
  <c r="CN230" i="11"/>
  <c r="CQ230" i="11"/>
  <c r="CT230" i="11"/>
  <c r="CW230" i="11"/>
  <c r="CZ230" i="11"/>
  <c r="DC230" i="11"/>
  <c r="AK123" i="9"/>
  <c r="AK70" i="9"/>
  <c r="C131" i="6"/>
  <c r="D131" i="6"/>
  <c r="E131" i="6"/>
  <c r="F131" i="6"/>
  <c r="G131" i="6"/>
  <c r="H131" i="6"/>
  <c r="I131" i="6"/>
  <c r="J131" i="6"/>
  <c r="K131" i="6"/>
  <c r="L131" i="6"/>
  <c r="M131"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C132" i="6"/>
  <c r="D132" i="6"/>
  <c r="E132"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C99" i="9"/>
  <c r="B130" i="6"/>
  <c r="B98" i="9"/>
  <c r="B131" i="6"/>
  <c r="B99" i="9"/>
  <c r="B132" i="6"/>
  <c r="B100" i="9"/>
  <c r="C130" i="6"/>
  <c r="C98" i="9"/>
  <c r="D130" i="6"/>
  <c r="D98" i="9"/>
  <c r="E130" i="6"/>
  <c r="E98" i="9"/>
  <c r="F130" i="6"/>
  <c r="F98" i="9"/>
  <c r="G130" i="6"/>
  <c r="G98" i="9"/>
  <c r="H130" i="6"/>
  <c r="H98" i="9"/>
  <c r="I130" i="6"/>
  <c r="I98" i="9"/>
  <c r="J130" i="6"/>
  <c r="J98" i="9"/>
  <c r="K130" i="6"/>
  <c r="K98" i="9"/>
  <c r="L130" i="6"/>
  <c r="L98" i="9"/>
  <c r="M130" i="6"/>
  <c r="M98" i="9"/>
  <c r="N130" i="6"/>
  <c r="N98" i="9"/>
  <c r="O130" i="6"/>
  <c r="O98" i="9"/>
  <c r="P130" i="6"/>
  <c r="P98" i="9"/>
  <c r="Q130" i="6"/>
  <c r="Q98" i="9"/>
  <c r="R130" i="6"/>
  <c r="R98" i="9"/>
  <c r="S130" i="6"/>
  <c r="S98" i="9"/>
  <c r="T130" i="6"/>
  <c r="T98" i="9"/>
  <c r="U130" i="6"/>
  <c r="U98" i="9"/>
  <c r="V130" i="6"/>
  <c r="V98" i="9"/>
  <c r="W130" i="6"/>
  <c r="W98" i="9"/>
  <c r="X130" i="6"/>
  <c r="X98" i="9"/>
  <c r="Y130" i="6"/>
  <c r="Y98" i="9"/>
  <c r="Z130" i="6"/>
  <c r="Z98" i="9"/>
  <c r="AA130" i="6"/>
  <c r="AA98" i="9"/>
  <c r="AB130" i="6"/>
  <c r="AB98" i="9"/>
  <c r="AC130" i="6"/>
  <c r="AC98" i="9"/>
  <c r="AD130" i="6"/>
  <c r="AD98" i="9"/>
  <c r="AE130" i="6"/>
  <c r="AE98" i="9"/>
  <c r="AF130" i="6"/>
  <c r="AF98" i="9"/>
  <c r="AG130" i="6"/>
  <c r="AG98" i="9"/>
  <c r="AH130" i="6"/>
  <c r="AH98" i="9"/>
  <c r="AI130" i="6"/>
  <c r="AI98" i="9"/>
  <c r="AJ130" i="6"/>
  <c r="AJ98" i="9"/>
  <c r="AK130" i="6"/>
  <c r="AK98" i="9"/>
  <c r="D99"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AG99" i="9"/>
  <c r="AH99" i="9"/>
  <c r="AI99" i="9"/>
  <c r="AJ99" i="9"/>
  <c r="AK99" i="9"/>
  <c r="C100" i="9"/>
  <c r="D100"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AG100" i="9"/>
  <c r="AH100" i="9"/>
  <c r="AI100" i="9"/>
  <c r="AJ100" i="9"/>
  <c r="AK100" i="9"/>
  <c r="D172" i="6"/>
  <c r="D129" i="6"/>
  <c r="D97" i="9"/>
  <c r="E172" i="6"/>
  <c r="E129" i="6"/>
  <c r="E97" i="9"/>
  <c r="F172" i="6"/>
  <c r="F129" i="6"/>
  <c r="F97" i="9"/>
  <c r="G172" i="6"/>
  <c r="G129" i="6"/>
  <c r="G97" i="9"/>
  <c r="H172" i="6"/>
  <c r="H129" i="6"/>
  <c r="H97" i="9"/>
  <c r="I172" i="6"/>
  <c r="I129" i="6"/>
  <c r="I97" i="9"/>
  <c r="J172" i="6"/>
  <c r="J129" i="6"/>
  <c r="J97" i="9"/>
  <c r="K172" i="6"/>
  <c r="K129" i="6"/>
  <c r="K97" i="9"/>
  <c r="L172" i="6"/>
  <c r="L129" i="6"/>
  <c r="L97" i="9"/>
  <c r="M172" i="6"/>
  <c r="M129" i="6"/>
  <c r="M97" i="9"/>
  <c r="N172" i="6"/>
  <c r="N129" i="6"/>
  <c r="N97" i="9"/>
  <c r="O172" i="6"/>
  <c r="O129" i="6"/>
  <c r="O97" i="9"/>
  <c r="P172" i="6"/>
  <c r="P129" i="6"/>
  <c r="P97" i="9"/>
  <c r="Q172" i="6"/>
  <c r="Q129" i="6"/>
  <c r="Q97" i="9"/>
  <c r="R172" i="6"/>
  <c r="R129" i="6"/>
  <c r="R97" i="9"/>
  <c r="S172" i="6"/>
  <c r="S129" i="6"/>
  <c r="S97" i="9"/>
  <c r="T172" i="6"/>
  <c r="T129" i="6"/>
  <c r="T97" i="9"/>
  <c r="U172" i="6"/>
  <c r="U129" i="6"/>
  <c r="U97" i="9"/>
  <c r="V172" i="6"/>
  <c r="V129" i="6"/>
  <c r="V97" i="9"/>
  <c r="W172" i="6"/>
  <c r="W129" i="6"/>
  <c r="W97" i="9"/>
  <c r="X172" i="6"/>
  <c r="X129" i="6"/>
  <c r="X97" i="9"/>
  <c r="Y172" i="6"/>
  <c r="Y129" i="6"/>
  <c r="Y97" i="9"/>
  <c r="Z172" i="6"/>
  <c r="Z129" i="6"/>
  <c r="Z97" i="9"/>
  <c r="AA172" i="6"/>
  <c r="AA129" i="6"/>
  <c r="AA97" i="9"/>
  <c r="AB172" i="6"/>
  <c r="AB129" i="6"/>
  <c r="AB97" i="9"/>
  <c r="AC172" i="6"/>
  <c r="AC129" i="6"/>
  <c r="AC97" i="9"/>
  <c r="AD172" i="6"/>
  <c r="AD129" i="6"/>
  <c r="AD97" i="9"/>
  <c r="AE172" i="6"/>
  <c r="AE129" i="6"/>
  <c r="AE97" i="9"/>
  <c r="AF172" i="6"/>
  <c r="AF129" i="6"/>
  <c r="AF97" i="9"/>
  <c r="AG172" i="6"/>
  <c r="AG129" i="6"/>
  <c r="AG97" i="9"/>
  <c r="AH172" i="6"/>
  <c r="AH129" i="6"/>
  <c r="AH97" i="9"/>
  <c r="AI172" i="6"/>
  <c r="AI129" i="6"/>
  <c r="AI97" i="9"/>
  <c r="AJ172" i="6"/>
  <c r="AJ129" i="6"/>
  <c r="AJ97" i="9"/>
  <c r="AK172" i="6"/>
  <c r="AK129" i="6"/>
  <c r="AK97" i="9"/>
  <c r="C172" i="6"/>
  <c r="C129" i="6"/>
  <c r="C97" i="9"/>
  <c r="CN115" i="11"/>
  <c r="CP115" i="11"/>
  <c r="CH115" i="11"/>
  <c r="CJ115" i="11"/>
  <c r="CJ116" i="11"/>
  <c r="AR115" i="11"/>
  <c r="AT115" i="11"/>
  <c r="AL115" i="11"/>
  <c r="AN115" i="11"/>
  <c r="CM129" i="11"/>
  <c r="CM117" i="11"/>
  <c r="AQ117" i="11"/>
  <c r="CY116" i="11"/>
  <c r="CB115" i="11"/>
  <c r="CD115" i="11"/>
  <c r="BV115" i="11"/>
  <c r="BX115" i="11"/>
  <c r="BX116" i="11"/>
  <c r="BC116" i="11"/>
  <c r="AF115" i="11"/>
  <c r="AH115" i="11"/>
  <c r="Z115" i="11"/>
  <c r="AB115" i="11"/>
  <c r="CY129" i="11"/>
  <c r="BC129" i="11"/>
  <c r="AE129" i="11"/>
  <c r="G129" i="11"/>
  <c r="BP115" i="11"/>
  <c r="BR115" i="11"/>
  <c r="BJ115" i="11"/>
  <c r="BL115" i="11"/>
  <c r="BL116" i="11"/>
  <c r="AQ116" i="11"/>
  <c r="T115" i="11"/>
  <c r="V115" i="11"/>
  <c r="N115" i="11"/>
  <c r="P115" i="11"/>
  <c r="BO129" i="11"/>
  <c r="CZ115" i="11"/>
  <c r="DB115" i="11"/>
  <c r="CT115" i="11"/>
  <c r="CV115" i="11"/>
  <c r="CV116" i="11"/>
  <c r="BD115" i="11"/>
  <c r="BF115" i="11"/>
  <c r="AX115" i="11"/>
  <c r="AZ115" i="11"/>
  <c r="AZ116" i="11"/>
  <c r="H115" i="11"/>
  <c r="J115" i="11"/>
  <c r="B115" i="11"/>
  <c r="D115" i="11"/>
  <c r="CW115" i="11"/>
  <c r="CY115" i="11"/>
  <c r="CK115" i="11"/>
  <c r="CM115" i="11"/>
  <c r="BY115" i="11"/>
  <c r="CA115" i="11"/>
  <c r="BM115" i="11"/>
  <c r="BO115" i="11"/>
  <c r="BA115" i="11"/>
  <c r="BC115" i="11"/>
  <c r="AO115" i="11"/>
  <c r="AQ115" i="11"/>
  <c r="AC115" i="11"/>
  <c r="AE115" i="11"/>
  <c r="Q115" i="11"/>
  <c r="S115" i="11"/>
  <c r="E115" i="11"/>
  <c r="G115" i="11"/>
  <c r="BU106" i="11"/>
  <c r="Y106" i="11"/>
  <c r="CG105" i="11"/>
  <c r="AK105" i="11"/>
  <c r="CS104" i="11"/>
  <c r="AW104" i="11"/>
  <c r="CG102" i="11"/>
  <c r="AK102" i="11"/>
  <c r="AN116" i="11"/>
  <c r="AB116" i="11"/>
  <c r="P116" i="11"/>
  <c r="D116" i="11"/>
  <c r="CS106" i="11"/>
  <c r="AW106" i="11"/>
  <c r="DE105" i="11"/>
  <c r="BI105" i="11"/>
  <c r="M105" i="11"/>
  <c r="BU104" i="11"/>
  <c r="Y104" i="11"/>
  <c r="DE102" i="11"/>
  <c r="BI102" i="11"/>
  <c r="M102" i="11"/>
  <c r="CM72" i="11"/>
  <c r="S74" i="11"/>
  <c r="CA72" i="11"/>
  <c r="BF72" i="11"/>
  <c r="J72" i="11"/>
  <c r="BR68" i="11"/>
  <c r="V68" i="11"/>
  <c r="AH67" i="11"/>
  <c r="AQ74" i="11"/>
  <c r="CY72" i="11"/>
  <c r="CD67" i="11"/>
  <c r="CP66" i="11"/>
  <c r="AE72" i="11"/>
  <c r="CM68" i="11"/>
  <c r="AQ68" i="11"/>
  <c r="CY67" i="11"/>
  <c r="BC67" i="11"/>
  <c r="G67" i="11"/>
  <c r="BO66" i="11"/>
  <c r="AE65" i="11"/>
  <c r="CM64" i="11"/>
  <c r="AQ64" i="11"/>
  <c r="BO67" i="11"/>
  <c r="S67" i="11"/>
  <c r="CA66" i="11"/>
  <c r="AE66" i="11"/>
  <c r="CM65" i="11"/>
  <c r="AQ65" i="11"/>
  <c r="CY64" i="11"/>
  <c r="BC64" i="11"/>
  <c r="G64" i="11"/>
  <c r="BC72" i="11"/>
  <c r="G72" i="11"/>
  <c r="BO68" i="11"/>
  <c r="S68" i="11"/>
  <c r="CA67" i="11"/>
  <c r="AE67" i="11"/>
  <c r="CM66" i="11"/>
  <c r="AQ66" i="11"/>
  <c r="CY65" i="11"/>
  <c r="BC65" i="11"/>
  <c r="G65" i="11"/>
  <c r="BO64" i="11"/>
  <c r="S64" i="11"/>
  <c r="BX40" i="11"/>
  <c r="AB40" i="11"/>
  <c r="CJ39" i="11"/>
  <c r="AN39" i="11"/>
  <c r="CV38" i="11"/>
  <c r="AZ38" i="11"/>
  <c r="D38" i="11"/>
  <c r="CP36" i="11"/>
  <c r="CG36" i="11"/>
  <c r="BL36" i="11"/>
  <c r="AK36" i="11"/>
  <c r="P36" i="11"/>
  <c r="BU51" i="11"/>
  <c r="AK51" i="11"/>
  <c r="CV36" i="11"/>
  <c r="CD36" i="11"/>
  <c r="BU36" i="11"/>
  <c r="AZ36" i="11"/>
  <c r="Y36" i="11"/>
  <c r="D36" i="11"/>
  <c r="AZ40" i="11"/>
  <c r="D40" i="11"/>
  <c r="BL39" i="11"/>
  <c r="P39" i="11"/>
  <c r="BX38" i="11"/>
  <c r="AB38" i="11"/>
  <c r="DE36" i="11"/>
  <c r="CJ36" i="11"/>
  <c r="BR36" i="11"/>
  <c r="BI36" i="11"/>
  <c r="AN36" i="11"/>
  <c r="M36" i="11"/>
  <c r="DB36" i="11"/>
  <c r="CS36" i="11"/>
  <c r="BX36" i="11"/>
  <c r="AW36" i="11"/>
  <c r="AB36" i="11"/>
  <c r="CJ19" i="11"/>
  <c r="CJ17" i="11"/>
  <c r="CI17" i="11"/>
  <c r="CM27" i="11"/>
  <c r="AQ27" i="11"/>
  <c r="CY26" i="11"/>
  <c r="BC26" i="11"/>
  <c r="DE18" i="11"/>
  <c r="DD17" i="11"/>
  <c r="CG18" i="11"/>
  <c r="CF17" i="11"/>
  <c r="BI18" i="11"/>
  <c r="BH17" i="11"/>
  <c r="AK19" i="11"/>
  <c r="AK17" i="11"/>
  <c r="AB17" i="11"/>
  <c r="M18" i="11"/>
  <c r="L17" i="11"/>
  <c r="DE34" i="11"/>
  <c r="CY34" i="11"/>
  <c r="CS34" i="11"/>
  <c r="CM34" i="11"/>
  <c r="CG34" i="11"/>
  <c r="CA34" i="11"/>
  <c r="BU34" i="11"/>
  <c r="BO34" i="11"/>
  <c r="BI34" i="11"/>
  <c r="BC34" i="11"/>
  <c r="AW34" i="11"/>
  <c r="AQ34" i="11"/>
  <c r="AK34" i="11"/>
  <c r="AE34" i="11"/>
  <c r="Y34" i="11"/>
  <c r="S34" i="11"/>
  <c r="M34" i="11"/>
  <c r="G34" i="11"/>
  <c r="CY27" i="11"/>
  <c r="BC27" i="11"/>
  <c r="G27" i="11"/>
  <c r="BO26" i="11"/>
  <c r="S26" i="11"/>
  <c r="CY25" i="11"/>
  <c r="CA25" i="11"/>
  <c r="BC25" i="11"/>
  <c r="AE25" i="11"/>
  <c r="G25" i="11"/>
  <c r="BL19" i="11"/>
  <c r="BL17" i="11"/>
  <c r="BK17" i="11"/>
  <c r="AN17" i="11"/>
  <c r="Y19" i="11"/>
  <c r="Y17" i="11"/>
  <c r="CS21" i="11"/>
  <c r="BU21" i="11"/>
  <c r="AW21" i="11"/>
  <c r="Y21" i="11"/>
  <c r="CV19" i="11"/>
  <c r="CV17" i="11"/>
  <c r="CS19" i="11"/>
  <c r="BX19" i="11"/>
  <c r="BX17" i="11"/>
  <c r="BU19" i="11"/>
  <c r="BU17" i="11"/>
  <c r="AU17" i="11"/>
  <c r="AW19" i="11"/>
  <c r="AF17" i="11"/>
  <c r="AH19" i="11"/>
  <c r="AH17" i="11"/>
  <c r="W17" i="11"/>
  <c r="DB17" i="11"/>
  <c r="CM18" i="11"/>
  <c r="CM17" i="11"/>
  <c r="CL17" i="11"/>
  <c r="CD17" i="11"/>
  <c r="BO18" i="11"/>
  <c r="BO17" i="11"/>
  <c r="BN17" i="11"/>
  <c r="BF17" i="11"/>
  <c r="AP17" i="11"/>
  <c r="AQ18" i="11"/>
  <c r="AQ17" i="11"/>
  <c r="S17" i="11"/>
  <c r="J17" i="11"/>
  <c r="CQ17" i="11"/>
  <c r="BS17" i="11"/>
  <c r="CY16" i="11"/>
  <c r="CS17" i="11"/>
  <c r="AV17" i="11"/>
  <c r="AW18" i="11"/>
  <c r="AW17" i="11"/>
  <c r="P17" i="11"/>
  <c r="X17" i="11"/>
  <c r="DE21" i="11"/>
  <c r="CG21" i="11"/>
  <c r="BI21" i="11"/>
  <c r="AK21" i="11"/>
  <c r="M21" i="11"/>
  <c r="DE19" i="11"/>
  <c r="CG19" i="11"/>
  <c r="BI19" i="11"/>
  <c r="AR17" i="11"/>
  <c r="AT19" i="11"/>
  <c r="AT17" i="11"/>
  <c r="AI17" i="11"/>
  <c r="K17" i="11"/>
  <c r="M19" i="11"/>
  <c r="CY18" i="11"/>
  <c r="CY17" i="11"/>
  <c r="CX17" i="11"/>
  <c r="CP17" i="11"/>
  <c r="CA18" i="11"/>
  <c r="CA17" i="11"/>
  <c r="BZ17" i="11"/>
  <c r="BR17" i="11"/>
  <c r="BC18" i="11"/>
  <c r="BC17" i="11"/>
  <c r="BB17" i="11"/>
  <c r="AE17" i="11"/>
  <c r="V17" i="11"/>
  <c r="G18" i="11"/>
  <c r="G17" i="11"/>
  <c r="F17" i="11"/>
  <c r="DC17" i="11"/>
  <c r="CE17" i="11"/>
  <c r="BG17" i="11"/>
  <c r="T17" i="11"/>
  <c r="CD16" i="11"/>
  <c r="BC16" i="11"/>
  <c r="G16" i="11"/>
  <c r="AY17" i="11"/>
  <c r="AM17" i="11"/>
  <c r="AA17" i="11"/>
  <c r="O17" i="11"/>
  <c r="C17" i="11"/>
  <c r="BO16" i="11"/>
  <c r="S16" i="11"/>
  <c r="AL34" i="6"/>
  <c r="AL35" i="6"/>
  <c r="C33" i="6"/>
  <c r="D121" i="9"/>
  <c r="E121" i="9"/>
  <c r="F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C121" i="9"/>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C197" i="6"/>
  <c r="C196" i="6"/>
  <c r="C198" i="6"/>
  <c r="D197" i="6"/>
  <c r="E197" i="6"/>
  <c r="F197" i="6"/>
  <c r="G197" i="6"/>
  <c r="H197" i="6"/>
  <c r="I197" i="6"/>
  <c r="J197" i="6"/>
  <c r="K197" i="6"/>
  <c r="L197" i="6"/>
  <c r="M197" i="6"/>
  <c r="N197" i="6"/>
  <c r="O197" i="6"/>
  <c r="P197" i="6"/>
  <c r="Q197" i="6"/>
  <c r="R197" i="6"/>
  <c r="S197" i="6"/>
  <c r="S196" i="6"/>
  <c r="S198" i="6"/>
  <c r="T197" i="6"/>
  <c r="U197" i="6"/>
  <c r="V197" i="6"/>
  <c r="W197" i="6"/>
  <c r="X197" i="6"/>
  <c r="Y197" i="6"/>
  <c r="Z197" i="6"/>
  <c r="AA197" i="6"/>
  <c r="AB197" i="6"/>
  <c r="AC197" i="6"/>
  <c r="AD197" i="6"/>
  <c r="AE197" i="6"/>
  <c r="AF197" i="6"/>
  <c r="AG197" i="6"/>
  <c r="AH197" i="6"/>
  <c r="AI197" i="6"/>
  <c r="AJ197" i="6"/>
  <c r="AK197" i="6"/>
  <c r="AL197" i="6"/>
  <c r="D196" i="6"/>
  <c r="D198" i="6"/>
  <c r="E196" i="6"/>
  <c r="F196" i="6"/>
  <c r="G196" i="6"/>
  <c r="H196" i="6"/>
  <c r="H198" i="6"/>
  <c r="I196" i="6"/>
  <c r="J196" i="6"/>
  <c r="K196" i="6"/>
  <c r="L196" i="6"/>
  <c r="L198" i="6"/>
  <c r="M196" i="6"/>
  <c r="N196" i="6"/>
  <c r="O196" i="6"/>
  <c r="P196" i="6"/>
  <c r="P198" i="6"/>
  <c r="Q196" i="6"/>
  <c r="R196" i="6"/>
  <c r="T196" i="6"/>
  <c r="T198" i="6"/>
  <c r="U196" i="6"/>
  <c r="V196" i="6"/>
  <c r="W196" i="6"/>
  <c r="X196" i="6"/>
  <c r="X198" i="6"/>
  <c r="Y196" i="6"/>
  <c r="Z196" i="6"/>
  <c r="AA196" i="6"/>
  <c r="AB196" i="6"/>
  <c r="AB198" i="6"/>
  <c r="AC196" i="6"/>
  <c r="AD196" i="6"/>
  <c r="AE196" i="6"/>
  <c r="AF196" i="6"/>
  <c r="AF198" i="6"/>
  <c r="AG196" i="6"/>
  <c r="AH196" i="6"/>
  <c r="AI196" i="6"/>
  <c r="AJ196" i="6"/>
  <c r="AJ198" i="6"/>
  <c r="AK196" i="6"/>
  <c r="AL196" i="6"/>
  <c r="AC198"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C101" i="6"/>
  <c r="D190" i="6"/>
  <c r="E190" i="6"/>
  <c r="F190" i="6"/>
  <c r="G190" i="6"/>
  <c r="H190" i="6"/>
  <c r="I190" i="6"/>
  <c r="J190" i="6"/>
  <c r="K190" i="6"/>
  <c r="L190" i="6"/>
  <c r="M190" i="6"/>
  <c r="N190" i="6"/>
  <c r="O190" i="6"/>
  <c r="P190" i="6"/>
  <c r="Q190" i="6"/>
  <c r="R190" i="6"/>
  <c r="S190" i="6"/>
  <c r="T190" i="6"/>
  <c r="U190" i="6"/>
  <c r="V190" i="6"/>
  <c r="W190" i="6"/>
  <c r="X190" i="6"/>
  <c r="Y190" i="6"/>
  <c r="Z190" i="6"/>
  <c r="AA190" i="6"/>
  <c r="AB190" i="6"/>
  <c r="AC190" i="6"/>
  <c r="AD190" i="6"/>
  <c r="AE190" i="6"/>
  <c r="AF190" i="6"/>
  <c r="AG190" i="6"/>
  <c r="AH190" i="6"/>
  <c r="AI190" i="6"/>
  <c r="AJ190" i="6"/>
  <c r="AK190" i="6"/>
  <c r="AL190" i="6"/>
  <c r="C190"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D194" i="6"/>
  <c r="E194" i="6"/>
  <c r="F194" i="6"/>
  <c r="G194" i="6"/>
  <c r="H194" i="6"/>
  <c r="I194" i="6"/>
  <c r="J194" i="6"/>
  <c r="K194" i="6"/>
  <c r="L194" i="6"/>
  <c r="M194" i="6"/>
  <c r="N194" i="6"/>
  <c r="O194" i="6"/>
  <c r="P194" i="6"/>
  <c r="Q194" i="6"/>
  <c r="R194" i="6"/>
  <c r="S194" i="6"/>
  <c r="T194" i="6"/>
  <c r="U194" i="6"/>
  <c r="V194" i="6"/>
  <c r="W194" i="6"/>
  <c r="X194" i="6"/>
  <c r="Y194" i="6"/>
  <c r="Z194" i="6"/>
  <c r="AA194" i="6"/>
  <c r="AB194" i="6"/>
  <c r="AC194" i="6"/>
  <c r="AD194" i="6"/>
  <c r="AE194" i="6"/>
  <c r="AF194" i="6"/>
  <c r="AG194" i="6"/>
  <c r="AH194" i="6"/>
  <c r="AI194" i="6"/>
  <c r="AJ194" i="6"/>
  <c r="AK194" i="6"/>
  <c r="AL194" i="6"/>
  <c r="C194" i="6"/>
  <c r="DE17" i="11"/>
  <c r="CG17" i="11"/>
  <c r="M17" i="11"/>
  <c r="BI17" i="11"/>
  <c r="U198" i="6"/>
  <c r="I198" i="6"/>
  <c r="Y198" i="6"/>
  <c r="M198" i="6"/>
  <c r="E198" i="6"/>
  <c r="AG198" i="6"/>
  <c r="Q198" i="6"/>
  <c r="AI198" i="6"/>
  <c r="AE198" i="6"/>
  <c r="AA198" i="6"/>
  <c r="W198" i="6"/>
  <c r="O198" i="6"/>
  <c r="K198" i="6"/>
  <c r="G198" i="6"/>
  <c r="AL198" i="6"/>
  <c r="AH198" i="6"/>
  <c r="AD198" i="6"/>
  <c r="Z198" i="6"/>
  <c r="V198" i="6"/>
  <c r="R198" i="6"/>
  <c r="N198" i="6"/>
  <c r="J198" i="6"/>
  <c r="F198" i="6"/>
  <c r="AK198" i="6"/>
  <c r="AL130" i="6"/>
  <c r="B139" i="6"/>
  <c r="B140" i="6"/>
  <c r="B141" i="6"/>
  <c r="B142" i="6"/>
  <c r="B144" i="6"/>
  <c r="B145" i="6"/>
  <c r="B146" i="6"/>
  <c r="B147" i="6"/>
  <c r="B149" i="6"/>
  <c r="B150" i="6"/>
  <c r="B138" i="6"/>
  <c r="AK53" i="9"/>
  <c r="AJ53" i="9"/>
  <c r="AI53" i="9"/>
  <c r="AH53" i="9"/>
  <c r="AG53" i="9"/>
  <c r="AF53" i="9"/>
  <c r="AE53" i="9"/>
  <c r="AD53" i="9"/>
  <c r="AC53" i="9"/>
  <c r="AB53" i="9"/>
  <c r="AA53" i="9"/>
  <c r="Z53" i="9"/>
  <c r="Y53" i="9"/>
  <c r="X53" i="9"/>
  <c r="W53" i="9"/>
  <c r="V53" i="9"/>
  <c r="U53" i="9"/>
  <c r="T53" i="9"/>
  <c r="S53" i="9"/>
  <c r="R53" i="9"/>
  <c r="Q53" i="9"/>
  <c r="P53" i="9"/>
  <c r="O53" i="9"/>
  <c r="N53" i="9"/>
  <c r="M53" i="9"/>
  <c r="L53" i="9"/>
  <c r="K53" i="9"/>
  <c r="J53" i="9"/>
  <c r="I53" i="9"/>
  <c r="H53" i="9"/>
  <c r="G53" i="9"/>
  <c r="F53" i="9"/>
  <c r="E53" i="9"/>
  <c r="D53" i="9"/>
  <c r="C53" i="9"/>
  <c r="AL172" i="6"/>
  <c r="AL129" i="6"/>
  <c r="AL5" i="6"/>
  <c r="AL6" i="6"/>
  <c r="AL7" i="6"/>
  <c r="AL9" i="6"/>
  <c r="AL10" i="6"/>
  <c r="AL11" i="6"/>
  <c r="AL12" i="6"/>
  <c r="AL13" i="6"/>
  <c r="AL14" i="6"/>
  <c r="AL15" i="6"/>
  <c r="AL16" i="6"/>
  <c r="AL17" i="6"/>
  <c r="AL18" i="6"/>
  <c r="AL19" i="6"/>
  <c r="AL20" i="6"/>
  <c r="AL21" i="6"/>
  <c r="AL22" i="6"/>
  <c r="AL23" i="6"/>
  <c r="AL24" i="6"/>
  <c r="AL25" i="6"/>
  <c r="AL26" i="6"/>
  <c r="AL27" i="6"/>
  <c r="AL29" i="6"/>
  <c r="AL30" i="6"/>
  <c r="AL31" i="6"/>
  <c r="AL32" i="6"/>
  <c r="AL33"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2"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33" i="6"/>
  <c r="AL135" i="6"/>
  <c r="AL137" i="6"/>
  <c r="AL159" i="6"/>
  <c r="AL138" i="6"/>
  <c r="AL160" i="6"/>
  <c r="AL139" i="6"/>
  <c r="AL161" i="6"/>
  <c r="AL140" i="6"/>
  <c r="AL162" i="6"/>
  <c r="AL141" i="6"/>
  <c r="AL163" i="6"/>
  <c r="AL142" i="6"/>
  <c r="AL164" i="6"/>
  <c r="AL144" i="6"/>
  <c r="AL165" i="6"/>
  <c r="AL145" i="6"/>
  <c r="AL166" i="6"/>
  <c r="AL146" i="6"/>
  <c r="AL167" i="6"/>
  <c r="AL147" i="6"/>
  <c r="AL168" i="6"/>
  <c r="AL149" i="6"/>
  <c r="AL169" i="6"/>
  <c r="AL150" i="6"/>
  <c r="AL211" i="6"/>
  <c r="AL212" i="6"/>
  <c r="AL213" i="6"/>
  <c r="AL219" i="6"/>
  <c r="AL220" i="6"/>
  <c r="AL221" i="6"/>
  <c r="AL224" i="6"/>
  <c r="AL225" i="6"/>
  <c r="AL226" i="6"/>
  <c r="AL229" i="6"/>
  <c r="AL230" i="6"/>
  <c r="AL231" i="6"/>
  <c r="AK5" i="6"/>
  <c r="AK6" i="6"/>
  <c r="AK7" i="6"/>
  <c r="AK9" i="6"/>
  <c r="AK10" i="6"/>
  <c r="AK11" i="6"/>
  <c r="AK12" i="6"/>
  <c r="AK13" i="6"/>
  <c r="AK14" i="6"/>
  <c r="AK15" i="6"/>
  <c r="AK16" i="6"/>
  <c r="AK17" i="6"/>
  <c r="AK18" i="6"/>
  <c r="AK19" i="6"/>
  <c r="AK20" i="6"/>
  <c r="AK21" i="6"/>
  <c r="AK22" i="6"/>
  <c r="AK23" i="6"/>
  <c r="AK24" i="6"/>
  <c r="AK25" i="6"/>
  <c r="AK26" i="6"/>
  <c r="AK27" i="6"/>
  <c r="AK29" i="6"/>
  <c r="AK30" i="6"/>
  <c r="AK31" i="6"/>
  <c r="AK32" i="6"/>
  <c r="AK33"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2"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33" i="6"/>
  <c r="AK135" i="6"/>
  <c r="AK137" i="6"/>
  <c r="AK3" i="2"/>
  <c r="AK4" i="2"/>
  <c r="AK5" i="2"/>
  <c r="AK7" i="2"/>
  <c r="AK8" i="2"/>
  <c r="AK9" i="2"/>
  <c r="AK10" i="2"/>
  <c r="AK11" i="2"/>
  <c r="AK12" i="2"/>
  <c r="AK13" i="2"/>
  <c r="AK14" i="2"/>
  <c r="AK15" i="2"/>
  <c r="AK16" i="2"/>
  <c r="AK17" i="2"/>
  <c r="AK18" i="2"/>
  <c r="AK19" i="2"/>
  <c r="AK20" i="2"/>
  <c r="AK21" i="2"/>
  <c r="AK22" i="2"/>
  <c r="AK23" i="2"/>
  <c r="AK24" i="2"/>
  <c r="AK25"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34" i="2"/>
  <c r="AK135" i="2"/>
  <c r="AK136" i="2"/>
  <c r="AK137" i="2"/>
  <c r="AK138" i="2"/>
  <c r="AK139" i="2"/>
  <c r="AK140" i="2"/>
  <c r="AK141" i="2"/>
  <c r="AK142" i="2"/>
  <c r="AK143" i="2"/>
  <c r="AK144" i="2"/>
  <c r="AK151" i="8"/>
  <c r="AJ151" i="8"/>
  <c r="AI151" i="8"/>
  <c r="AH151" i="8"/>
  <c r="AG151" i="8"/>
  <c r="AF151" i="8"/>
  <c r="AE151" i="8"/>
  <c r="AD151" i="8"/>
  <c r="AC151" i="8"/>
  <c r="AB151" i="8"/>
  <c r="AA151" i="8"/>
  <c r="Z151" i="8"/>
  <c r="Y151" i="8"/>
  <c r="X151" i="8"/>
  <c r="W151" i="8"/>
  <c r="V151" i="8"/>
  <c r="U151" i="8"/>
  <c r="T151" i="8"/>
  <c r="S151" i="8"/>
  <c r="R151" i="8"/>
  <c r="Q151" i="8"/>
  <c r="P151" i="8"/>
  <c r="O151" i="8"/>
  <c r="N151" i="8"/>
  <c r="M151" i="8"/>
  <c r="L151" i="8"/>
  <c r="K151" i="8"/>
  <c r="J151" i="8"/>
  <c r="I151" i="8"/>
  <c r="H151" i="8"/>
  <c r="G151" i="8"/>
  <c r="F151" i="8"/>
  <c r="E151" i="8"/>
  <c r="D151" i="8"/>
  <c r="C151"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D12" i="8"/>
  <c r="C12"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E9" i="8"/>
  <c r="D9" i="8"/>
  <c r="C9" i="8"/>
  <c r="D219" i="6"/>
  <c r="E219" i="6"/>
  <c r="F219" i="6"/>
  <c r="G219" i="6"/>
  <c r="H219" i="6"/>
  <c r="I219" i="6"/>
  <c r="J219" i="6"/>
  <c r="K219" i="6"/>
  <c r="L219" i="6"/>
  <c r="M219" i="6"/>
  <c r="N219" i="6"/>
  <c r="O219" i="6"/>
  <c r="P219" i="6"/>
  <c r="Q219" i="6"/>
  <c r="R219" i="6"/>
  <c r="S219" i="6"/>
  <c r="T219" i="6"/>
  <c r="U219" i="6"/>
  <c r="V219" i="6"/>
  <c r="W219" i="6"/>
  <c r="X219" i="6"/>
  <c r="Y219" i="6"/>
  <c r="Z219" i="6"/>
  <c r="AA219" i="6"/>
  <c r="AB219" i="6"/>
  <c r="AC219" i="6"/>
  <c r="AD219" i="6"/>
  <c r="AE219" i="6"/>
  <c r="AF219" i="6"/>
  <c r="AG219" i="6"/>
  <c r="AH219" i="6"/>
  <c r="AI219" i="6"/>
  <c r="AJ219" i="6"/>
  <c r="AK219" i="6"/>
  <c r="D220" i="6"/>
  <c r="E220" i="6"/>
  <c r="F220" i="6"/>
  <c r="G220" i="6"/>
  <c r="H220" i="6"/>
  <c r="I220" i="6"/>
  <c r="J220" i="6"/>
  <c r="K220" i="6"/>
  <c r="L220" i="6"/>
  <c r="M220" i="6"/>
  <c r="N220" i="6"/>
  <c r="O220" i="6"/>
  <c r="P220" i="6"/>
  <c r="Q220" i="6"/>
  <c r="R220" i="6"/>
  <c r="S220" i="6"/>
  <c r="T220" i="6"/>
  <c r="U220" i="6"/>
  <c r="V220" i="6"/>
  <c r="W220" i="6"/>
  <c r="X220" i="6"/>
  <c r="Y220" i="6"/>
  <c r="Z220" i="6"/>
  <c r="AA220" i="6"/>
  <c r="AB220" i="6"/>
  <c r="AC220" i="6"/>
  <c r="AD220" i="6"/>
  <c r="AE220" i="6"/>
  <c r="AF220" i="6"/>
  <c r="AG220" i="6"/>
  <c r="AH220" i="6"/>
  <c r="AI220" i="6"/>
  <c r="AJ220" i="6"/>
  <c r="AK220" i="6"/>
  <c r="D221" i="6"/>
  <c r="E221" i="6"/>
  <c r="F221" i="6"/>
  <c r="G221" i="6"/>
  <c r="H221" i="6"/>
  <c r="I221" i="6"/>
  <c r="J221" i="6"/>
  <c r="K221" i="6"/>
  <c r="L221" i="6"/>
  <c r="M221" i="6"/>
  <c r="N221" i="6"/>
  <c r="O221" i="6"/>
  <c r="P221" i="6"/>
  <c r="Q221" i="6"/>
  <c r="R221" i="6"/>
  <c r="S221" i="6"/>
  <c r="T221" i="6"/>
  <c r="U221" i="6"/>
  <c r="V221" i="6"/>
  <c r="W221" i="6"/>
  <c r="X221" i="6"/>
  <c r="Y221" i="6"/>
  <c r="Z221" i="6"/>
  <c r="AA221" i="6"/>
  <c r="AB221" i="6"/>
  <c r="AC221" i="6"/>
  <c r="AD221" i="6"/>
  <c r="AE221" i="6"/>
  <c r="AF221" i="6"/>
  <c r="AG221" i="6"/>
  <c r="AH221" i="6"/>
  <c r="AI221" i="6"/>
  <c r="AJ221" i="6"/>
  <c r="AK221" i="6"/>
  <c r="D224" i="6"/>
  <c r="E224" i="6"/>
  <c r="F224" i="6"/>
  <c r="G224" i="6"/>
  <c r="H224" i="6"/>
  <c r="I224" i="6"/>
  <c r="J224" i="6"/>
  <c r="K224" i="6"/>
  <c r="L224" i="6"/>
  <c r="M224" i="6"/>
  <c r="N224" i="6"/>
  <c r="O224" i="6"/>
  <c r="P224" i="6"/>
  <c r="Q224" i="6"/>
  <c r="R224" i="6"/>
  <c r="S224" i="6"/>
  <c r="T224" i="6"/>
  <c r="U224" i="6"/>
  <c r="V224" i="6"/>
  <c r="W224" i="6"/>
  <c r="X224" i="6"/>
  <c r="Y224" i="6"/>
  <c r="Z224" i="6"/>
  <c r="AA224" i="6"/>
  <c r="AB224" i="6"/>
  <c r="AC224" i="6"/>
  <c r="AD224" i="6"/>
  <c r="AE224" i="6"/>
  <c r="AF224" i="6"/>
  <c r="AG224" i="6"/>
  <c r="AH224" i="6"/>
  <c r="AI224" i="6"/>
  <c r="AJ224" i="6"/>
  <c r="AK224" i="6"/>
  <c r="D225" i="6"/>
  <c r="E225" i="6"/>
  <c r="F225" i="6"/>
  <c r="G225" i="6"/>
  <c r="H225" i="6"/>
  <c r="I225" i="6"/>
  <c r="J225" i="6"/>
  <c r="K225" i="6"/>
  <c r="L225" i="6"/>
  <c r="M225" i="6"/>
  <c r="N225" i="6"/>
  <c r="O225" i="6"/>
  <c r="P225" i="6"/>
  <c r="Q225" i="6"/>
  <c r="R225" i="6"/>
  <c r="S225" i="6"/>
  <c r="T225" i="6"/>
  <c r="U225" i="6"/>
  <c r="V225" i="6"/>
  <c r="W225" i="6"/>
  <c r="X225" i="6"/>
  <c r="Y225" i="6"/>
  <c r="Z225" i="6"/>
  <c r="AA225" i="6"/>
  <c r="AB225" i="6"/>
  <c r="AC225" i="6"/>
  <c r="AD225" i="6"/>
  <c r="AE225" i="6"/>
  <c r="AF225" i="6"/>
  <c r="AG225" i="6"/>
  <c r="AH225" i="6"/>
  <c r="AI225" i="6"/>
  <c r="AJ225" i="6"/>
  <c r="AK225" i="6"/>
  <c r="D226" i="6"/>
  <c r="E226" i="6"/>
  <c r="F226" i="6"/>
  <c r="G226" i="6"/>
  <c r="H226" i="6"/>
  <c r="I226" i="6"/>
  <c r="J226" i="6"/>
  <c r="K226" i="6"/>
  <c r="L226" i="6"/>
  <c r="M226" i="6"/>
  <c r="N226" i="6"/>
  <c r="O226" i="6"/>
  <c r="P226" i="6"/>
  <c r="Q226" i="6"/>
  <c r="R226" i="6"/>
  <c r="S226" i="6"/>
  <c r="T226" i="6"/>
  <c r="U226" i="6"/>
  <c r="V226" i="6"/>
  <c r="W226" i="6"/>
  <c r="X226" i="6"/>
  <c r="Y226" i="6"/>
  <c r="Z226" i="6"/>
  <c r="AA226" i="6"/>
  <c r="AB226" i="6"/>
  <c r="AC226" i="6"/>
  <c r="AD226" i="6"/>
  <c r="AE226" i="6"/>
  <c r="AF226" i="6"/>
  <c r="AG226" i="6"/>
  <c r="AH226" i="6"/>
  <c r="AI226" i="6"/>
  <c r="AJ226" i="6"/>
  <c r="AK226" i="6"/>
  <c r="D229" i="6"/>
  <c r="E229" i="6"/>
  <c r="F229" i="6"/>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D230" i="6"/>
  <c r="E230" i="6"/>
  <c r="F230" i="6"/>
  <c r="G230" i="6"/>
  <c r="H230" i="6"/>
  <c r="I230" i="6"/>
  <c r="J230" i="6"/>
  <c r="K230" i="6"/>
  <c r="L230" i="6"/>
  <c r="M230" i="6"/>
  <c r="N230" i="6"/>
  <c r="O230" i="6"/>
  <c r="P230" i="6"/>
  <c r="Q230" i="6"/>
  <c r="R230" i="6"/>
  <c r="S230" i="6"/>
  <c r="T230" i="6"/>
  <c r="U230" i="6"/>
  <c r="V230" i="6"/>
  <c r="W230" i="6"/>
  <c r="X230" i="6"/>
  <c r="Y230" i="6"/>
  <c r="Z230" i="6"/>
  <c r="AA230" i="6"/>
  <c r="AB230" i="6"/>
  <c r="AC230" i="6"/>
  <c r="AD230" i="6"/>
  <c r="AE230" i="6"/>
  <c r="AF230" i="6"/>
  <c r="AG230" i="6"/>
  <c r="AH230" i="6"/>
  <c r="AI230" i="6"/>
  <c r="AJ230" i="6"/>
  <c r="AK230" i="6"/>
  <c r="D231" i="6"/>
  <c r="E231" i="6"/>
  <c r="F231" i="6"/>
  <c r="G231" i="6"/>
  <c r="H231" i="6"/>
  <c r="I231" i="6"/>
  <c r="J231" i="6"/>
  <c r="K231" i="6"/>
  <c r="L231" i="6"/>
  <c r="M231" i="6"/>
  <c r="N231" i="6"/>
  <c r="O231" i="6"/>
  <c r="P231" i="6"/>
  <c r="Q231" i="6"/>
  <c r="R231" i="6"/>
  <c r="S231" i="6"/>
  <c r="T231" i="6"/>
  <c r="U231" i="6"/>
  <c r="V231" i="6"/>
  <c r="W231" i="6"/>
  <c r="X231" i="6"/>
  <c r="Y231" i="6"/>
  <c r="Z231" i="6"/>
  <c r="AA231" i="6"/>
  <c r="AB231" i="6"/>
  <c r="AC231" i="6"/>
  <c r="AD231" i="6"/>
  <c r="AE231" i="6"/>
  <c r="AF231" i="6"/>
  <c r="AG231" i="6"/>
  <c r="AH231" i="6"/>
  <c r="AI231" i="6"/>
  <c r="AJ231" i="6"/>
  <c r="AK231" i="6"/>
  <c r="C231" i="6"/>
  <c r="C230" i="6"/>
  <c r="C229" i="6"/>
  <c r="C226" i="6"/>
  <c r="C221" i="6"/>
  <c r="C220" i="6"/>
  <c r="C219" i="6"/>
  <c r="C225" i="6"/>
  <c r="C224"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C5"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D213" i="6"/>
  <c r="C213" i="6"/>
  <c r="AK212" i="6"/>
  <c r="AJ212" i="6"/>
  <c r="AI212" i="6"/>
  <c r="AH212" i="6"/>
  <c r="AG212" i="6"/>
  <c r="AF212" i="6"/>
  <c r="AE212" i="6"/>
  <c r="AD212" i="6"/>
  <c r="AC212" i="6"/>
  <c r="AB212" i="6"/>
  <c r="AA212" i="6"/>
  <c r="Z212" i="6"/>
  <c r="Y212" i="6"/>
  <c r="X212" i="6"/>
  <c r="W212" i="6"/>
  <c r="V212" i="6"/>
  <c r="U212" i="6"/>
  <c r="T212" i="6"/>
  <c r="S212" i="6"/>
  <c r="R212" i="6"/>
  <c r="Q212" i="6"/>
  <c r="P212" i="6"/>
  <c r="O212" i="6"/>
  <c r="N212" i="6"/>
  <c r="M212" i="6"/>
  <c r="L212" i="6"/>
  <c r="K212" i="6"/>
  <c r="J212" i="6"/>
  <c r="I212" i="6"/>
  <c r="H212" i="6"/>
  <c r="G212" i="6"/>
  <c r="F212" i="6"/>
  <c r="E212" i="6"/>
  <c r="D212" i="6"/>
  <c r="C212" i="6"/>
  <c r="AK211" i="6"/>
  <c r="AJ211" i="6"/>
  <c r="AI211" i="6"/>
  <c r="AH211" i="6"/>
  <c r="AG211" i="6"/>
  <c r="AF211" i="6"/>
  <c r="AE211" i="6"/>
  <c r="AD211" i="6"/>
  <c r="AC211" i="6"/>
  <c r="AB211" i="6"/>
  <c r="AA211" i="6"/>
  <c r="Z211" i="6"/>
  <c r="Y211" i="6"/>
  <c r="X211" i="6"/>
  <c r="W211" i="6"/>
  <c r="V211" i="6"/>
  <c r="U211" i="6"/>
  <c r="T211" i="6"/>
  <c r="S211" i="6"/>
  <c r="R211" i="6"/>
  <c r="Q211" i="6"/>
  <c r="P211" i="6"/>
  <c r="O211" i="6"/>
  <c r="N211" i="6"/>
  <c r="M211" i="6"/>
  <c r="L211" i="6"/>
  <c r="K211" i="6"/>
  <c r="J211" i="6"/>
  <c r="I211" i="6"/>
  <c r="H211" i="6"/>
  <c r="G211" i="6"/>
  <c r="F211" i="6"/>
  <c r="E211" i="6"/>
  <c r="D211" i="6"/>
  <c r="C211" i="6"/>
  <c r="AK169" i="6"/>
  <c r="AK150" i="6"/>
  <c r="AJ169" i="6"/>
  <c r="AJ150" i="6"/>
  <c r="AI169" i="6"/>
  <c r="AI150" i="6"/>
  <c r="AH169" i="6"/>
  <c r="AH150" i="6"/>
  <c r="AG169" i="6"/>
  <c r="AG150" i="6"/>
  <c r="AF169" i="6"/>
  <c r="AF150" i="6"/>
  <c r="AE169" i="6"/>
  <c r="AE150" i="6"/>
  <c r="AD169" i="6"/>
  <c r="AD150" i="6"/>
  <c r="AC169" i="6"/>
  <c r="AC150" i="6"/>
  <c r="AB169" i="6"/>
  <c r="AB150" i="6"/>
  <c r="AA169" i="6"/>
  <c r="AA150" i="6"/>
  <c r="Z169" i="6"/>
  <c r="Z150" i="6"/>
  <c r="Y169" i="6"/>
  <c r="Y150" i="6"/>
  <c r="X169" i="6"/>
  <c r="X150" i="6"/>
  <c r="W169" i="6"/>
  <c r="W150" i="6"/>
  <c r="V169" i="6"/>
  <c r="V150" i="6"/>
  <c r="U169" i="6"/>
  <c r="U150" i="6"/>
  <c r="T169" i="6"/>
  <c r="T150" i="6"/>
  <c r="S169" i="6"/>
  <c r="S150" i="6"/>
  <c r="R169" i="6"/>
  <c r="R150" i="6"/>
  <c r="Q169" i="6"/>
  <c r="Q150" i="6"/>
  <c r="P169" i="6"/>
  <c r="P150" i="6"/>
  <c r="O169" i="6"/>
  <c r="O150" i="6"/>
  <c r="N169" i="6"/>
  <c r="N150" i="6"/>
  <c r="M169" i="6"/>
  <c r="M150" i="6"/>
  <c r="L169" i="6"/>
  <c r="L150" i="6"/>
  <c r="K169" i="6"/>
  <c r="K150" i="6"/>
  <c r="J169" i="6"/>
  <c r="J150" i="6"/>
  <c r="I169" i="6"/>
  <c r="I150" i="6"/>
  <c r="H169" i="6"/>
  <c r="H150" i="6"/>
  <c r="G169" i="6"/>
  <c r="G150" i="6"/>
  <c r="F169" i="6"/>
  <c r="F150" i="6"/>
  <c r="E169" i="6"/>
  <c r="E150" i="6"/>
  <c r="D169" i="6"/>
  <c r="D150" i="6"/>
  <c r="C169" i="6"/>
  <c r="C150" i="6"/>
  <c r="AK168" i="6"/>
  <c r="AK149" i="6"/>
  <c r="AJ168" i="6"/>
  <c r="AJ149" i="6"/>
  <c r="AI168" i="6"/>
  <c r="AI149" i="6"/>
  <c r="AH168" i="6"/>
  <c r="AH149" i="6"/>
  <c r="AG168" i="6"/>
  <c r="AG149" i="6"/>
  <c r="AF168" i="6"/>
  <c r="AF149" i="6"/>
  <c r="AE168" i="6"/>
  <c r="AE149" i="6"/>
  <c r="AD168" i="6"/>
  <c r="AD149" i="6"/>
  <c r="AC168" i="6"/>
  <c r="AC149" i="6"/>
  <c r="AB168" i="6"/>
  <c r="AB149" i="6"/>
  <c r="AA168" i="6"/>
  <c r="AA149" i="6"/>
  <c r="Z168" i="6"/>
  <c r="Z149" i="6"/>
  <c r="Y168" i="6"/>
  <c r="Y149" i="6"/>
  <c r="X168" i="6"/>
  <c r="X149" i="6"/>
  <c r="W168" i="6"/>
  <c r="W149" i="6"/>
  <c r="V168" i="6"/>
  <c r="V149" i="6"/>
  <c r="U168" i="6"/>
  <c r="U149" i="6"/>
  <c r="T168" i="6"/>
  <c r="T149" i="6"/>
  <c r="S168" i="6"/>
  <c r="S149" i="6"/>
  <c r="R168" i="6"/>
  <c r="R149" i="6"/>
  <c r="Q168" i="6"/>
  <c r="Q149" i="6"/>
  <c r="P168" i="6"/>
  <c r="P149" i="6"/>
  <c r="O168" i="6"/>
  <c r="O149" i="6"/>
  <c r="N168" i="6"/>
  <c r="N149" i="6"/>
  <c r="M168" i="6"/>
  <c r="M149" i="6"/>
  <c r="L168" i="6"/>
  <c r="L149" i="6"/>
  <c r="K168" i="6"/>
  <c r="K149" i="6"/>
  <c r="J168" i="6"/>
  <c r="J149" i="6"/>
  <c r="I168" i="6"/>
  <c r="I149" i="6"/>
  <c r="H168" i="6"/>
  <c r="H149" i="6"/>
  <c r="G168" i="6"/>
  <c r="G149" i="6"/>
  <c r="F168" i="6"/>
  <c r="F149" i="6"/>
  <c r="E168" i="6"/>
  <c r="E149" i="6"/>
  <c r="D168" i="6"/>
  <c r="D149" i="6"/>
  <c r="C168" i="6"/>
  <c r="C149" i="6"/>
  <c r="AK167" i="6"/>
  <c r="AK147" i="6"/>
  <c r="AJ167" i="6"/>
  <c r="AJ147" i="6"/>
  <c r="AI167" i="6"/>
  <c r="AI147" i="6"/>
  <c r="AH167" i="6"/>
  <c r="AH147" i="6"/>
  <c r="AG167" i="6"/>
  <c r="AG147" i="6"/>
  <c r="AF167" i="6"/>
  <c r="AF147" i="6"/>
  <c r="AE167" i="6"/>
  <c r="AE147" i="6"/>
  <c r="AD167" i="6"/>
  <c r="AD147" i="6"/>
  <c r="AC167" i="6"/>
  <c r="AC147" i="6"/>
  <c r="AB167" i="6"/>
  <c r="AB147" i="6"/>
  <c r="AA167" i="6"/>
  <c r="AA147" i="6"/>
  <c r="Z167" i="6"/>
  <c r="Z147" i="6"/>
  <c r="Y167" i="6"/>
  <c r="Y147" i="6"/>
  <c r="X167" i="6"/>
  <c r="X147" i="6"/>
  <c r="W167" i="6"/>
  <c r="W147" i="6"/>
  <c r="V167" i="6"/>
  <c r="V147" i="6"/>
  <c r="U167" i="6"/>
  <c r="U147" i="6"/>
  <c r="T167" i="6"/>
  <c r="T147" i="6"/>
  <c r="S167" i="6"/>
  <c r="S147" i="6"/>
  <c r="R167" i="6"/>
  <c r="R147" i="6"/>
  <c r="Q167" i="6"/>
  <c r="Q147" i="6"/>
  <c r="P167" i="6"/>
  <c r="P147" i="6"/>
  <c r="O167" i="6"/>
  <c r="O147" i="6"/>
  <c r="N167" i="6"/>
  <c r="N147" i="6"/>
  <c r="M167" i="6"/>
  <c r="M147" i="6"/>
  <c r="L167" i="6"/>
  <c r="L147" i="6"/>
  <c r="K167" i="6"/>
  <c r="K147" i="6"/>
  <c r="J167" i="6"/>
  <c r="J147" i="6"/>
  <c r="I167" i="6"/>
  <c r="I147" i="6"/>
  <c r="H167" i="6"/>
  <c r="H147" i="6"/>
  <c r="G167" i="6"/>
  <c r="G147" i="6"/>
  <c r="F167" i="6"/>
  <c r="F147" i="6"/>
  <c r="E167" i="6"/>
  <c r="E147" i="6"/>
  <c r="D167" i="6"/>
  <c r="D147" i="6"/>
  <c r="C167" i="6"/>
  <c r="C147" i="6"/>
  <c r="AK166" i="6"/>
  <c r="AK146" i="6"/>
  <c r="AJ166" i="6"/>
  <c r="AJ146" i="6"/>
  <c r="AI166" i="6"/>
  <c r="AI146" i="6"/>
  <c r="AH166" i="6"/>
  <c r="AH146" i="6"/>
  <c r="AG166" i="6"/>
  <c r="AG146" i="6"/>
  <c r="AF166" i="6"/>
  <c r="AF146" i="6"/>
  <c r="AE166" i="6"/>
  <c r="AE146" i="6"/>
  <c r="AD166" i="6"/>
  <c r="AD146" i="6"/>
  <c r="AC166" i="6"/>
  <c r="AC146" i="6"/>
  <c r="AB166" i="6"/>
  <c r="AB146" i="6"/>
  <c r="AA166" i="6"/>
  <c r="AA146" i="6"/>
  <c r="Z166" i="6"/>
  <c r="Z146" i="6"/>
  <c r="Y166" i="6"/>
  <c r="Y146" i="6"/>
  <c r="X166" i="6"/>
  <c r="X146" i="6"/>
  <c r="W166" i="6"/>
  <c r="W146" i="6"/>
  <c r="V166" i="6"/>
  <c r="V146" i="6"/>
  <c r="U166" i="6"/>
  <c r="U146" i="6"/>
  <c r="T166" i="6"/>
  <c r="T146" i="6"/>
  <c r="S166" i="6"/>
  <c r="S146" i="6"/>
  <c r="R166" i="6"/>
  <c r="R146" i="6"/>
  <c r="Q166" i="6"/>
  <c r="Q146" i="6"/>
  <c r="P166" i="6"/>
  <c r="P146" i="6"/>
  <c r="O166" i="6"/>
  <c r="O146" i="6"/>
  <c r="N166" i="6"/>
  <c r="N146" i="6"/>
  <c r="M166" i="6"/>
  <c r="M146" i="6"/>
  <c r="L166" i="6"/>
  <c r="L146" i="6"/>
  <c r="K166" i="6"/>
  <c r="K146" i="6"/>
  <c r="J166" i="6"/>
  <c r="J146" i="6"/>
  <c r="I166" i="6"/>
  <c r="I146" i="6"/>
  <c r="H166" i="6"/>
  <c r="H146" i="6"/>
  <c r="G166" i="6"/>
  <c r="G146" i="6"/>
  <c r="F166" i="6"/>
  <c r="F146" i="6"/>
  <c r="E166" i="6"/>
  <c r="E146" i="6"/>
  <c r="D166" i="6"/>
  <c r="D146" i="6"/>
  <c r="C166" i="6"/>
  <c r="C146" i="6"/>
  <c r="AK165" i="6"/>
  <c r="AK145" i="6"/>
  <c r="AJ165" i="6"/>
  <c r="AJ145" i="6"/>
  <c r="AI165" i="6"/>
  <c r="AI145" i="6"/>
  <c r="AH165" i="6"/>
  <c r="AH145" i="6"/>
  <c r="AG165" i="6"/>
  <c r="AG145" i="6"/>
  <c r="AF165" i="6"/>
  <c r="AF145" i="6"/>
  <c r="AE165" i="6"/>
  <c r="AE145" i="6"/>
  <c r="AD165" i="6"/>
  <c r="AD145" i="6"/>
  <c r="AC165" i="6"/>
  <c r="AC145" i="6"/>
  <c r="AB165" i="6"/>
  <c r="AB145" i="6"/>
  <c r="AA165" i="6"/>
  <c r="AA145" i="6"/>
  <c r="Z165" i="6"/>
  <c r="Z145" i="6"/>
  <c r="Y165" i="6"/>
  <c r="Y145" i="6"/>
  <c r="X165" i="6"/>
  <c r="X145" i="6"/>
  <c r="W165" i="6"/>
  <c r="W145" i="6"/>
  <c r="V165" i="6"/>
  <c r="V145" i="6"/>
  <c r="U165" i="6"/>
  <c r="U145" i="6"/>
  <c r="T165" i="6"/>
  <c r="T145" i="6"/>
  <c r="S165" i="6"/>
  <c r="S145" i="6"/>
  <c r="R165" i="6"/>
  <c r="R145" i="6"/>
  <c r="Q165" i="6"/>
  <c r="Q145" i="6"/>
  <c r="P165" i="6"/>
  <c r="P145" i="6"/>
  <c r="O165" i="6"/>
  <c r="O145" i="6"/>
  <c r="N165" i="6"/>
  <c r="N145" i="6"/>
  <c r="M165" i="6"/>
  <c r="M145" i="6"/>
  <c r="L165" i="6"/>
  <c r="L145" i="6"/>
  <c r="K165" i="6"/>
  <c r="K145" i="6"/>
  <c r="J165" i="6"/>
  <c r="J145" i="6"/>
  <c r="I165" i="6"/>
  <c r="I145" i="6"/>
  <c r="H165" i="6"/>
  <c r="H145" i="6"/>
  <c r="G165" i="6"/>
  <c r="G145" i="6"/>
  <c r="F165" i="6"/>
  <c r="F145" i="6"/>
  <c r="E165" i="6"/>
  <c r="E145" i="6"/>
  <c r="D165" i="6"/>
  <c r="D145" i="6"/>
  <c r="C165" i="6"/>
  <c r="C145" i="6"/>
  <c r="AK164" i="6"/>
  <c r="AK144" i="6"/>
  <c r="AJ164" i="6"/>
  <c r="AJ144" i="6"/>
  <c r="AI164" i="6"/>
  <c r="AI144" i="6"/>
  <c r="AH164" i="6"/>
  <c r="AH144" i="6"/>
  <c r="AG164" i="6"/>
  <c r="AG144" i="6"/>
  <c r="AF164" i="6"/>
  <c r="AF144" i="6"/>
  <c r="AE164" i="6"/>
  <c r="AE144" i="6"/>
  <c r="AD164" i="6"/>
  <c r="AD144" i="6"/>
  <c r="AC164" i="6"/>
  <c r="AC144" i="6"/>
  <c r="AB164" i="6"/>
  <c r="AB144" i="6"/>
  <c r="AA164" i="6"/>
  <c r="AA144" i="6"/>
  <c r="Z164" i="6"/>
  <c r="Z144" i="6"/>
  <c r="Y164" i="6"/>
  <c r="Y144" i="6"/>
  <c r="X164" i="6"/>
  <c r="X144" i="6"/>
  <c r="W164" i="6"/>
  <c r="W144" i="6"/>
  <c r="V164" i="6"/>
  <c r="V144" i="6"/>
  <c r="U164" i="6"/>
  <c r="U144" i="6"/>
  <c r="T164" i="6"/>
  <c r="T144" i="6"/>
  <c r="S164" i="6"/>
  <c r="S144" i="6"/>
  <c r="R164" i="6"/>
  <c r="R144" i="6"/>
  <c r="Q164" i="6"/>
  <c r="Q144" i="6"/>
  <c r="P164" i="6"/>
  <c r="P144" i="6"/>
  <c r="O164" i="6"/>
  <c r="O144" i="6"/>
  <c r="N164" i="6"/>
  <c r="N144" i="6"/>
  <c r="M164" i="6"/>
  <c r="M144" i="6"/>
  <c r="L164" i="6"/>
  <c r="L144" i="6"/>
  <c r="K164" i="6"/>
  <c r="K144" i="6"/>
  <c r="J164" i="6"/>
  <c r="J144" i="6"/>
  <c r="I164" i="6"/>
  <c r="I144" i="6"/>
  <c r="H164" i="6"/>
  <c r="H144" i="6"/>
  <c r="G164" i="6"/>
  <c r="G144" i="6"/>
  <c r="F164" i="6"/>
  <c r="F144" i="6"/>
  <c r="E164" i="6"/>
  <c r="E144" i="6"/>
  <c r="D164" i="6"/>
  <c r="D144" i="6"/>
  <c r="C164" i="6"/>
  <c r="C144" i="6"/>
  <c r="AK163" i="6"/>
  <c r="AK142" i="6"/>
  <c r="AJ163" i="6"/>
  <c r="AJ142" i="6"/>
  <c r="AI163" i="6"/>
  <c r="AI142" i="6"/>
  <c r="AH163" i="6"/>
  <c r="AH142" i="6"/>
  <c r="AG163" i="6"/>
  <c r="AG142" i="6"/>
  <c r="AF163" i="6"/>
  <c r="AF142" i="6"/>
  <c r="AE163" i="6"/>
  <c r="AE142" i="6"/>
  <c r="AD163" i="6"/>
  <c r="AD142" i="6"/>
  <c r="AC163" i="6"/>
  <c r="AC142" i="6"/>
  <c r="AB163" i="6"/>
  <c r="AB142" i="6"/>
  <c r="AA163" i="6"/>
  <c r="AA142" i="6"/>
  <c r="Z163" i="6"/>
  <c r="Z142" i="6"/>
  <c r="Y163" i="6"/>
  <c r="Y142" i="6"/>
  <c r="X163" i="6"/>
  <c r="X142" i="6"/>
  <c r="W163" i="6"/>
  <c r="W142" i="6"/>
  <c r="V163" i="6"/>
  <c r="V142" i="6"/>
  <c r="U163" i="6"/>
  <c r="U142" i="6"/>
  <c r="T163" i="6"/>
  <c r="T142" i="6"/>
  <c r="S163" i="6"/>
  <c r="S142" i="6"/>
  <c r="R163" i="6"/>
  <c r="R142" i="6"/>
  <c r="Q163" i="6"/>
  <c r="Q142" i="6"/>
  <c r="P163" i="6"/>
  <c r="P142" i="6"/>
  <c r="O163" i="6"/>
  <c r="O142" i="6"/>
  <c r="N163" i="6"/>
  <c r="N142" i="6"/>
  <c r="M163" i="6"/>
  <c r="M142" i="6"/>
  <c r="L163" i="6"/>
  <c r="L142" i="6"/>
  <c r="K163" i="6"/>
  <c r="K142" i="6"/>
  <c r="J163" i="6"/>
  <c r="J142" i="6"/>
  <c r="I163" i="6"/>
  <c r="I142" i="6"/>
  <c r="H163" i="6"/>
  <c r="H142" i="6"/>
  <c r="G163" i="6"/>
  <c r="G142" i="6"/>
  <c r="F163" i="6"/>
  <c r="F142" i="6"/>
  <c r="E163" i="6"/>
  <c r="E142" i="6"/>
  <c r="D163" i="6"/>
  <c r="D142" i="6"/>
  <c r="C163" i="6"/>
  <c r="C142" i="6"/>
  <c r="AK162" i="6"/>
  <c r="AK141" i="6"/>
  <c r="AJ162" i="6"/>
  <c r="AJ141" i="6"/>
  <c r="AI162" i="6"/>
  <c r="AI141" i="6"/>
  <c r="AH162" i="6"/>
  <c r="AH141" i="6"/>
  <c r="AG162" i="6"/>
  <c r="AG141" i="6"/>
  <c r="AF162" i="6"/>
  <c r="AF141" i="6"/>
  <c r="AE162" i="6"/>
  <c r="AE141" i="6"/>
  <c r="AD162" i="6"/>
  <c r="AD141" i="6"/>
  <c r="AC162" i="6"/>
  <c r="AC141" i="6"/>
  <c r="AB162" i="6"/>
  <c r="AB141" i="6"/>
  <c r="AA162" i="6"/>
  <c r="AA141" i="6"/>
  <c r="Z162" i="6"/>
  <c r="Z141" i="6"/>
  <c r="Y162" i="6"/>
  <c r="Y141" i="6"/>
  <c r="X162" i="6"/>
  <c r="X141" i="6"/>
  <c r="W162" i="6"/>
  <c r="W141" i="6"/>
  <c r="V162" i="6"/>
  <c r="V141" i="6"/>
  <c r="U162" i="6"/>
  <c r="U141" i="6"/>
  <c r="T162" i="6"/>
  <c r="T141" i="6"/>
  <c r="S162" i="6"/>
  <c r="S141" i="6"/>
  <c r="R162" i="6"/>
  <c r="R141" i="6"/>
  <c r="Q162" i="6"/>
  <c r="Q141" i="6"/>
  <c r="P162" i="6"/>
  <c r="P141" i="6"/>
  <c r="O162" i="6"/>
  <c r="O141" i="6"/>
  <c r="N162" i="6"/>
  <c r="N141" i="6"/>
  <c r="M162" i="6"/>
  <c r="M141" i="6"/>
  <c r="L162" i="6"/>
  <c r="L141" i="6"/>
  <c r="K162" i="6"/>
  <c r="K141" i="6"/>
  <c r="J162" i="6"/>
  <c r="J141" i="6"/>
  <c r="I162" i="6"/>
  <c r="I141" i="6"/>
  <c r="H162" i="6"/>
  <c r="H141" i="6"/>
  <c r="G162" i="6"/>
  <c r="G141" i="6"/>
  <c r="F162" i="6"/>
  <c r="F141" i="6"/>
  <c r="E162" i="6"/>
  <c r="E141" i="6"/>
  <c r="D162" i="6"/>
  <c r="D141" i="6"/>
  <c r="C162" i="6"/>
  <c r="C141" i="6"/>
  <c r="AK161" i="6"/>
  <c r="AK140" i="6"/>
  <c r="AJ161" i="6"/>
  <c r="AJ140" i="6"/>
  <c r="AI161" i="6"/>
  <c r="AI140" i="6"/>
  <c r="AH161" i="6"/>
  <c r="AH140" i="6"/>
  <c r="AG161" i="6"/>
  <c r="AG140" i="6"/>
  <c r="AF161" i="6"/>
  <c r="AF140" i="6"/>
  <c r="AE161" i="6"/>
  <c r="AE140" i="6"/>
  <c r="AD161" i="6"/>
  <c r="AD140" i="6"/>
  <c r="AC161" i="6"/>
  <c r="AC140" i="6"/>
  <c r="AB161" i="6"/>
  <c r="AB140" i="6"/>
  <c r="AA161" i="6"/>
  <c r="AA140" i="6"/>
  <c r="Z161" i="6"/>
  <c r="Z140" i="6"/>
  <c r="Y161" i="6"/>
  <c r="Y140" i="6"/>
  <c r="X161" i="6"/>
  <c r="X140" i="6"/>
  <c r="W161" i="6"/>
  <c r="W140" i="6"/>
  <c r="V161" i="6"/>
  <c r="V140" i="6"/>
  <c r="U161" i="6"/>
  <c r="U140" i="6"/>
  <c r="T161" i="6"/>
  <c r="T140" i="6"/>
  <c r="S161" i="6"/>
  <c r="S140" i="6"/>
  <c r="R161" i="6"/>
  <c r="R140" i="6"/>
  <c r="Q161" i="6"/>
  <c r="Q140" i="6"/>
  <c r="P161" i="6"/>
  <c r="P140" i="6"/>
  <c r="O161" i="6"/>
  <c r="O140" i="6"/>
  <c r="N161" i="6"/>
  <c r="N140" i="6"/>
  <c r="M161" i="6"/>
  <c r="M140" i="6"/>
  <c r="L161" i="6"/>
  <c r="L140" i="6"/>
  <c r="K161" i="6"/>
  <c r="K140" i="6"/>
  <c r="J161" i="6"/>
  <c r="J140" i="6"/>
  <c r="I161" i="6"/>
  <c r="I140" i="6"/>
  <c r="H161" i="6"/>
  <c r="H140" i="6"/>
  <c r="G161" i="6"/>
  <c r="G140" i="6"/>
  <c r="F161" i="6"/>
  <c r="F140" i="6"/>
  <c r="E161" i="6"/>
  <c r="E140" i="6"/>
  <c r="D161" i="6"/>
  <c r="D140" i="6"/>
  <c r="C161" i="6"/>
  <c r="C140" i="6"/>
  <c r="AK160" i="6"/>
  <c r="AK139" i="6"/>
  <c r="AJ160" i="6"/>
  <c r="AJ139" i="6"/>
  <c r="AI160" i="6"/>
  <c r="AI139" i="6"/>
  <c r="AH160" i="6"/>
  <c r="AH139" i="6"/>
  <c r="AG160" i="6"/>
  <c r="AG139" i="6"/>
  <c r="AF160" i="6"/>
  <c r="AF139" i="6"/>
  <c r="AE160" i="6"/>
  <c r="AE139" i="6"/>
  <c r="AD160" i="6"/>
  <c r="AD139" i="6"/>
  <c r="AC160" i="6"/>
  <c r="AC139" i="6"/>
  <c r="AB160" i="6"/>
  <c r="AB139" i="6"/>
  <c r="AA160" i="6"/>
  <c r="AA139" i="6"/>
  <c r="Z160" i="6"/>
  <c r="Z139" i="6"/>
  <c r="Y160" i="6"/>
  <c r="Y139" i="6"/>
  <c r="X160" i="6"/>
  <c r="X139" i="6"/>
  <c r="W160" i="6"/>
  <c r="W139" i="6"/>
  <c r="V160" i="6"/>
  <c r="V139" i="6"/>
  <c r="U160" i="6"/>
  <c r="U139" i="6"/>
  <c r="T160" i="6"/>
  <c r="T139" i="6"/>
  <c r="S160" i="6"/>
  <c r="S139" i="6"/>
  <c r="R160" i="6"/>
  <c r="R139" i="6"/>
  <c r="Q160" i="6"/>
  <c r="Q139" i="6"/>
  <c r="P160" i="6"/>
  <c r="P139" i="6"/>
  <c r="O160" i="6"/>
  <c r="O139" i="6"/>
  <c r="N160" i="6"/>
  <c r="N139" i="6"/>
  <c r="M160" i="6"/>
  <c r="M139" i="6"/>
  <c r="L160" i="6"/>
  <c r="L139" i="6"/>
  <c r="K160" i="6"/>
  <c r="K139" i="6"/>
  <c r="J160" i="6"/>
  <c r="J139" i="6"/>
  <c r="I160" i="6"/>
  <c r="I139" i="6"/>
  <c r="H160" i="6"/>
  <c r="H139" i="6"/>
  <c r="G160" i="6"/>
  <c r="G139" i="6"/>
  <c r="F160" i="6"/>
  <c r="F139" i="6"/>
  <c r="E160" i="6"/>
  <c r="E139" i="6"/>
  <c r="D160" i="6"/>
  <c r="D139" i="6"/>
  <c r="C160" i="6"/>
  <c r="C139" i="6"/>
  <c r="AK159" i="6"/>
  <c r="AK138" i="6"/>
  <c r="AJ159" i="6"/>
  <c r="AJ138" i="6"/>
  <c r="AI159" i="6"/>
  <c r="AI138" i="6"/>
  <c r="AH159" i="6"/>
  <c r="AH138" i="6"/>
  <c r="AG159" i="6"/>
  <c r="AG138" i="6"/>
  <c r="AF159" i="6"/>
  <c r="AF138" i="6"/>
  <c r="AE159" i="6"/>
  <c r="AE138" i="6"/>
  <c r="AD159" i="6"/>
  <c r="AD138" i="6"/>
  <c r="AC159" i="6"/>
  <c r="AC138" i="6"/>
  <c r="AB159" i="6"/>
  <c r="AB138" i="6"/>
  <c r="AA159" i="6"/>
  <c r="AA138" i="6"/>
  <c r="Z159" i="6"/>
  <c r="Z138" i="6"/>
  <c r="Y159" i="6"/>
  <c r="Y138" i="6"/>
  <c r="X159" i="6"/>
  <c r="X138" i="6"/>
  <c r="W159" i="6"/>
  <c r="W138" i="6"/>
  <c r="V159" i="6"/>
  <c r="V138" i="6"/>
  <c r="U159" i="6"/>
  <c r="U138" i="6"/>
  <c r="T159" i="6"/>
  <c r="T138" i="6"/>
  <c r="S159" i="6"/>
  <c r="S138" i="6"/>
  <c r="R159" i="6"/>
  <c r="R138" i="6"/>
  <c r="Q159" i="6"/>
  <c r="Q138" i="6"/>
  <c r="P159" i="6"/>
  <c r="P138" i="6"/>
  <c r="O159" i="6"/>
  <c r="O138" i="6"/>
  <c r="N159" i="6"/>
  <c r="N138" i="6"/>
  <c r="M159" i="6"/>
  <c r="M138" i="6"/>
  <c r="L159" i="6"/>
  <c r="L138" i="6"/>
  <c r="K159" i="6"/>
  <c r="K138" i="6"/>
  <c r="J159" i="6"/>
  <c r="J138" i="6"/>
  <c r="I159" i="6"/>
  <c r="I138" i="6"/>
  <c r="H159" i="6"/>
  <c r="H138" i="6"/>
  <c r="G159" i="6"/>
  <c r="G138" i="6"/>
  <c r="F159" i="6"/>
  <c r="F138" i="6"/>
  <c r="E159" i="6"/>
  <c r="E138" i="6"/>
  <c r="D159" i="6"/>
  <c r="D138" i="6"/>
  <c r="C159" i="6"/>
  <c r="C138" i="6"/>
  <c r="AJ137" i="6"/>
  <c r="AI137" i="6"/>
  <c r="AH137" i="6"/>
  <c r="AG137" i="6"/>
  <c r="AF137" i="6"/>
  <c r="AE137" i="6"/>
  <c r="AD137" i="6"/>
  <c r="AC137" i="6"/>
  <c r="AB137" i="6"/>
  <c r="AA137" i="6"/>
  <c r="Z137" i="6"/>
  <c r="Y137" i="6"/>
  <c r="X137" i="6"/>
  <c r="W137" i="6"/>
  <c r="V137" i="6"/>
  <c r="U137" i="6"/>
  <c r="T137" i="6"/>
  <c r="S137" i="6"/>
  <c r="R137" i="6"/>
  <c r="Q137" i="6"/>
  <c r="P137" i="6"/>
  <c r="O137" i="6"/>
  <c r="N137" i="6"/>
  <c r="M137" i="6"/>
  <c r="L137" i="6"/>
  <c r="K137" i="6"/>
  <c r="J137" i="6"/>
  <c r="I137" i="6"/>
  <c r="H137" i="6"/>
  <c r="G137" i="6"/>
  <c r="F137" i="6"/>
  <c r="E137" i="6"/>
  <c r="D137" i="6"/>
  <c r="C137" i="6"/>
  <c r="AJ135" i="6"/>
  <c r="AI135" i="6"/>
  <c r="AH135" i="6"/>
  <c r="AG135" i="6"/>
  <c r="AF135" i="6"/>
  <c r="AE135" i="6"/>
  <c r="AD135" i="6"/>
  <c r="AC135" i="6"/>
  <c r="AB135" i="6"/>
  <c r="AA135" i="6"/>
  <c r="Z135" i="6"/>
  <c r="Y135" i="6"/>
  <c r="X135" i="6"/>
  <c r="W135" i="6"/>
  <c r="V135" i="6"/>
  <c r="U135" i="6"/>
  <c r="T135" i="6"/>
  <c r="S135" i="6"/>
  <c r="R135" i="6"/>
  <c r="Q135" i="6"/>
  <c r="P135" i="6"/>
  <c r="O135" i="6"/>
  <c r="N135" i="6"/>
  <c r="M135" i="6"/>
  <c r="L135" i="6"/>
  <c r="K135" i="6"/>
  <c r="J135" i="6"/>
  <c r="I135" i="6"/>
  <c r="H135" i="6"/>
  <c r="G135" i="6"/>
  <c r="F135" i="6"/>
  <c r="E135" i="6"/>
  <c r="D135" i="6"/>
  <c r="C135" i="6"/>
  <c r="AJ133" i="6"/>
  <c r="AI133" i="6"/>
  <c r="AH133" i="6"/>
  <c r="AG133" i="6"/>
  <c r="AF133" i="6"/>
  <c r="AE133" i="6"/>
  <c r="AD133" i="6"/>
  <c r="AC133" i="6"/>
  <c r="AB133" i="6"/>
  <c r="AA133" i="6"/>
  <c r="Z133" i="6"/>
  <c r="Y133" i="6"/>
  <c r="X133" i="6"/>
  <c r="W133" i="6"/>
  <c r="V133" i="6"/>
  <c r="U133" i="6"/>
  <c r="T133" i="6"/>
  <c r="S133" i="6"/>
  <c r="R133" i="6"/>
  <c r="Q133" i="6"/>
  <c r="P133" i="6"/>
  <c r="O133" i="6"/>
  <c r="N133" i="6"/>
  <c r="M133" i="6"/>
  <c r="L133" i="6"/>
  <c r="K133" i="6"/>
  <c r="J133" i="6"/>
  <c r="I133" i="6"/>
  <c r="H133" i="6"/>
  <c r="G133" i="6"/>
  <c r="F133" i="6"/>
  <c r="E133" i="6"/>
  <c r="D133" i="6"/>
  <c r="C133" i="6"/>
  <c r="AJ128" i="6"/>
  <c r="AI128" i="6"/>
  <c r="AH128" i="6"/>
  <c r="AG128" i="6"/>
  <c r="AF128" i="6"/>
  <c r="AE128" i="6"/>
  <c r="AD128" i="6"/>
  <c r="AC128" i="6"/>
  <c r="AB128" i="6"/>
  <c r="AA128" i="6"/>
  <c r="Z128" i="6"/>
  <c r="Y128" i="6"/>
  <c r="X128" i="6"/>
  <c r="W128" i="6"/>
  <c r="V128" i="6"/>
  <c r="U128" i="6"/>
  <c r="T128" i="6"/>
  <c r="S128" i="6"/>
  <c r="R128" i="6"/>
  <c r="Q128" i="6"/>
  <c r="P128" i="6"/>
  <c r="O128" i="6"/>
  <c r="N128" i="6"/>
  <c r="M128" i="6"/>
  <c r="L128" i="6"/>
  <c r="K128" i="6"/>
  <c r="J128" i="6"/>
  <c r="I128" i="6"/>
  <c r="H128" i="6"/>
  <c r="G128" i="6"/>
  <c r="F128" i="6"/>
  <c r="E128" i="6"/>
  <c r="D128" i="6"/>
  <c r="C128" i="6"/>
  <c r="AJ127" i="6"/>
  <c r="AI127" i="6"/>
  <c r="AH127" i="6"/>
  <c r="AG127" i="6"/>
  <c r="AF127" i="6"/>
  <c r="AE127" i="6"/>
  <c r="AD127" i="6"/>
  <c r="AC127" i="6"/>
  <c r="AB127" i="6"/>
  <c r="AA127" i="6"/>
  <c r="Z127" i="6"/>
  <c r="Y127" i="6"/>
  <c r="X127" i="6"/>
  <c r="W127" i="6"/>
  <c r="V127" i="6"/>
  <c r="U127" i="6"/>
  <c r="T127" i="6"/>
  <c r="S127" i="6"/>
  <c r="R127" i="6"/>
  <c r="Q127" i="6"/>
  <c r="P127" i="6"/>
  <c r="O127" i="6"/>
  <c r="N127" i="6"/>
  <c r="M127" i="6"/>
  <c r="L127" i="6"/>
  <c r="K127" i="6"/>
  <c r="J127" i="6"/>
  <c r="I127" i="6"/>
  <c r="H127" i="6"/>
  <c r="G127" i="6"/>
  <c r="F127" i="6"/>
  <c r="E127" i="6"/>
  <c r="D127" i="6"/>
  <c r="C127" i="6"/>
  <c r="AJ126" i="6"/>
  <c r="AI126" i="6"/>
  <c r="AH126" i="6"/>
  <c r="AG126" i="6"/>
  <c r="AF126" i="6"/>
  <c r="AE126" i="6"/>
  <c r="AD126" i="6"/>
  <c r="AC126" i="6"/>
  <c r="AB126" i="6"/>
  <c r="AA126" i="6"/>
  <c r="Z126" i="6"/>
  <c r="Y126" i="6"/>
  <c r="X126" i="6"/>
  <c r="W126" i="6"/>
  <c r="V126" i="6"/>
  <c r="U126" i="6"/>
  <c r="T126" i="6"/>
  <c r="S126" i="6"/>
  <c r="R126" i="6"/>
  <c r="Q126" i="6"/>
  <c r="P126" i="6"/>
  <c r="O126" i="6"/>
  <c r="N126" i="6"/>
  <c r="M126" i="6"/>
  <c r="L126" i="6"/>
  <c r="K126" i="6"/>
  <c r="J126" i="6"/>
  <c r="I126" i="6"/>
  <c r="H126" i="6"/>
  <c r="G126" i="6"/>
  <c r="F126" i="6"/>
  <c r="E126" i="6"/>
  <c r="D126" i="6"/>
  <c r="C126" i="6"/>
  <c r="AJ125" i="6"/>
  <c r="AI125" i="6"/>
  <c r="AH125" i="6"/>
  <c r="AG125" i="6"/>
  <c r="AF125" i="6"/>
  <c r="AE125" i="6"/>
  <c r="AD125" i="6"/>
  <c r="AC125" i="6"/>
  <c r="AB125" i="6"/>
  <c r="AA125" i="6"/>
  <c r="Z125" i="6"/>
  <c r="Y125" i="6"/>
  <c r="X125" i="6"/>
  <c r="W125" i="6"/>
  <c r="V125" i="6"/>
  <c r="U125" i="6"/>
  <c r="T125" i="6"/>
  <c r="S125" i="6"/>
  <c r="R125" i="6"/>
  <c r="Q125" i="6"/>
  <c r="P125" i="6"/>
  <c r="O125" i="6"/>
  <c r="N125" i="6"/>
  <c r="M125" i="6"/>
  <c r="L125" i="6"/>
  <c r="K125" i="6"/>
  <c r="J125" i="6"/>
  <c r="I125" i="6"/>
  <c r="H125" i="6"/>
  <c r="G125" i="6"/>
  <c r="F125" i="6"/>
  <c r="E125" i="6"/>
  <c r="D125" i="6"/>
  <c r="C125" i="6"/>
  <c r="AJ124" i="6"/>
  <c r="AI124" i="6"/>
  <c r="AH124" i="6"/>
  <c r="AG124" i="6"/>
  <c r="AF124" i="6"/>
  <c r="AE124" i="6"/>
  <c r="AD124" i="6"/>
  <c r="AC124" i="6"/>
  <c r="AB124" i="6"/>
  <c r="AA124" i="6"/>
  <c r="Z124" i="6"/>
  <c r="Y124" i="6"/>
  <c r="X124" i="6"/>
  <c r="W124" i="6"/>
  <c r="V124" i="6"/>
  <c r="U124" i="6"/>
  <c r="T124" i="6"/>
  <c r="S124" i="6"/>
  <c r="R124" i="6"/>
  <c r="Q124" i="6"/>
  <c r="P124" i="6"/>
  <c r="O124" i="6"/>
  <c r="N124" i="6"/>
  <c r="M124" i="6"/>
  <c r="L124" i="6"/>
  <c r="K124" i="6"/>
  <c r="J124" i="6"/>
  <c r="I124" i="6"/>
  <c r="H124" i="6"/>
  <c r="G124" i="6"/>
  <c r="F124" i="6"/>
  <c r="E124" i="6"/>
  <c r="D124" i="6"/>
  <c r="C124" i="6"/>
  <c r="AJ123" i="6"/>
  <c r="AI123" i="6"/>
  <c r="AH123" i="6"/>
  <c r="AG123" i="6"/>
  <c r="AF123" i="6"/>
  <c r="AE123" i="6"/>
  <c r="AD123" i="6"/>
  <c r="AC123" i="6"/>
  <c r="AB123" i="6"/>
  <c r="AA123" i="6"/>
  <c r="Z123" i="6"/>
  <c r="Y123" i="6"/>
  <c r="X123" i="6"/>
  <c r="W123" i="6"/>
  <c r="V123" i="6"/>
  <c r="U123" i="6"/>
  <c r="T123" i="6"/>
  <c r="S123" i="6"/>
  <c r="R123" i="6"/>
  <c r="Q123" i="6"/>
  <c r="P123" i="6"/>
  <c r="O123" i="6"/>
  <c r="N123" i="6"/>
  <c r="M123" i="6"/>
  <c r="L123" i="6"/>
  <c r="K123" i="6"/>
  <c r="J123" i="6"/>
  <c r="I123" i="6"/>
  <c r="H123" i="6"/>
  <c r="G123" i="6"/>
  <c r="F123" i="6"/>
  <c r="E123" i="6"/>
  <c r="D123" i="6"/>
  <c r="C123" i="6"/>
  <c r="AJ122" i="6"/>
  <c r="AI122" i="6"/>
  <c r="AH122" i="6"/>
  <c r="AG122" i="6"/>
  <c r="AF122" i="6"/>
  <c r="AE122" i="6"/>
  <c r="AD122" i="6"/>
  <c r="AC122" i="6"/>
  <c r="AB122" i="6"/>
  <c r="AA122" i="6"/>
  <c r="Z122" i="6"/>
  <c r="Y122" i="6"/>
  <c r="X122" i="6"/>
  <c r="W122" i="6"/>
  <c r="V122" i="6"/>
  <c r="U122" i="6"/>
  <c r="T122" i="6"/>
  <c r="S122" i="6"/>
  <c r="R122" i="6"/>
  <c r="Q122" i="6"/>
  <c r="P122" i="6"/>
  <c r="O122" i="6"/>
  <c r="N122" i="6"/>
  <c r="M122" i="6"/>
  <c r="L122" i="6"/>
  <c r="K122" i="6"/>
  <c r="J122" i="6"/>
  <c r="I122" i="6"/>
  <c r="H122" i="6"/>
  <c r="G122" i="6"/>
  <c r="F122" i="6"/>
  <c r="E122" i="6"/>
  <c r="D122" i="6"/>
  <c r="C122" i="6"/>
  <c r="AJ121" i="6"/>
  <c r="AI121" i="6"/>
  <c r="AH121" i="6"/>
  <c r="AG121" i="6"/>
  <c r="AF121" i="6"/>
  <c r="AE121" i="6"/>
  <c r="AD121" i="6"/>
  <c r="AC121" i="6"/>
  <c r="AB121" i="6"/>
  <c r="AA121" i="6"/>
  <c r="Z121" i="6"/>
  <c r="Y121" i="6"/>
  <c r="X121" i="6"/>
  <c r="W121" i="6"/>
  <c r="V121" i="6"/>
  <c r="U121" i="6"/>
  <c r="T121" i="6"/>
  <c r="S121" i="6"/>
  <c r="R121" i="6"/>
  <c r="Q121" i="6"/>
  <c r="P121" i="6"/>
  <c r="O121" i="6"/>
  <c r="N121" i="6"/>
  <c r="M121" i="6"/>
  <c r="L121" i="6"/>
  <c r="K121" i="6"/>
  <c r="J121" i="6"/>
  <c r="I121" i="6"/>
  <c r="H121" i="6"/>
  <c r="G121" i="6"/>
  <c r="F121" i="6"/>
  <c r="E121" i="6"/>
  <c r="D121" i="6"/>
  <c r="C121" i="6"/>
  <c r="AJ120" i="6"/>
  <c r="AI120" i="6"/>
  <c r="AH120" i="6"/>
  <c r="AG120" i="6"/>
  <c r="AF120" i="6"/>
  <c r="AE120" i="6"/>
  <c r="AD120" i="6"/>
  <c r="AC120" i="6"/>
  <c r="AB120" i="6"/>
  <c r="AA120" i="6"/>
  <c r="Z120" i="6"/>
  <c r="Y120" i="6"/>
  <c r="X120" i="6"/>
  <c r="W120" i="6"/>
  <c r="V120" i="6"/>
  <c r="U120" i="6"/>
  <c r="T120" i="6"/>
  <c r="S120" i="6"/>
  <c r="R120" i="6"/>
  <c r="Q120" i="6"/>
  <c r="P120" i="6"/>
  <c r="O120" i="6"/>
  <c r="N120" i="6"/>
  <c r="M120" i="6"/>
  <c r="L120" i="6"/>
  <c r="K120" i="6"/>
  <c r="J120" i="6"/>
  <c r="I120" i="6"/>
  <c r="H120" i="6"/>
  <c r="G120" i="6"/>
  <c r="F120" i="6"/>
  <c r="E120" i="6"/>
  <c r="D120" i="6"/>
  <c r="C120" i="6"/>
  <c r="AJ119" i="6"/>
  <c r="AI119" i="6"/>
  <c r="AH119" i="6"/>
  <c r="AG119" i="6"/>
  <c r="AF119" i="6"/>
  <c r="AE119" i="6"/>
  <c r="AD119" i="6"/>
  <c r="AC119" i="6"/>
  <c r="AB119" i="6"/>
  <c r="AA119" i="6"/>
  <c r="Z119" i="6"/>
  <c r="Y119" i="6"/>
  <c r="X119" i="6"/>
  <c r="W119" i="6"/>
  <c r="V119" i="6"/>
  <c r="U119" i="6"/>
  <c r="T119" i="6"/>
  <c r="S119" i="6"/>
  <c r="R119" i="6"/>
  <c r="Q119" i="6"/>
  <c r="P119" i="6"/>
  <c r="O119" i="6"/>
  <c r="N119" i="6"/>
  <c r="M119" i="6"/>
  <c r="L119" i="6"/>
  <c r="K119" i="6"/>
  <c r="J119" i="6"/>
  <c r="I119" i="6"/>
  <c r="H119" i="6"/>
  <c r="G119" i="6"/>
  <c r="F119" i="6"/>
  <c r="E119" i="6"/>
  <c r="D119" i="6"/>
  <c r="C119" i="6"/>
  <c r="AJ118" i="6"/>
  <c r="AI118" i="6"/>
  <c r="AH118" i="6"/>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D118" i="6"/>
  <c r="C118" i="6"/>
  <c r="AJ117" i="6"/>
  <c r="AI117" i="6"/>
  <c r="AH117" i="6"/>
  <c r="AG117" i="6"/>
  <c r="AF117" i="6"/>
  <c r="AE117" i="6"/>
  <c r="AD117" i="6"/>
  <c r="AC117" i="6"/>
  <c r="AB117" i="6"/>
  <c r="AA117" i="6"/>
  <c r="Z117" i="6"/>
  <c r="Y117" i="6"/>
  <c r="X117" i="6"/>
  <c r="W117" i="6"/>
  <c r="V117" i="6"/>
  <c r="U117" i="6"/>
  <c r="T117" i="6"/>
  <c r="S117" i="6"/>
  <c r="R117" i="6"/>
  <c r="Q117" i="6"/>
  <c r="P117" i="6"/>
  <c r="O117" i="6"/>
  <c r="N117" i="6"/>
  <c r="M117" i="6"/>
  <c r="L117" i="6"/>
  <c r="K117" i="6"/>
  <c r="J117" i="6"/>
  <c r="I117" i="6"/>
  <c r="H117" i="6"/>
  <c r="G117" i="6"/>
  <c r="F117" i="6"/>
  <c r="E117" i="6"/>
  <c r="D117" i="6"/>
  <c r="C117" i="6"/>
  <c r="AJ116" i="6"/>
  <c r="AI116" i="6"/>
  <c r="AH116" i="6"/>
  <c r="AG116" i="6"/>
  <c r="AF116" i="6"/>
  <c r="AE116" i="6"/>
  <c r="AD116" i="6"/>
  <c r="AC116" i="6"/>
  <c r="AB116" i="6"/>
  <c r="AA116" i="6"/>
  <c r="Z116" i="6"/>
  <c r="Y116" i="6"/>
  <c r="X116" i="6"/>
  <c r="W116" i="6"/>
  <c r="V116" i="6"/>
  <c r="U116" i="6"/>
  <c r="T116" i="6"/>
  <c r="S116" i="6"/>
  <c r="R116" i="6"/>
  <c r="Q116" i="6"/>
  <c r="P116" i="6"/>
  <c r="O116" i="6"/>
  <c r="N116" i="6"/>
  <c r="M116" i="6"/>
  <c r="L116" i="6"/>
  <c r="K116" i="6"/>
  <c r="J116" i="6"/>
  <c r="I116" i="6"/>
  <c r="H116" i="6"/>
  <c r="G116" i="6"/>
  <c r="F116" i="6"/>
  <c r="E116" i="6"/>
  <c r="D116" i="6"/>
  <c r="C116" i="6"/>
  <c r="AJ115" i="6"/>
  <c r="AI115" i="6"/>
  <c r="AH115" i="6"/>
  <c r="AG115" i="6"/>
  <c r="AF115" i="6"/>
  <c r="AE115" i="6"/>
  <c r="AD115" i="6"/>
  <c r="AC115" i="6"/>
  <c r="AB115" i="6"/>
  <c r="AA115" i="6"/>
  <c r="Z115" i="6"/>
  <c r="Y115" i="6"/>
  <c r="X115" i="6"/>
  <c r="W115" i="6"/>
  <c r="V115" i="6"/>
  <c r="U115" i="6"/>
  <c r="T115" i="6"/>
  <c r="S115" i="6"/>
  <c r="R115" i="6"/>
  <c r="Q115" i="6"/>
  <c r="P115" i="6"/>
  <c r="O115" i="6"/>
  <c r="N115" i="6"/>
  <c r="M115" i="6"/>
  <c r="L115" i="6"/>
  <c r="K115" i="6"/>
  <c r="J115" i="6"/>
  <c r="I115" i="6"/>
  <c r="H115" i="6"/>
  <c r="G115" i="6"/>
  <c r="F115" i="6"/>
  <c r="E115" i="6"/>
  <c r="D115" i="6"/>
  <c r="C115" i="6"/>
  <c r="AJ114" i="6"/>
  <c r="AI114" i="6"/>
  <c r="AH114" i="6"/>
  <c r="AG114" i="6"/>
  <c r="AF114" i="6"/>
  <c r="AE114" i="6"/>
  <c r="AD114" i="6"/>
  <c r="AC114" i="6"/>
  <c r="AB114" i="6"/>
  <c r="AA114" i="6"/>
  <c r="Z114" i="6"/>
  <c r="Y114" i="6"/>
  <c r="X114" i="6"/>
  <c r="W114" i="6"/>
  <c r="V114" i="6"/>
  <c r="U114" i="6"/>
  <c r="T114" i="6"/>
  <c r="S114" i="6"/>
  <c r="R114" i="6"/>
  <c r="Q114" i="6"/>
  <c r="P114" i="6"/>
  <c r="O114" i="6"/>
  <c r="N114" i="6"/>
  <c r="M114" i="6"/>
  <c r="L114" i="6"/>
  <c r="K114" i="6"/>
  <c r="J114" i="6"/>
  <c r="I114" i="6"/>
  <c r="H114" i="6"/>
  <c r="G114" i="6"/>
  <c r="F114" i="6"/>
  <c r="E114" i="6"/>
  <c r="D114" i="6"/>
  <c r="C114" i="6"/>
  <c r="AJ113" i="6"/>
  <c r="AI113" i="6"/>
  <c r="AH113" i="6"/>
  <c r="AG113" i="6"/>
  <c r="AF113" i="6"/>
  <c r="AE113" i="6"/>
  <c r="AD113" i="6"/>
  <c r="AC113" i="6"/>
  <c r="AB113" i="6"/>
  <c r="AA113" i="6"/>
  <c r="Z113" i="6"/>
  <c r="Y113" i="6"/>
  <c r="X113" i="6"/>
  <c r="W113" i="6"/>
  <c r="V113" i="6"/>
  <c r="U113" i="6"/>
  <c r="T113" i="6"/>
  <c r="S113" i="6"/>
  <c r="R113" i="6"/>
  <c r="Q113" i="6"/>
  <c r="P113" i="6"/>
  <c r="O113" i="6"/>
  <c r="N113" i="6"/>
  <c r="M113" i="6"/>
  <c r="L113" i="6"/>
  <c r="K113" i="6"/>
  <c r="J113" i="6"/>
  <c r="I113" i="6"/>
  <c r="H113" i="6"/>
  <c r="G113" i="6"/>
  <c r="F113" i="6"/>
  <c r="E113" i="6"/>
  <c r="D113" i="6"/>
  <c r="C113" i="6"/>
  <c r="AJ112" i="6"/>
  <c r="AI112" i="6"/>
  <c r="AH112" i="6"/>
  <c r="AG112" i="6"/>
  <c r="AF112" i="6"/>
  <c r="AE112" i="6"/>
  <c r="AD112" i="6"/>
  <c r="AC112" i="6"/>
  <c r="AB112" i="6"/>
  <c r="AA112" i="6"/>
  <c r="Z112" i="6"/>
  <c r="Y112" i="6"/>
  <c r="X112" i="6"/>
  <c r="W112" i="6"/>
  <c r="V112" i="6"/>
  <c r="U112" i="6"/>
  <c r="T112" i="6"/>
  <c r="S112" i="6"/>
  <c r="R112" i="6"/>
  <c r="Q112" i="6"/>
  <c r="P112" i="6"/>
  <c r="O112" i="6"/>
  <c r="N112" i="6"/>
  <c r="M112" i="6"/>
  <c r="L112" i="6"/>
  <c r="K112" i="6"/>
  <c r="J112" i="6"/>
  <c r="I112" i="6"/>
  <c r="H112" i="6"/>
  <c r="G112" i="6"/>
  <c r="F112" i="6"/>
  <c r="E112" i="6"/>
  <c r="D112" i="6"/>
  <c r="C112" i="6"/>
  <c r="AJ111" i="6"/>
  <c r="AI111" i="6"/>
  <c r="AH111" i="6"/>
  <c r="AG111" i="6"/>
  <c r="AF111" i="6"/>
  <c r="AE111" i="6"/>
  <c r="AD111" i="6"/>
  <c r="AC111" i="6"/>
  <c r="AB111" i="6"/>
  <c r="AA111" i="6"/>
  <c r="Z111" i="6"/>
  <c r="Y111" i="6"/>
  <c r="X111" i="6"/>
  <c r="W111" i="6"/>
  <c r="V111" i="6"/>
  <c r="U111" i="6"/>
  <c r="T111" i="6"/>
  <c r="S111" i="6"/>
  <c r="R111" i="6"/>
  <c r="Q111" i="6"/>
  <c r="P111" i="6"/>
  <c r="O111" i="6"/>
  <c r="N111" i="6"/>
  <c r="M111" i="6"/>
  <c r="L111" i="6"/>
  <c r="K111" i="6"/>
  <c r="J111" i="6"/>
  <c r="I111" i="6"/>
  <c r="H111" i="6"/>
  <c r="G111" i="6"/>
  <c r="F111" i="6"/>
  <c r="E111" i="6"/>
  <c r="D111" i="6"/>
  <c r="C111" i="6"/>
  <c r="AJ110" i="6"/>
  <c r="AI110" i="6"/>
  <c r="AH110" i="6"/>
  <c r="AG110" i="6"/>
  <c r="AF110" i="6"/>
  <c r="AE110" i="6"/>
  <c r="AD110" i="6"/>
  <c r="AC110" i="6"/>
  <c r="AB110" i="6"/>
  <c r="AA110" i="6"/>
  <c r="Z110" i="6"/>
  <c r="Y110" i="6"/>
  <c r="X110" i="6"/>
  <c r="W110" i="6"/>
  <c r="V110" i="6"/>
  <c r="U110" i="6"/>
  <c r="T110" i="6"/>
  <c r="S110" i="6"/>
  <c r="R110" i="6"/>
  <c r="Q110" i="6"/>
  <c r="P110" i="6"/>
  <c r="O110" i="6"/>
  <c r="N110" i="6"/>
  <c r="M110" i="6"/>
  <c r="L110" i="6"/>
  <c r="K110" i="6"/>
  <c r="J110" i="6"/>
  <c r="I110" i="6"/>
  <c r="H110" i="6"/>
  <c r="G110" i="6"/>
  <c r="F110" i="6"/>
  <c r="E110" i="6"/>
  <c r="D110" i="6"/>
  <c r="C110" i="6"/>
  <c r="AJ109" i="6"/>
  <c r="AI109" i="6"/>
  <c r="AH109" i="6"/>
  <c r="AG109" i="6"/>
  <c r="AF109" i="6"/>
  <c r="AE109" i="6"/>
  <c r="AD109" i="6"/>
  <c r="AC109" i="6"/>
  <c r="AB109" i="6"/>
  <c r="AA109" i="6"/>
  <c r="Z109" i="6"/>
  <c r="Y109" i="6"/>
  <c r="X109" i="6"/>
  <c r="W109" i="6"/>
  <c r="V109" i="6"/>
  <c r="U109" i="6"/>
  <c r="T109" i="6"/>
  <c r="S109" i="6"/>
  <c r="R109" i="6"/>
  <c r="Q109" i="6"/>
  <c r="P109" i="6"/>
  <c r="O109" i="6"/>
  <c r="N109" i="6"/>
  <c r="M109" i="6"/>
  <c r="L109" i="6"/>
  <c r="K109" i="6"/>
  <c r="J109" i="6"/>
  <c r="I109" i="6"/>
  <c r="H109" i="6"/>
  <c r="G109" i="6"/>
  <c r="F109" i="6"/>
  <c r="E109" i="6"/>
  <c r="D109" i="6"/>
  <c r="C109" i="6"/>
  <c r="AJ108" i="6"/>
  <c r="AI108" i="6"/>
  <c r="AH108" i="6"/>
  <c r="AG108" i="6"/>
  <c r="AF108" i="6"/>
  <c r="AE108" i="6"/>
  <c r="AD108" i="6"/>
  <c r="AC108" i="6"/>
  <c r="AB108" i="6"/>
  <c r="AA108" i="6"/>
  <c r="Z108" i="6"/>
  <c r="Y108" i="6"/>
  <c r="X108" i="6"/>
  <c r="W108" i="6"/>
  <c r="V108" i="6"/>
  <c r="U108" i="6"/>
  <c r="T108" i="6"/>
  <c r="S108" i="6"/>
  <c r="R108" i="6"/>
  <c r="Q108" i="6"/>
  <c r="P108" i="6"/>
  <c r="O108" i="6"/>
  <c r="N108" i="6"/>
  <c r="M108" i="6"/>
  <c r="L108" i="6"/>
  <c r="K108" i="6"/>
  <c r="J108" i="6"/>
  <c r="I108" i="6"/>
  <c r="H108" i="6"/>
  <c r="G108" i="6"/>
  <c r="F108" i="6"/>
  <c r="E108" i="6"/>
  <c r="D108" i="6"/>
  <c r="C108" i="6"/>
  <c r="AJ107" i="6"/>
  <c r="AI107" i="6"/>
  <c r="AH107" i="6"/>
  <c r="AG107" i="6"/>
  <c r="AF107" i="6"/>
  <c r="AE107" i="6"/>
  <c r="AD107" i="6"/>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AJ106" i="6"/>
  <c r="AI106" i="6"/>
  <c r="AH106" i="6"/>
  <c r="AG106" i="6"/>
  <c r="AF106" i="6"/>
  <c r="AE106" i="6"/>
  <c r="AD106" i="6"/>
  <c r="AC106" i="6"/>
  <c r="AB106" i="6"/>
  <c r="AA106" i="6"/>
  <c r="Z106" i="6"/>
  <c r="Y106" i="6"/>
  <c r="X106" i="6"/>
  <c r="W106" i="6"/>
  <c r="V106" i="6"/>
  <c r="U106" i="6"/>
  <c r="T106" i="6"/>
  <c r="S106" i="6"/>
  <c r="R106" i="6"/>
  <c r="Q106" i="6"/>
  <c r="P106" i="6"/>
  <c r="O106" i="6"/>
  <c r="N106" i="6"/>
  <c r="M106" i="6"/>
  <c r="L106" i="6"/>
  <c r="K106" i="6"/>
  <c r="J106" i="6"/>
  <c r="I106" i="6"/>
  <c r="H106" i="6"/>
  <c r="G106" i="6"/>
  <c r="F106" i="6"/>
  <c r="E106" i="6"/>
  <c r="D106" i="6"/>
  <c r="C106" i="6"/>
  <c r="AJ105" i="6"/>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AJ104" i="6"/>
  <c r="AJ103" i="6"/>
  <c r="AI104" i="6"/>
  <c r="AI103" i="6"/>
  <c r="AH104" i="6"/>
  <c r="AH103" i="6"/>
  <c r="AG104" i="6"/>
  <c r="AG103" i="6"/>
  <c r="AF104" i="6"/>
  <c r="AF103" i="6"/>
  <c r="AE104" i="6"/>
  <c r="AE103" i="6"/>
  <c r="AD104" i="6"/>
  <c r="AD103" i="6"/>
  <c r="AC104" i="6"/>
  <c r="AC103" i="6"/>
  <c r="AB104" i="6"/>
  <c r="AB103" i="6"/>
  <c r="AA104" i="6"/>
  <c r="AA103" i="6"/>
  <c r="Z104" i="6"/>
  <c r="Z103" i="6"/>
  <c r="Y104" i="6"/>
  <c r="Y103" i="6"/>
  <c r="X104" i="6"/>
  <c r="X103" i="6"/>
  <c r="W104" i="6"/>
  <c r="W103" i="6"/>
  <c r="V104" i="6"/>
  <c r="V103" i="6"/>
  <c r="U104" i="6"/>
  <c r="U103" i="6"/>
  <c r="T104" i="6"/>
  <c r="T103" i="6"/>
  <c r="S104" i="6"/>
  <c r="S103" i="6"/>
  <c r="R104" i="6"/>
  <c r="R103" i="6"/>
  <c r="Q104" i="6"/>
  <c r="Q103" i="6"/>
  <c r="P104" i="6"/>
  <c r="P103" i="6"/>
  <c r="O104" i="6"/>
  <c r="O103" i="6"/>
  <c r="N104" i="6"/>
  <c r="N103" i="6"/>
  <c r="M104" i="6"/>
  <c r="M103" i="6"/>
  <c r="L104" i="6"/>
  <c r="L103" i="6"/>
  <c r="K104" i="6"/>
  <c r="K103" i="6"/>
  <c r="J104" i="6"/>
  <c r="J103" i="6"/>
  <c r="I104" i="6"/>
  <c r="I103" i="6"/>
  <c r="H104" i="6"/>
  <c r="H103" i="6"/>
  <c r="G104" i="6"/>
  <c r="G103" i="6"/>
  <c r="F104" i="6"/>
  <c r="F103" i="6"/>
  <c r="E104" i="6"/>
  <c r="E103" i="6"/>
  <c r="D104" i="6"/>
  <c r="D103" i="6"/>
  <c r="C104" i="6"/>
  <c r="C103" i="6"/>
  <c r="AJ102" i="6"/>
  <c r="AI102" i="6"/>
  <c r="AH102" i="6"/>
  <c r="AG102" i="6"/>
  <c r="AF102" i="6"/>
  <c r="AE102" i="6"/>
  <c r="AD102" i="6"/>
  <c r="AC102" i="6"/>
  <c r="AB102" i="6"/>
  <c r="AA102" i="6"/>
  <c r="Z102" i="6"/>
  <c r="Y102" i="6"/>
  <c r="X102" i="6"/>
  <c r="W102" i="6"/>
  <c r="V102" i="6"/>
  <c r="U102" i="6"/>
  <c r="T102" i="6"/>
  <c r="S102" i="6"/>
  <c r="R102" i="6"/>
  <c r="Q102" i="6"/>
  <c r="P102" i="6"/>
  <c r="O102" i="6"/>
  <c r="N102" i="6"/>
  <c r="M102" i="6"/>
  <c r="L102" i="6"/>
  <c r="K102" i="6"/>
  <c r="J102" i="6"/>
  <c r="I102" i="6"/>
  <c r="H102" i="6"/>
  <c r="G102" i="6"/>
  <c r="F102" i="6"/>
  <c r="E102" i="6"/>
  <c r="D102" i="6"/>
  <c r="C102" i="6"/>
  <c r="AJ100" i="6"/>
  <c r="AI100" i="6"/>
  <c r="AH100" i="6"/>
  <c r="AG100" i="6"/>
  <c r="AF100" i="6"/>
  <c r="AE100" i="6"/>
  <c r="AD100" i="6"/>
  <c r="AC100" i="6"/>
  <c r="AB100" i="6"/>
  <c r="AA100" i="6"/>
  <c r="Z100" i="6"/>
  <c r="Y100" i="6"/>
  <c r="X100" i="6"/>
  <c r="W100" i="6"/>
  <c r="V100" i="6"/>
  <c r="U100" i="6"/>
  <c r="T100" i="6"/>
  <c r="S100" i="6"/>
  <c r="R100" i="6"/>
  <c r="Q100" i="6"/>
  <c r="P100" i="6"/>
  <c r="O100" i="6"/>
  <c r="N100" i="6"/>
  <c r="M100" i="6"/>
  <c r="L100" i="6"/>
  <c r="K100" i="6"/>
  <c r="J100" i="6"/>
  <c r="I100" i="6"/>
  <c r="H100" i="6"/>
  <c r="G100" i="6"/>
  <c r="F100" i="6"/>
  <c r="E100" i="6"/>
  <c r="D100" i="6"/>
  <c r="C100" i="6"/>
  <c r="AJ99" i="6"/>
  <c r="AI99" i="6"/>
  <c r="AH99" i="6"/>
  <c r="AG99" i="6"/>
  <c r="AF99" i="6"/>
  <c r="AE99" i="6"/>
  <c r="AD99" i="6"/>
  <c r="AC99" i="6"/>
  <c r="AB99" i="6"/>
  <c r="AA99" i="6"/>
  <c r="Z99" i="6"/>
  <c r="Y99" i="6"/>
  <c r="X99" i="6"/>
  <c r="W99" i="6"/>
  <c r="V99" i="6"/>
  <c r="U99" i="6"/>
  <c r="T99" i="6"/>
  <c r="S99" i="6"/>
  <c r="R99" i="6"/>
  <c r="Q99" i="6"/>
  <c r="P99" i="6"/>
  <c r="O99" i="6"/>
  <c r="N99" i="6"/>
  <c r="M99" i="6"/>
  <c r="L99" i="6"/>
  <c r="K99" i="6"/>
  <c r="J99" i="6"/>
  <c r="I99" i="6"/>
  <c r="H99" i="6"/>
  <c r="G99" i="6"/>
  <c r="F99" i="6"/>
  <c r="E99" i="6"/>
  <c r="D99" i="6"/>
  <c r="C99" i="6"/>
  <c r="AJ98" i="6"/>
  <c r="AI98" i="6"/>
  <c r="AH98" i="6"/>
  <c r="AG98" i="6"/>
  <c r="AF98" i="6"/>
  <c r="AE98" i="6"/>
  <c r="AD98" i="6"/>
  <c r="AC98" i="6"/>
  <c r="AB98" i="6"/>
  <c r="AA98" i="6"/>
  <c r="Z98" i="6"/>
  <c r="Y98" i="6"/>
  <c r="X98" i="6"/>
  <c r="W98" i="6"/>
  <c r="V98" i="6"/>
  <c r="U98" i="6"/>
  <c r="T98" i="6"/>
  <c r="S98" i="6"/>
  <c r="R98" i="6"/>
  <c r="Q98" i="6"/>
  <c r="P98" i="6"/>
  <c r="O98" i="6"/>
  <c r="N98" i="6"/>
  <c r="M98" i="6"/>
  <c r="L98" i="6"/>
  <c r="K98" i="6"/>
  <c r="J98" i="6"/>
  <c r="I98" i="6"/>
  <c r="H98" i="6"/>
  <c r="G98" i="6"/>
  <c r="F98" i="6"/>
  <c r="E98" i="6"/>
  <c r="D98" i="6"/>
  <c r="C98" i="6"/>
  <c r="AJ97" i="6"/>
  <c r="AI97" i="6"/>
  <c r="AH97" i="6"/>
  <c r="AG97" i="6"/>
  <c r="AF97" i="6"/>
  <c r="AE97" i="6"/>
  <c r="AD97" i="6"/>
  <c r="AC97" i="6"/>
  <c r="AB97" i="6"/>
  <c r="AA97" i="6"/>
  <c r="Z97" i="6"/>
  <c r="Y97" i="6"/>
  <c r="X97" i="6"/>
  <c r="W97" i="6"/>
  <c r="V97" i="6"/>
  <c r="U97" i="6"/>
  <c r="T97" i="6"/>
  <c r="S97" i="6"/>
  <c r="R97" i="6"/>
  <c r="Q97" i="6"/>
  <c r="P97" i="6"/>
  <c r="O97" i="6"/>
  <c r="N97" i="6"/>
  <c r="M97" i="6"/>
  <c r="L97" i="6"/>
  <c r="K97" i="6"/>
  <c r="J97" i="6"/>
  <c r="I97" i="6"/>
  <c r="H97" i="6"/>
  <c r="G97" i="6"/>
  <c r="F97" i="6"/>
  <c r="E97" i="6"/>
  <c r="D97" i="6"/>
  <c r="C97" i="6"/>
  <c r="AJ96" i="6"/>
  <c r="AI96" i="6"/>
  <c r="AH96" i="6"/>
  <c r="AG96" i="6"/>
  <c r="AF96" i="6"/>
  <c r="AE96" i="6"/>
  <c r="AD96" i="6"/>
  <c r="AC96" i="6"/>
  <c r="AB96" i="6"/>
  <c r="AA96" i="6"/>
  <c r="Z96" i="6"/>
  <c r="Y96" i="6"/>
  <c r="X96" i="6"/>
  <c r="W96" i="6"/>
  <c r="V96" i="6"/>
  <c r="U96" i="6"/>
  <c r="T96" i="6"/>
  <c r="S96" i="6"/>
  <c r="R96" i="6"/>
  <c r="Q96" i="6"/>
  <c r="P96" i="6"/>
  <c r="O96" i="6"/>
  <c r="N96" i="6"/>
  <c r="M96" i="6"/>
  <c r="L96" i="6"/>
  <c r="K96" i="6"/>
  <c r="J96" i="6"/>
  <c r="I96" i="6"/>
  <c r="H96" i="6"/>
  <c r="G96" i="6"/>
  <c r="F96" i="6"/>
  <c r="E96" i="6"/>
  <c r="D96" i="6"/>
  <c r="C96" i="6"/>
  <c r="AJ95" i="6"/>
  <c r="AI95" i="6"/>
  <c r="AH95" i="6"/>
  <c r="AG95" i="6"/>
  <c r="AF95" i="6"/>
  <c r="AE95" i="6"/>
  <c r="AD95" i="6"/>
  <c r="AC95" i="6"/>
  <c r="AB95" i="6"/>
  <c r="AA95" i="6"/>
  <c r="Z95" i="6"/>
  <c r="Y95" i="6"/>
  <c r="X95" i="6"/>
  <c r="W95" i="6"/>
  <c r="V95" i="6"/>
  <c r="U95" i="6"/>
  <c r="T95" i="6"/>
  <c r="S95" i="6"/>
  <c r="R95" i="6"/>
  <c r="Q95" i="6"/>
  <c r="P95" i="6"/>
  <c r="O95" i="6"/>
  <c r="N95" i="6"/>
  <c r="M95" i="6"/>
  <c r="L95" i="6"/>
  <c r="K95" i="6"/>
  <c r="J95" i="6"/>
  <c r="I95" i="6"/>
  <c r="H95" i="6"/>
  <c r="G95" i="6"/>
  <c r="F95" i="6"/>
  <c r="E95" i="6"/>
  <c r="D95" i="6"/>
  <c r="C95" i="6"/>
  <c r="AJ94" i="6"/>
  <c r="AI94" i="6"/>
  <c r="AH94" i="6"/>
  <c r="AG94" i="6"/>
  <c r="AF94" i="6"/>
  <c r="AE94" i="6"/>
  <c r="AD94" i="6"/>
  <c r="AC94" i="6"/>
  <c r="AB94" i="6"/>
  <c r="AA94" i="6"/>
  <c r="Z94" i="6"/>
  <c r="Y94" i="6"/>
  <c r="X94" i="6"/>
  <c r="W94" i="6"/>
  <c r="V94" i="6"/>
  <c r="U94" i="6"/>
  <c r="T94" i="6"/>
  <c r="S94" i="6"/>
  <c r="R94" i="6"/>
  <c r="Q94" i="6"/>
  <c r="P94" i="6"/>
  <c r="O94" i="6"/>
  <c r="N94" i="6"/>
  <c r="M94" i="6"/>
  <c r="L94" i="6"/>
  <c r="K94" i="6"/>
  <c r="J94" i="6"/>
  <c r="I94" i="6"/>
  <c r="H94" i="6"/>
  <c r="G94" i="6"/>
  <c r="F94" i="6"/>
  <c r="E94" i="6"/>
  <c r="D94" i="6"/>
  <c r="C94" i="6"/>
  <c r="AJ93" i="6"/>
  <c r="AI93" i="6"/>
  <c r="AH93" i="6"/>
  <c r="AG93" i="6"/>
  <c r="AF93" i="6"/>
  <c r="AE93" i="6"/>
  <c r="AD93" i="6"/>
  <c r="AC93" i="6"/>
  <c r="AB93" i="6"/>
  <c r="AA93" i="6"/>
  <c r="Z93" i="6"/>
  <c r="Y93" i="6"/>
  <c r="X93" i="6"/>
  <c r="W93" i="6"/>
  <c r="V93" i="6"/>
  <c r="U93" i="6"/>
  <c r="T93" i="6"/>
  <c r="S93" i="6"/>
  <c r="R93" i="6"/>
  <c r="Q93" i="6"/>
  <c r="P93" i="6"/>
  <c r="O93" i="6"/>
  <c r="N93" i="6"/>
  <c r="M93" i="6"/>
  <c r="L93" i="6"/>
  <c r="K93" i="6"/>
  <c r="J93" i="6"/>
  <c r="I93" i="6"/>
  <c r="H93" i="6"/>
  <c r="G93" i="6"/>
  <c r="F93" i="6"/>
  <c r="E93" i="6"/>
  <c r="D93" i="6"/>
  <c r="C93" i="6"/>
  <c r="AJ92" i="6"/>
  <c r="AI92" i="6"/>
  <c r="AH92" i="6"/>
  <c r="AG92" i="6"/>
  <c r="AF92" i="6"/>
  <c r="AE92" i="6"/>
  <c r="AD92" i="6"/>
  <c r="AC92" i="6"/>
  <c r="AB92" i="6"/>
  <c r="AA92" i="6"/>
  <c r="Z92" i="6"/>
  <c r="Y92" i="6"/>
  <c r="X92" i="6"/>
  <c r="W92" i="6"/>
  <c r="V92" i="6"/>
  <c r="U92" i="6"/>
  <c r="T92" i="6"/>
  <c r="S92" i="6"/>
  <c r="R92" i="6"/>
  <c r="Q92" i="6"/>
  <c r="P92" i="6"/>
  <c r="O92" i="6"/>
  <c r="N92" i="6"/>
  <c r="M92" i="6"/>
  <c r="L92" i="6"/>
  <c r="K92" i="6"/>
  <c r="J92" i="6"/>
  <c r="I92" i="6"/>
  <c r="H92" i="6"/>
  <c r="G92" i="6"/>
  <c r="F92" i="6"/>
  <c r="E92" i="6"/>
  <c r="D92" i="6"/>
  <c r="C92" i="6"/>
  <c r="AJ91" i="6"/>
  <c r="AI91" i="6"/>
  <c r="AH91" i="6"/>
  <c r="AG91" i="6"/>
  <c r="AF91" i="6"/>
  <c r="AE91" i="6"/>
  <c r="AD91" i="6"/>
  <c r="AC91" i="6"/>
  <c r="AB91" i="6"/>
  <c r="AA91" i="6"/>
  <c r="Z91" i="6"/>
  <c r="Y91" i="6"/>
  <c r="X91" i="6"/>
  <c r="W91" i="6"/>
  <c r="V91" i="6"/>
  <c r="U91" i="6"/>
  <c r="T91" i="6"/>
  <c r="S91" i="6"/>
  <c r="R91" i="6"/>
  <c r="Q91" i="6"/>
  <c r="P91" i="6"/>
  <c r="O91" i="6"/>
  <c r="N91" i="6"/>
  <c r="M91" i="6"/>
  <c r="L91" i="6"/>
  <c r="K91" i="6"/>
  <c r="J91" i="6"/>
  <c r="I91" i="6"/>
  <c r="H91" i="6"/>
  <c r="G91" i="6"/>
  <c r="F91" i="6"/>
  <c r="E91" i="6"/>
  <c r="D91" i="6"/>
  <c r="C91" i="6"/>
  <c r="AJ90" i="6"/>
  <c r="AI90" i="6"/>
  <c r="AH90" i="6"/>
  <c r="AG90" i="6"/>
  <c r="AF90" i="6"/>
  <c r="AE90" i="6"/>
  <c r="AD90" i="6"/>
  <c r="AC90" i="6"/>
  <c r="AB90" i="6"/>
  <c r="AA90" i="6"/>
  <c r="Z90" i="6"/>
  <c r="Y90" i="6"/>
  <c r="X90" i="6"/>
  <c r="W90" i="6"/>
  <c r="V90" i="6"/>
  <c r="U90" i="6"/>
  <c r="T90" i="6"/>
  <c r="S90" i="6"/>
  <c r="R90" i="6"/>
  <c r="Q90" i="6"/>
  <c r="P90" i="6"/>
  <c r="O90" i="6"/>
  <c r="N90" i="6"/>
  <c r="M90" i="6"/>
  <c r="L90" i="6"/>
  <c r="K90" i="6"/>
  <c r="J90" i="6"/>
  <c r="I90" i="6"/>
  <c r="H90" i="6"/>
  <c r="G90" i="6"/>
  <c r="F90" i="6"/>
  <c r="E90" i="6"/>
  <c r="D90" i="6"/>
  <c r="C90" i="6"/>
  <c r="AJ89" i="6"/>
  <c r="AI89" i="6"/>
  <c r="AH89" i="6"/>
  <c r="AG89" i="6"/>
  <c r="AF89" i="6"/>
  <c r="AE89" i="6"/>
  <c r="AD89" i="6"/>
  <c r="AC89" i="6"/>
  <c r="AB89" i="6"/>
  <c r="AA89" i="6"/>
  <c r="Z89" i="6"/>
  <c r="Y89" i="6"/>
  <c r="X89" i="6"/>
  <c r="W89" i="6"/>
  <c r="V89" i="6"/>
  <c r="U89" i="6"/>
  <c r="T89" i="6"/>
  <c r="S89" i="6"/>
  <c r="R89" i="6"/>
  <c r="Q89" i="6"/>
  <c r="P89" i="6"/>
  <c r="O89" i="6"/>
  <c r="N89" i="6"/>
  <c r="M89" i="6"/>
  <c r="L89" i="6"/>
  <c r="K89" i="6"/>
  <c r="J89" i="6"/>
  <c r="I89" i="6"/>
  <c r="H89" i="6"/>
  <c r="G89" i="6"/>
  <c r="F89" i="6"/>
  <c r="E89" i="6"/>
  <c r="D89" i="6"/>
  <c r="C89"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H88" i="6"/>
  <c r="G88" i="6"/>
  <c r="F88" i="6"/>
  <c r="E88" i="6"/>
  <c r="D88" i="6"/>
  <c r="C88"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F87" i="6"/>
  <c r="E87" i="6"/>
  <c r="D87" i="6"/>
  <c r="C87" i="6"/>
  <c r="AJ86" i="6"/>
  <c r="AI86" i="6"/>
  <c r="AH86" i="6"/>
  <c r="AG86" i="6"/>
  <c r="AF86" i="6"/>
  <c r="AE86" i="6"/>
  <c r="AD86" i="6"/>
  <c r="AC86" i="6"/>
  <c r="AB86" i="6"/>
  <c r="AA86" i="6"/>
  <c r="Z86" i="6"/>
  <c r="Y86" i="6"/>
  <c r="X86" i="6"/>
  <c r="W86" i="6"/>
  <c r="V86" i="6"/>
  <c r="U86" i="6"/>
  <c r="T86" i="6"/>
  <c r="S86" i="6"/>
  <c r="R86" i="6"/>
  <c r="Q86" i="6"/>
  <c r="P86" i="6"/>
  <c r="O86" i="6"/>
  <c r="N86" i="6"/>
  <c r="M86" i="6"/>
  <c r="L86" i="6"/>
  <c r="K86" i="6"/>
  <c r="J86" i="6"/>
  <c r="I86" i="6"/>
  <c r="H86" i="6"/>
  <c r="G86" i="6"/>
  <c r="F86" i="6"/>
  <c r="E86" i="6"/>
  <c r="D86" i="6"/>
  <c r="C86"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F85" i="6"/>
  <c r="E85" i="6"/>
  <c r="D85" i="6"/>
  <c r="C85"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84" i="6"/>
  <c r="G84" i="6"/>
  <c r="F84" i="6"/>
  <c r="E84" i="6"/>
  <c r="D84" i="6"/>
  <c r="C84"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3" i="6"/>
  <c r="G83" i="6"/>
  <c r="F83" i="6"/>
  <c r="E83" i="6"/>
  <c r="D83" i="6"/>
  <c r="C83" i="6"/>
  <c r="AJ82" i="6"/>
  <c r="AI82" i="6"/>
  <c r="AH82" i="6"/>
  <c r="AG82" i="6"/>
  <c r="AF82" i="6"/>
  <c r="AE82" i="6"/>
  <c r="AD82" i="6"/>
  <c r="AC82" i="6"/>
  <c r="AB82" i="6"/>
  <c r="AA82" i="6"/>
  <c r="Z82" i="6"/>
  <c r="Y82" i="6"/>
  <c r="X82" i="6"/>
  <c r="W82" i="6"/>
  <c r="V82" i="6"/>
  <c r="U82" i="6"/>
  <c r="T82" i="6"/>
  <c r="S82" i="6"/>
  <c r="R82" i="6"/>
  <c r="Q82" i="6"/>
  <c r="P82" i="6"/>
  <c r="O82" i="6"/>
  <c r="N82" i="6"/>
  <c r="M82" i="6"/>
  <c r="L82" i="6"/>
  <c r="K82" i="6"/>
  <c r="J82" i="6"/>
  <c r="I82" i="6"/>
  <c r="H82" i="6"/>
  <c r="G82" i="6"/>
  <c r="F82" i="6"/>
  <c r="E82" i="6"/>
  <c r="D82" i="6"/>
  <c r="C82"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F81" i="6"/>
  <c r="E81" i="6"/>
  <c r="D81" i="6"/>
  <c r="C81"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G80" i="6"/>
  <c r="F80" i="6"/>
  <c r="E80" i="6"/>
  <c r="D80" i="6"/>
  <c r="C80" i="6"/>
  <c r="AJ79" i="6"/>
  <c r="AI79" i="6"/>
  <c r="AH79" i="6"/>
  <c r="AG79" i="6"/>
  <c r="AF79" i="6"/>
  <c r="AE79" i="6"/>
  <c r="AD79" i="6"/>
  <c r="AC79" i="6"/>
  <c r="AB79" i="6"/>
  <c r="AA79" i="6"/>
  <c r="Z79" i="6"/>
  <c r="Y79" i="6"/>
  <c r="X79" i="6"/>
  <c r="W79" i="6"/>
  <c r="V79" i="6"/>
  <c r="U79" i="6"/>
  <c r="T79" i="6"/>
  <c r="S79" i="6"/>
  <c r="R79" i="6"/>
  <c r="Q79" i="6"/>
  <c r="P79" i="6"/>
  <c r="O79" i="6"/>
  <c r="N79" i="6"/>
  <c r="M79" i="6"/>
  <c r="L79" i="6"/>
  <c r="K79" i="6"/>
  <c r="J79" i="6"/>
  <c r="I79" i="6"/>
  <c r="H79" i="6"/>
  <c r="G79" i="6"/>
  <c r="F79" i="6"/>
  <c r="E79" i="6"/>
  <c r="D79" i="6"/>
  <c r="C79"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G78" i="6"/>
  <c r="F78" i="6"/>
  <c r="E78" i="6"/>
  <c r="D78" i="6"/>
  <c r="C78"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G77" i="6"/>
  <c r="F77" i="6"/>
  <c r="E77" i="6"/>
  <c r="D77" i="6"/>
  <c r="C77" i="6"/>
  <c r="AJ76" i="6"/>
  <c r="AI76" i="6"/>
  <c r="AH76" i="6"/>
  <c r="AG76" i="6"/>
  <c r="AF76" i="6"/>
  <c r="AE76" i="6"/>
  <c r="AD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AJ75" i="6"/>
  <c r="AI75" i="6"/>
  <c r="AH75" i="6"/>
  <c r="AG75" i="6"/>
  <c r="AF75" i="6"/>
  <c r="AE75" i="6"/>
  <c r="AD75" i="6"/>
  <c r="AC75" i="6"/>
  <c r="AB75" i="6"/>
  <c r="AA75" i="6"/>
  <c r="Z75" i="6"/>
  <c r="Y75" i="6"/>
  <c r="X75" i="6"/>
  <c r="W75" i="6"/>
  <c r="V75" i="6"/>
  <c r="U75" i="6"/>
  <c r="T75" i="6"/>
  <c r="S75" i="6"/>
  <c r="R75" i="6"/>
  <c r="Q75" i="6"/>
  <c r="P75" i="6"/>
  <c r="O75" i="6"/>
  <c r="N75" i="6"/>
  <c r="M75" i="6"/>
  <c r="L75" i="6"/>
  <c r="K75" i="6"/>
  <c r="J75" i="6"/>
  <c r="I75" i="6"/>
  <c r="H75" i="6"/>
  <c r="G75" i="6"/>
  <c r="F75" i="6"/>
  <c r="E75" i="6"/>
  <c r="D75" i="6"/>
  <c r="C75" i="6"/>
  <c r="AJ74" i="6"/>
  <c r="AI74" i="6"/>
  <c r="AH74" i="6"/>
  <c r="AG74" i="6"/>
  <c r="AF74" i="6"/>
  <c r="AE74" i="6"/>
  <c r="AD74" i="6"/>
  <c r="AC74" i="6"/>
  <c r="AB74" i="6"/>
  <c r="AA74" i="6"/>
  <c r="Z74" i="6"/>
  <c r="Y74" i="6"/>
  <c r="X74" i="6"/>
  <c r="W74" i="6"/>
  <c r="V74" i="6"/>
  <c r="U74" i="6"/>
  <c r="T74" i="6"/>
  <c r="S74" i="6"/>
  <c r="R74" i="6"/>
  <c r="Q74" i="6"/>
  <c r="P74" i="6"/>
  <c r="O74" i="6"/>
  <c r="N74" i="6"/>
  <c r="M74" i="6"/>
  <c r="L74" i="6"/>
  <c r="K74" i="6"/>
  <c r="J74" i="6"/>
  <c r="I74" i="6"/>
  <c r="H74" i="6"/>
  <c r="G74" i="6"/>
  <c r="F74" i="6"/>
  <c r="E74" i="6"/>
  <c r="D74" i="6"/>
  <c r="C74" i="6"/>
  <c r="AJ73" i="6"/>
  <c r="AI73" i="6"/>
  <c r="AH73" i="6"/>
  <c r="AG73" i="6"/>
  <c r="AF73" i="6"/>
  <c r="AE73" i="6"/>
  <c r="AD73" i="6"/>
  <c r="AC73" i="6"/>
  <c r="AB73" i="6"/>
  <c r="AA73" i="6"/>
  <c r="Z73" i="6"/>
  <c r="Y73" i="6"/>
  <c r="X73" i="6"/>
  <c r="W73" i="6"/>
  <c r="V73" i="6"/>
  <c r="U73" i="6"/>
  <c r="T73" i="6"/>
  <c r="S73" i="6"/>
  <c r="R73" i="6"/>
  <c r="Q73" i="6"/>
  <c r="P73" i="6"/>
  <c r="O73" i="6"/>
  <c r="N73" i="6"/>
  <c r="M73" i="6"/>
  <c r="L73" i="6"/>
  <c r="K73" i="6"/>
  <c r="J73" i="6"/>
  <c r="I73" i="6"/>
  <c r="H73" i="6"/>
  <c r="G73" i="6"/>
  <c r="F73" i="6"/>
  <c r="E73" i="6"/>
  <c r="D73" i="6"/>
  <c r="C73"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C72" i="6"/>
  <c r="AJ70" i="6"/>
  <c r="AI70" i="6"/>
  <c r="AH70" i="6"/>
  <c r="AG70" i="6"/>
  <c r="AF70" i="6"/>
  <c r="AE70" i="6"/>
  <c r="AD70" i="6"/>
  <c r="AC70" i="6"/>
  <c r="AB70" i="6"/>
  <c r="AA70" i="6"/>
  <c r="Z70" i="6"/>
  <c r="Y70" i="6"/>
  <c r="X70" i="6"/>
  <c r="W70" i="6"/>
  <c r="V70" i="6"/>
  <c r="U70" i="6"/>
  <c r="T70" i="6"/>
  <c r="S70" i="6"/>
  <c r="R70" i="6"/>
  <c r="Q70" i="6"/>
  <c r="P70" i="6"/>
  <c r="O70" i="6"/>
  <c r="N70" i="6"/>
  <c r="M70" i="6"/>
  <c r="L70" i="6"/>
  <c r="K70" i="6"/>
  <c r="J70" i="6"/>
  <c r="I70" i="6"/>
  <c r="H70" i="6"/>
  <c r="G70" i="6"/>
  <c r="F70" i="6"/>
  <c r="E70" i="6"/>
  <c r="D70" i="6"/>
  <c r="C70" i="6"/>
  <c r="AJ69" i="6"/>
  <c r="AI69" i="6"/>
  <c r="AH69" i="6"/>
  <c r="AG69" i="6"/>
  <c r="AF69" i="6"/>
  <c r="AE69" i="6"/>
  <c r="AD69" i="6"/>
  <c r="AC69" i="6"/>
  <c r="AB69" i="6"/>
  <c r="AA69" i="6"/>
  <c r="Z69" i="6"/>
  <c r="Y69" i="6"/>
  <c r="X69" i="6"/>
  <c r="W69" i="6"/>
  <c r="V69" i="6"/>
  <c r="U69" i="6"/>
  <c r="T69" i="6"/>
  <c r="S69" i="6"/>
  <c r="R69" i="6"/>
  <c r="Q69" i="6"/>
  <c r="P69" i="6"/>
  <c r="O69" i="6"/>
  <c r="N69" i="6"/>
  <c r="M69" i="6"/>
  <c r="L69" i="6"/>
  <c r="K69" i="6"/>
  <c r="J69" i="6"/>
  <c r="I69" i="6"/>
  <c r="H69" i="6"/>
  <c r="G69" i="6"/>
  <c r="F69" i="6"/>
  <c r="E69" i="6"/>
  <c r="D69" i="6"/>
  <c r="C69" i="6"/>
  <c r="AJ68" i="6"/>
  <c r="AI68" i="6"/>
  <c r="AH68" i="6"/>
  <c r="AG68" i="6"/>
  <c r="AF68" i="6"/>
  <c r="AE68" i="6"/>
  <c r="AD68" i="6"/>
  <c r="AC68" i="6"/>
  <c r="AB68" i="6"/>
  <c r="AA68" i="6"/>
  <c r="Z68" i="6"/>
  <c r="Y68" i="6"/>
  <c r="X68" i="6"/>
  <c r="W68" i="6"/>
  <c r="V68" i="6"/>
  <c r="U68" i="6"/>
  <c r="T68" i="6"/>
  <c r="S68" i="6"/>
  <c r="R68" i="6"/>
  <c r="Q68" i="6"/>
  <c r="P68" i="6"/>
  <c r="O68" i="6"/>
  <c r="N68" i="6"/>
  <c r="M68" i="6"/>
  <c r="L68" i="6"/>
  <c r="K68" i="6"/>
  <c r="J68" i="6"/>
  <c r="I68" i="6"/>
  <c r="H68" i="6"/>
  <c r="G68" i="6"/>
  <c r="F68" i="6"/>
  <c r="E68" i="6"/>
  <c r="D68" i="6"/>
  <c r="C68" i="6"/>
  <c r="AJ67" i="6"/>
  <c r="AI67" i="6"/>
  <c r="AH67" i="6"/>
  <c r="AG67" i="6"/>
  <c r="AF67" i="6"/>
  <c r="AE67" i="6"/>
  <c r="AD67" i="6"/>
  <c r="AC67" i="6"/>
  <c r="AB67" i="6"/>
  <c r="AA67" i="6"/>
  <c r="Z67" i="6"/>
  <c r="Y67" i="6"/>
  <c r="X67" i="6"/>
  <c r="W67" i="6"/>
  <c r="V67" i="6"/>
  <c r="U67" i="6"/>
  <c r="T67" i="6"/>
  <c r="S67" i="6"/>
  <c r="R67" i="6"/>
  <c r="Q67" i="6"/>
  <c r="P67" i="6"/>
  <c r="O67" i="6"/>
  <c r="N67" i="6"/>
  <c r="M67" i="6"/>
  <c r="L67" i="6"/>
  <c r="K67" i="6"/>
  <c r="J67" i="6"/>
  <c r="I67" i="6"/>
  <c r="H67" i="6"/>
  <c r="G67" i="6"/>
  <c r="F67" i="6"/>
  <c r="E67" i="6"/>
  <c r="D67" i="6"/>
  <c r="C67" i="6"/>
  <c r="AJ66" i="6"/>
  <c r="AI66" i="6"/>
  <c r="AH66" i="6"/>
  <c r="AG66" i="6"/>
  <c r="AF66" i="6"/>
  <c r="AE66" i="6"/>
  <c r="AD66" i="6"/>
  <c r="AC66" i="6"/>
  <c r="AB66" i="6"/>
  <c r="AA66" i="6"/>
  <c r="Z66" i="6"/>
  <c r="Y66" i="6"/>
  <c r="X66" i="6"/>
  <c r="W66" i="6"/>
  <c r="V66" i="6"/>
  <c r="U66" i="6"/>
  <c r="T66" i="6"/>
  <c r="S66" i="6"/>
  <c r="R66" i="6"/>
  <c r="Q66" i="6"/>
  <c r="P66" i="6"/>
  <c r="O66" i="6"/>
  <c r="N66" i="6"/>
  <c r="M66" i="6"/>
  <c r="L66" i="6"/>
  <c r="K66" i="6"/>
  <c r="J66" i="6"/>
  <c r="I66" i="6"/>
  <c r="H66" i="6"/>
  <c r="G66" i="6"/>
  <c r="F66" i="6"/>
  <c r="E66" i="6"/>
  <c r="D66" i="6"/>
  <c r="C66" i="6"/>
  <c r="AJ65" i="6"/>
  <c r="AI65" i="6"/>
  <c r="AH65" i="6"/>
  <c r="AG65" i="6"/>
  <c r="AF65" i="6"/>
  <c r="AE65" i="6"/>
  <c r="AD65" i="6"/>
  <c r="AC65" i="6"/>
  <c r="AB65" i="6"/>
  <c r="AA65" i="6"/>
  <c r="Z65" i="6"/>
  <c r="Y65" i="6"/>
  <c r="X65" i="6"/>
  <c r="W65" i="6"/>
  <c r="V65" i="6"/>
  <c r="U65" i="6"/>
  <c r="T65" i="6"/>
  <c r="S65" i="6"/>
  <c r="R65" i="6"/>
  <c r="Q65" i="6"/>
  <c r="P65" i="6"/>
  <c r="O65" i="6"/>
  <c r="N65" i="6"/>
  <c r="M65" i="6"/>
  <c r="L65" i="6"/>
  <c r="K65" i="6"/>
  <c r="J65" i="6"/>
  <c r="I65" i="6"/>
  <c r="H65" i="6"/>
  <c r="G65" i="6"/>
  <c r="F65" i="6"/>
  <c r="E65" i="6"/>
  <c r="D65" i="6"/>
  <c r="C65" i="6"/>
  <c r="AJ64" i="6"/>
  <c r="AI64" i="6"/>
  <c r="AH64" i="6"/>
  <c r="AG64" i="6"/>
  <c r="AF64" i="6"/>
  <c r="AE64" i="6"/>
  <c r="AD64" i="6"/>
  <c r="AC64" i="6"/>
  <c r="AB64" i="6"/>
  <c r="AA64" i="6"/>
  <c r="Z64" i="6"/>
  <c r="Y64" i="6"/>
  <c r="X64" i="6"/>
  <c r="W64" i="6"/>
  <c r="V64" i="6"/>
  <c r="U64" i="6"/>
  <c r="T64" i="6"/>
  <c r="S64" i="6"/>
  <c r="R64" i="6"/>
  <c r="Q64" i="6"/>
  <c r="P64" i="6"/>
  <c r="O64" i="6"/>
  <c r="N64" i="6"/>
  <c r="M64" i="6"/>
  <c r="L64" i="6"/>
  <c r="K64" i="6"/>
  <c r="J64" i="6"/>
  <c r="I64" i="6"/>
  <c r="H64" i="6"/>
  <c r="G64" i="6"/>
  <c r="F64" i="6"/>
  <c r="E64" i="6"/>
  <c r="D64" i="6"/>
  <c r="C64" i="6"/>
  <c r="AJ63" i="6"/>
  <c r="AI63" i="6"/>
  <c r="AH63" i="6"/>
  <c r="AG63" i="6"/>
  <c r="AF63" i="6"/>
  <c r="AE63" i="6"/>
  <c r="AD63" i="6"/>
  <c r="AC63" i="6"/>
  <c r="AB63" i="6"/>
  <c r="AA63" i="6"/>
  <c r="Z63" i="6"/>
  <c r="Y63" i="6"/>
  <c r="X63" i="6"/>
  <c r="W63" i="6"/>
  <c r="V63" i="6"/>
  <c r="U63" i="6"/>
  <c r="T63" i="6"/>
  <c r="S63" i="6"/>
  <c r="R63" i="6"/>
  <c r="Q63" i="6"/>
  <c r="P63" i="6"/>
  <c r="O63" i="6"/>
  <c r="N63" i="6"/>
  <c r="M63" i="6"/>
  <c r="L63" i="6"/>
  <c r="K63" i="6"/>
  <c r="J63" i="6"/>
  <c r="I63" i="6"/>
  <c r="H63" i="6"/>
  <c r="G63" i="6"/>
  <c r="F63" i="6"/>
  <c r="E63" i="6"/>
  <c r="D63" i="6"/>
  <c r="C63" i="6"/>
  <c r="AJ62" i="6"/>
  <c r="AI62" i="6"/>
  <c r="AH62" i="6"/>
  <c r="AG62" i="6"/>
  <c r="AF62" i="6"/>
  <c r="AE62" i="6"/>
  <c r="AD62" i="6"/>
  <c r="AC62" i="6"/>
  <c r="AB62" i="6"/>
  <c r="AA62" i="6"/>
  <c r="Z62" i="6"/>
  <c r="Y62" i="6"/>
  <c r="X62" i="6"/>
  <c r="W62" i="6"/>
  <c r="V62" i="6"/>
  <c r="U62" i="6"/>
  <c r="T62" i="6"/>
  <c r="S62" i="6"/>
  <c r="R62" i="6"/>
  <c r="Q62" i="6"/>
  <c r="P62" i="6"/>
  <c r="O62" i="6"/>
  <c r="N62" i="6"/>
  <c r="M62" i="6"/>
  <c r="L62" i="6"/>
  <c r="K62" i="6"/>
  <c r="J62" i="6"/>
  <c r="I62" i="6"/>
  <c r="H62" i="6"/>
  <c r="G62" i="6"/>
  <c r="F62" i="6"/>
  <c r="E62" i="6"/>
  <c r="D62" i="6"/>
  <c r="C62" i="6"/>
  <c r="AJ61" i="6"/>
  <c r="AI61" i="6"/>
  <c r="AH61" i="6"/>
  <c r="AG61" i="6"/>
  <c r="AF61" i="6"/>
  <c r="AE61" i="6"/>
  <c r="AD61" i="6"/>
  <c r="AC61" i="6"/>
  <c r="AB61" i="6"/>
  <c r="AA61" i="6"/>
  <c r="Z61" i="6"/>
  <c r="Y61" i="6"/>
  <c r="X61" i="6"/>
  <c r="W61" i="6"/>
  <c r="V61" i="6"/>
  <c r="U61" i="6"/>
  <c r="T61" i="6"/>
  <c r="S61" i="6"/>
  <c r="R61" i="6"/>
  <c r="Q61" i="6"/>
  <c r="P61" i="6"/>
  <c r="O61" i="6"/>
  <c r="N61" i="6"/>
  <c r="M61" i="6"/>
  <c r="L61" i="6"/>
  <c r="K61" i="6"/>
  <c r="J61" i="6"/>
  <c r="I61" i="6"/>
  <c r="H61" i="6"/>
  <c r="G61" i="6"/>
  <c r="F61" i="6"/>
  <c r="E61" i="6"/>
  <c r="D61" i="6"/>
  <c r="C61" i="6"/>
  <c r="AJ60" i="6"/>
  <c r="AI60" i="6"/>
  <c r="AH60" i="6"/>
  <c r="AG60" i="6"/>
  <c r="AF60" i="6"/>
  <c r="AE60" i="6"/>
  <c r="AD60" i="6"/>
  <c r="AC60" i="6"/>
  <c r="AB60" i="6"/>
  <c r="AA60" i="6"/>
  <c r="Z60" i="6"/>
  <c r="Y60" i="6"/>
  <c r="X60" i="6"/>
  <c r="W60" i="6"/>
  <c r="V60" i="6"/>
  <c r="U60" i="6"/>
  <c r="T60" i="6"/>
  <c r="S60" i="6"/>
  <c r="R60" i="6"/>
  <c r="Q60" i="6"/>
  <c r="P60" i="6"/>
  <c r="O60" i="6"/>
  <c r="N60" i="6"/>
  <c r="M60" i="6"/>
  <c r="L60" i="6"/>
  <c r="K60" i="6"/>
  <c r="J60" i="6"/>
  <c r="I60" i="6"/>
  <c r="H60" i="6"/>
  <c r="G60" i="6"/>
  <c r="F60" i="6"/>
  <c r="E60" i="6"/>
  <c r="D60" i="6"/>
  <c r="C60"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F59" i="6"/>
  <c r="E59" i="6"/>
  <c r="D59" i="6"/>
  <c r="C59"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F58" i="6"/>
  <c r="E58" i="6"/>
  <c r="D58" i="6"/>
  <c r="C58"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F57" i="6"/>
  <c r="E57" i="6"/>
  <c r="D57" i="6"/>
  <c r="C57"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E56" i="6"/>
  <c r="D56" i="6"/>
  <c r="C56"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D55" i="6"/>
  <c r="C55" i="6"/>
  <c r="AJ5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AJ53" i="6"/>
  <c r="AI53" i="6"/>
  <c r="AH53" i="6"/>
  <c r="AG53" i="6"/>
  <c r="AF53" i="6"/>
  <c r="AE53" i="6"/>
  <c r="AD53" i="6"/>
  <c r="AC53" i="6"/>
  <c r="AB53" i="6"/>
  <c r="AA53" i="6"/>
  <c r="Z53" i="6"/>
  <c r="Y53" i="6"/>
  <c r="X53" i="6"/>
  <c r="W53" i="6"/>
  <c r="V53" i="6"/>
  <c r="U53" i="6"/>
  <c r="T53" i="6"/>
  <c r="S53" i="6"/>
  <c r="R53" i="6"/>
  <c r="Q53" i="6"/>
  <c r="P53" i="6"/>
  <c r="O53" i="6"/>
  <c r="N53" i="6"/>
  <c r="M53" i="6"/>
  <c r="L53" i="6"/>
  <c r="K53" i="6"/>
  <c r="J53" i="6"/>
  <c r="I53" i="6"/>
  <c r="H53" i="6"/>
  <c r="G53" i="6"/>
  <c r="F53" i="6"/>
  <c r="E53" i="6"/>
  <c r="D53" i="6"/>
  <c r="C53"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J51" i="6"/>
  <c r="AI51" i="6"/>
  <c r="AH51" i="6"/>
  <c r="AG51" i="6"/>
  <c r="AF51" i="6"/>
  <c r="AE51" i="6"/>
  <c r="AD51" i="6"/>
  <c r="AC51" i="6"/>
  <c r="AB51" i="6"/>
  <c r="AA51" i="6"/>
  <c r="Z51" i="6"/>
  <c r="Y51" i="6"/>
  <c r="X51" i="6"/>
  <c r="W51" i="6"/>
  <c r="V51" i="6"/>
  <c r="U51" i="6"/>
  <c r="T51" i="6"/>
  <c r="S51" i="6"/>
  <c r="R51" i="6"/>
  <c r="Q51" i="6"/>
  <c r="P51" i="6"/>
  <c r="O51" i="6"/>
  <c r="N51" i="6"/>
  <c r="M51" i="6"/>
  <c r="L51" i="6"/>
  <c r="K51" i="6"/>
  <c r="J51" i="6"/>
  <c r="I51" i="6"/>
  <c r="H51" i="6"/>
  <c r="G51" i="6"/>
  <c r="F51" i="6"/>
  <c r="E51" i="6"/>
  <c r="D51" i="6"/>
  <c r="C51"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F50" i="6"/>
  <c r="E50" i="6"/>
  <c r="D50" i="6"/>
  <c r="C50" i="6"/>
  <c r="AJ49" i="6"/>
  <c r="AI49" i="6"/>
  <c r="AH49" i="6"/>
  <c r="AG49" i="6"/>
  <c r="AF49" i="6"/>
  <c r="AE49" i="6"/>
  <c r="AD49" i="6"/>
  <c r="AC49" i="6"/>
  <c r="AB49" i="6"/>
  <c r="AA49" i="6"/>
  <c r="Z49" i="6"/>
  <c r="Y49" i="6"/>
  <c r="X49" i="6"/>
  <c r="W49" i="6"/>
  <c r="V49" i="6"/>
  <c r="U49" i="6"/>
  <c r="T49" i="6"/>
  <c r="S49" i="6"/>
  <c r="R49" i="6"/>
  <c r="Q49" i="6"/>
  <c r="P49" i="6"/>
  <c r="O49" i="6"/>
  <c r="N49" i="6"/>
  <c r="M49" i="6"/>
  <c r="L49" i="6"/>
  <c r="K49" i="6"/>
  <c r="J49" i="6"/>
  <c r="I49" i="6"/>
  <c r="H49" i="6"/>
  <c r="G49" i="6"/>
  <c r="F49" i="6"/>
  <c r="E49" i="6"/>
  <c r="D49" i="6"/>
  <c r="C49"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AJ47" i="6"/>
  <c r="AI47" i="6"/>
  <c r="AH47" i="6"/>
  <c r="AG47" i="6"/>
  <c r="AF47" i="6"/>
  <c r="AE47" i="6"/>
  <c r="AD47" i="6"/>
  <c r="AC47" i="6"/>
  <c r="AB47" i="6"/>
  <c r="AA47" i="6"/>
  <c r="Z47" i="6"/>
  <c r="Y47" i="6"/>
  <c r="X47" i="6"/>
  <c r="W47" i="6"/>
  <c r="V47" i="6"/>
  <c r="U47" i="6"/>
  <c r="T47" i="6"/>
  <c r="S47" i="6"/>
  <c r="R47" i="6"/>
  <c r="Q47" i="6"/>
  <c r="P47" i="6"/>
  <c r="O47" i="6"/>
  <c r="N47" i="6"/>
  <c r="M47" i="6"/>
  <c r="L47" i="6"/>
  <c r="K47" i="6"/>
  <c r="J47" i="6"/>
  <c r="I47" i="6"/>
  <c r="H47" i="6"/>
  <c r="G47" i="6"/>
  <c r="F47" i="6"/>
  <c r="E47" i="6"/>
  <c r="D47" i="6"/>
  <c r="C47" i="6"/>
  <c r="AJ46" i="6"/>
  <c r="AI46" i="6"/>
  <c r="AH46" i="6"/>
  <c r="AG46" i="6"/>
  <c r="AF46" i="6"/>
  <c r="AE46" i="6"/>
  <c r="AD46" i="6"/>
  <c r="AC46" i="6"/>
  <c r="AB46" i="6"/>
  <c r="AA46" i="6"/>
  <c r="Z46" i="6"/>
  <c r="Y46" i="6"/>
  <c r="X46" i="6"/>
  <c r="W46" i="6"/>
  <c r="V46" i="6"/>
  <c r="U46" i="6"/>
  <c r="T46" i="6"/>
  <c r="S46" i="6"/>
  <c r="R46" i="6"/>
  <c r="Q46" i="6"/>
  <c r="P46" i="6"/>
  <c r="O46" i="6"/>
  <c r="N46" i="6"/>
  <c r="M46" i="6"/>
  <c r="L46" i="6"/>
  <c r="K46" i="6"/>
  <c r="J46" i="6"/>
  <c r="I46" i="6"/>
  <c r="H46" i="6"/>
  <c r="G46" i="6"/>
  <c r="F46" i="6"/>
  <c r="E46" i="6"/>
  <c r="D46" i="6"/>
  <c r="C46" i="6"/>
  <c r="AJ45" i="6"/>
  <c r="AI45" i="6"/>
  <c r="AH45" i="6"/>
  <c r="AG45" i="6"/>
  <c r="AF45" i="6"/>
  <c r="AE45" i="6"/>
  <c r="AD45" i="6"/>
  <c r="AC45" i="6"/>
  <c r="AB45" i="6"/>
  <c r="AA45" i="6"/>
  <c r="Z45" i="6"/>
  <c r="Y45" i="6"/>
  <c r="X45" i="6"/>
  <c r="W45" i="6"/>
  <c r="V45" i="6"/>
  <c r="U45" i="6"/>
  <c r="T45" i="6"/>
  <c r="S45" i="6"/>
  <c r="R45" i="6"/>
  <c r="Q45" i="6"/>
  <c r="P45" i="6"/>
  <c r="O45" i="6"/>
  <c r="N45" i="6"/>
  <c r="M45" i="6"/>
  <c r="L45" i="6"/>
  <c r="K45" i="6"/>
  <c r="J45" i="6"/>
  <c r="I45" i="6"/>
  <c r="H45" i="6"/>
  <c r="G45" i="6"/>
  <c r="F45" i="6"/>
  <c r="E45" i="6"/>
  <c r="D45" i="6"/>
  <c r="C45" i="6"/>
  <c r="AJ44" i="6"/>
  <c r="AI44" i="6"/>
  <c r="AH44" i="6"/>
  <c r="AG44" i="6"/>
  <c r="AF44" i="6"/>
  <c r="AE44"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D43" i="6"/>
  <c r="C43"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G42" i="6"/>
  <c r="F42" i="6"/>
  <c r="E42" i="6"/>
  <c r="D42" i="6"/>
  <c r="C42" i="6"/>
  <c r="AJ41" i="6"/>
  <c r="AI41" i="6"/>
  <c r="AH41" i="6"/>
  <c r="AG41" i="6"/>
  <c r="AF41" i="6"/>
  <c r="AE41" i="6"/>
  <c r="AD41" i="6"/>
  <c r="AC41" i="6"/>
  <c r="AB41" i="6"/>
  <c r="AA41" i="6"/>
  <c r="Z41" i="6"/>
  <c r="Y41" i="6"/>
  <c r="X41" i="6"/>
  <c r="W41" i="6"/>
  <c r="V41" i="6"/>
  <c r="U41" i="6"/>
  <c r="T41" i="6"/>
  <c r="S41" i="6"/>
  <c r="R41" i="6"/>
  <c r="Q41" i="6"/>
  <c r="P41" i="6"/>
  <c r="O41" i="6"/>
  <c r="N41" i="6"/>
  <c r="M41" i="6"/>
  <c r="L41" i="6"/>
  <c r="K41" i="6"/>
  <c r="J41" i="6"/>
  <c r="I41" i="6"/>
  <c r="H41" i="6"/>
  <c r="G41" i="6"/>
  <c r="F41" i="6"/>
  <c r="E41" i="6"/>
  <c r="D41" i="6"/>
  <c r="C41"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AJ39" i="6"/>
  <c r="AI39" i="6"/>
  <c r="AH39" i="6"/>
  <c r="AG39" i="6"/>
  <c r="AF39" i="6"/>
  <c r="AE39" i="6"/>
  <c r="AD39" i="6"/>
  <c r="AC39" i="6"/>
  <c r="AB39" i="6"/>
  <c r="AA39" i="6"/>
  <c r="Z39" i="6"/>
  <c r="Y39" i="6"/>
  <c r="X39" i="6"/>
  <c r="W39" i="6"/>
  <c r="V39" i="6"/>
  <c r="U39" i="6"/>
  <c r="T39" i="6"/>
  <c r="S39" i="6"/>
  <c r="R39" i="6"/>
  <c r="Q39" i="6"/>
  <c r="P39" i="6"/>
  <c r="O39" i="6"/>
  <c r="N39" i="6"/>
  <c r="M39" i="6"/>
  <c r="L39" i="6"/>
  <c r="K39" i="6"/>
  <c r="J39" i="6"/>
  <c r="I39" i="6"/>
  <c r="H39" i="6"/>
  <c r="G39" i="6"/>
  <c r="F39" i="6"/>
  <c r="E39" i="6"/>
  <c r="D39" i="6"/>
  <c r="C39"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F38" i="6"/>
  <c r="E38" i="6"/>
  <c r="D38" i="6"/>
  <c r="C38" i="6"/>
  <c r="AJ37" i="6"/>
  <c r="AI37" i="6"/>
  <c r="AH37" i="6"/>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AJ29" i="6"/>
  <c r="AI29" i="6"/>
  <c r="AH29" i="6"/>
  <c r="AG29" i="6"/>
  <c r="AG153" i="6"/>
  <c r="AF29" i="6"/>
  <c r="AE29" i="6"/>
  <c r="AD29" i="6"/>
  <c r="AD153" i="6"/>
  <c r="AC29" i="6"/>
  <c r="AC153" i="6"/>
  <c r="AB29" i="6"/>
  <c r="AA29" i="6"/>
  <c r="Z29" i="6"/>
  <c r="Z153" i="6"/>
  <c r="Y29" i="6"/>
  <c r="Y153" i="6"/>
  <c r="X29" i="6"/>
  <c r="W29" i="6"/>
  <c r="V29" i="6"/>
  <c r="V153" i="6"/>
  <c r="U29" i="6"/>
  <c r="U153" i="6"/>
  <c r="T29" i="6"/>
  <c r="S29" i="6"/>
  <c r="R29" i="6"/>
  <c r="R153" i="6"/>
  <c r="Q29" i="6"/>
  <c r="Q153" i="6"/>
  <c r="P29" i="6"/>
  <c r="O29" i="6"/>
  <c r="N29" i="6"/>
  <c r="N153" i="6"/>
  <c r="M29" i="6"/>
  <c r="M153" i="6"/>
  <c r="L29" i="6"/>
  <c r="K29" i="6"/>
  <c r="J29" i="6"/>
  <c r="J153" i="6"/>
  <c r="I29" i="6"/>
  <c r="I153" i="6"/>
  <c r="H29" i="6"/>
  <c r="G29" i="6"/>
  <c r="F29" i="6"/>
  <c r="F153" i="6"/>
  <c r="E29" i="6"/>
  <c r="E153" i="6"/>
  <c r="D29" i="6"/>
  <c r="C29" i="6"/>
  <c r="C153" i="6"/>
  <c r="AH153" i="6"/>
  <c r="C143" i="6"/>
  <c r="G143" i="6"/>
  <c r="K143" i="6"/>
  <c r="O143" i="6"/>
  <c r="S143" i="6"/>
  <c r="W143" i="6"/>
  <c r="AA143" i="6"/>
  <c r="AE143" i="6"/>
  <c r="AI143" i="6"/>
  <c r="AK98" i="2"/>
  <c r="AL153" i="6"/>
  <c r="AK128" i="2"/>
  <c r="AL143" i="6"/>
  <c r="F143" i="6"/>
  <c r="J143" i="6"/>
  <c r="N143" i="6"/>
  <c r="R143" i="6"/>
  <c r="V143" i="6"/>
  <c r="Z143" i="6"/>
  <c r="AD143" i="6"/>
  <c r="AH143" i="6"/>
  <c r="D143" i="6"/>
  <c r="H143" i="6"/>
  <c r="L143" i="6"/>
  <c r="P143" i="6"/>
  <c r="T143" i="6"/>
  <c r="X143" i="6"/>
  <c r="AB143" i="6"/>
  <c r="AF143" i="6"/>
  <c r="AJ143" i="6"/>
  <c r="E143" i="6"/>
  <c r="I143" i="6"/>
  <c r="M143" i="6"/>
  <c r="Q143" i="6"/>
  <c r="U143" i="6"/>
  <c r="Y143" i="6"/>
  <c r="AC143" i="6"/>
  <c r="AG143" i="6"/>
  <c r="AK143" i="6"/>
  <c r="E151" i="6"/>
  <c r="I151" i="6"/>
  <c r="M151" i="6"/>
  <c r="Q151" i="6"/>
  <c r="U151" i="6"/>
  <c r="Y151" i="6"/>
  <c r="AC151" i="6"/>
  <c r="AG151" i="6"/>
  <c r="D148" i="6"/>
  <c r="H148" i="6"/>
  <c r="L148" i="6"/>
  <c r="P148" i="6"/>
  <c r="T148" i="6"/>
  <c r="X148" i="6"/>
  <c r="AB148" i="6"/>
  <c r="AF148" i="6"/>
  <c r="AJ148" i="6"/>
  <c r="F151" i="6"/>
  <c r="J151" i="6"/>
  <c r="N151" i="6"/>
  <c r="R151" i="6"/>
  <c r="V151" i="6"/>
  <c r="Z151" i="6"/>
  <c r="AD151" i="6"/>
  <c r="AH151" i="6"/>
  <c r="E148" i="6"/>
  <c r="I148" i="6"/>
  <c r="M148" i="6"/>
  <c r="Q148" i="6"/>
  <c r="U148" i="6"/>
  <c r="Y148" i="6"/>
  <c r="AC148" i="6"/>
  <c r="AG148" i="6"/>
  <c r="AK148" i="6"/>
  <c r="AK151" i="6"/>
  <c r="C151" i="6"/>
  <c r="G151" i="6"/>
  <c r="K151" i="6"/>
  <c r="O151" i="6"/>
  <c r="S151" i="6"/>
  <c r="W151" i="6"/>
  <c r="AA151" i="6"/>
  <c r="AE151" i="6"/>
  <c r="AI151" i="6"/>
  <c r="F148" i="6"/>
  <c r="J148" i="6"/>
  <c r="N148" i="6"/>
  <c r="R148" i="6"/>
  <c r="V148" i="6"/>
  <c r="Z148" i="6"/>
  <c r="AD148" i="6"/>
  <c r="AH148" i="6"/>
  <c r="AL151" i="6"/>
  <c r="D151" i="6"/>
  <c r="H151" i="6"/>
  <c r="L151" i="6"/>
  <c r="P151" i="6"/>
  <c r="T151" i="6"/>
  <c r="X151" i="6"/>
  <c r="AB151" i="6"/>
  <c r="AF151" i="6"/>
  <c r="AJ151" i="6"/>
  <c r="C148" i="6"/>
  <c r="G148" i="6"/>
  <c r="K148" i="6"/>
  <c r="O148" i="6"/>
  <c r="S148" i="6"/>
  <c r="W148" i="6"/>
  <c r="AA148" i="6"/>
  <c r="AE148" i="6"/>
  <c r="AI148" i="6"/>
  <c r="AL148" i="6"/>
  <c r="AK153" i="6"/>
  <c r="AL103" i="6"/>
  <c r="AK103" i="6"/>
  <c r="AH122" i="9"/>
  <c r="S153" i="6"/>
  <c r="AI153" i="6"/>
  <c r="AE153" i="6"/>
  <c r="AA153" i="6"/>
  <c r="W153" i="6"/>
  <c r="O153" i="6"/>
  <c r="K153" i="6"/>
  <c r="G153" i="6"/>
  <c r="D153" i="6"/>
  <c r="H153" i="6"/>
  <c r="L153" i="6"/>
  <c r="P153" i="6"/>
  <c r="T153" i="6"/>
  <c r="X153" i="6"/>
  <c r="AB153" i="6"/>
  <c r="AF153" i="6"/>
  <c r="AJ153" i="6"/>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C33" i="2"/>
  <c r="D39" i="9"/>
  <c r="D33" i="2"/>
  <c r="E39" i="9"/>
  <c r="E33" i="2"/>
  <c r="F39" i="9"/>
  <c r="F33" i="2"/>
  <c r="G39" i="9"/>
  <c r="G33" i="2"/>
  <c r="H39" i="9"/>
  <c r="H33" i="2"/>
  <c r="I39" i="9"/>
  <c r="I33" i="2"/>
  <c r="J39" i="9"/>
  <c r="J33" i="2"/>
  <c r="K39" i="9"/>
  <c r="K33" i="2"/>
  <c r="L39" i="9"/>
  <c r="L33" i="2"/>
  <c r="M39" i="9"/>
  <c r="M33" i="2"/>
  <c r="N39" i="9"/>
  <c r="N33" i="2"/>
  <c r="O39" i="9"/>
  <c r="O33" i="2"/>
  <c r="P39" i="9"/>
  <c r="P33" i="2"/>
  <c r="Q39" i="9"/>
  <c r="Q33" i="2"/>
  <c r="R39" i="9"/>
  <c r="R33" i="2"/>
  <c r="S39" i="9"/>
  <c r="S33" i="2"/>
  <c r="T39" i="9"/>
  <c r="T33" i="2"/>
  <c r="U39" i="9"/>
  <c r="U33" i="2"/>
  <c r="V39" i="9"/>
  <c r="V33" i="2"/>
  <c r="W39" i="9"/>
  <c r="W33" i="2"/>
  <c r="X39" i="9"/>
  <c r="X33" i="2"/>
  <c r="Y39" i="9"/>
  <c r="Y33" i="2"/>
  <c r="Z39" i="9"/>
  <c r="Z33" i="2"/>
  <c r="AA39" i="9"/>
  <c r="AA33" i="2"/>
  <c r="AB39" i="9"/>
  <c r="AB33" i="2"/>
  <c r="AC39" i="9"/>
  <c r="AC33" i="2"/>
  <c r="AD39" i="9"/>
  <c r="AD33" i="2"/>
  <c r="AE39" i="9"/>
  <c r="AE33" i="2"/>
  <c r="AF39" i="9"/>
  <c r="AF33" i="2"/>
  <c r="AG39" i="9"/>
  <c r="AG33" i="2"/>
  <c r="AH39" i="9"/>
  <c r="AH33" i="2"/>
  <c r="AI39" i="9"/>
  <c r="AI33" i="2"/>
  <c r="AJ39" i="9"/>
  <c r="AJ33" i="2"/>
  <c r="AK39" i="9"/>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C42" i="2"/>
  <c r="D44" i="9"/>
  <c r="D42" i="2"/>
  <c r="E44" i="9"/>
  <c r="E42" i="2"/>
  <c r="F44" i="9"/>
  <c r="F42" i="2"/>
  <c r="G44" i="9"/>
  <c r="G42" i="2"/>
  <c r="H44" i="9"/>
  <c r="H42" i="2"/>
  <c r="I44" i="9"/>
  <c r="I42" i="2"/>
  <c r="J44" i="9"/>
  <c r="J42" i="2"/>
  <c r="K44" i="9"/>
  <c r="K42" i="2"/>
  <c r="L44" i="9"/>
  <c r="L42" i="2"/>
  <c r="M44" i="9"/>
  <c r="M42" i="2"/>
  <c r="N44" i="9"/>
  <c r="N42" i="2"/>
  <c r="O44" i="9"/>
  <c r="O42" i="2"/>
  <c r="P44" i="9"/>
  <c r="P42" i="2"/>
  <c r="Q44" i="9"/>
  <c r="Q42" i="2"/>
  <c r="R44" i="9"/>
  <c r="R42" i="2"/>
  <c r="S44" i="9"/>
  <c r="S42" i="2"/>
  <c r="T44" i="9"/>
  <c r="T42" i="2"/>
  <c r="U44" i="9"/>
  <c r="U42" i="2"/>
  <c r="V44" i="9"/>
  <c r="V42" i="2"/>
  <c r="W44" i="9"/>
  <c r="W42" i="2"/>
  <c r="X44" i="9"/>
  <c r="X42" i="2"/>
  <c r="Y44" i="9"/>
  <c r="Y42" i="2"/>
  <c r="Z44" i="9"/>
  <c r="Z42" i="2"/>
  <c r="AA44" i="9"/>
  <c r="AA42" i="2"/>
  <c r="AB44" i="9"/>
  <c r="AB42" i="2"/>
  <c r="AC44" i="9"/>
  <c r="AC42" i="2"/>
  <c r="AD44" i="9"/>
  <c r="AD42" i="2"/>
  <c r="AE44" i="9"/>
  <c r="AE42" i="2"/>
  <c r="AF44" i="9"/>
  <c r="AF42" i="2"/>
  <c r="AG44" i="9"/>
  <c r="AG42" i="2"/>
  <c r="AH44" i="9"/>
  <c r="AH42" i="2"/>
  <c r="AI44" i="9"/>
  <c r="AI42" i="2"/>
  <c r="AJ44" i="9"/>
  <c r="AJ42" i="2"/>
  <c r="AK44" i="9"/>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C49" i="2"/>
  <c r="D46" i="9"/>
  <c r="D49" i="2"/>
  <c r="E46" i="9"/>
  <c r="E49" i="2"/>
  <c r="F46" i="9"/>
  <c r="F49" i="2"/>
  <c r="G46" i="9"/>
  <c r="G49" i="2"/>
  <c r="H46" i="9"/>
  <c r="H49" i="2"/>
  <c r="I46" i="9"/>
  <c r="I49" i="2"/>
  <c r="J46" i="9"/>
  <c r="J49" i="2"/>
  <c r="K46" i="9"/>
  <c r="K49" i="2"/>
  <c r="L46" i="9"/>
  <c r="L49" i="2"/>
  <c r="M46" i="9"/>
  <c r="M49" i="2"/>
  <c r="N46" i="9"/>
  <c r="N49" i="2"/>
  <c r="O46" i="9"/>
  <c r="O49" i="2"/>
  <c r="P46" i="9"/>
  <c r="P49" i="2"/>
  <c r="Q46" i="9"/>
  <c r="Q49" i="2"/>
  <c r="R46" i="9"/>
  <c r="R49" i="2"/>
  <c r="S46" i="9"/>
  <c r="S49" i="2"/>
  <c r="T46" i="9"/>
  <c r="T49" i="2"/>
  <c r="U46" i="9"/>
  <c r="U49" i="2"/>
  <c r="V46" i="9"/>
  <c r="V49" i="2"/>
  <c r="W46" i="9"/>
  <c r="W49" i="2"/>
  <c r="X46" i="9"/>
  <c r="X49" i="2"/>
  <c r="Y46" i="9"/>
  <c r="Y49" i="2"/>
  <c r="Z46" i="9"/>
  <c r="Z49" i="2"/>
  <c r="AA46" i="9"/>
  <c r="AA49" i="2"/>
  <c r="AB46" i="9"/>
  <c r="AB49" i="2"/>
  <c r="AC46" i="9"/>
  <c r="AC49" i="2"/>
  <c r="AD46" i="9"/>
  <c r="AD49" i="2"/>
  <c r="AE46" i="9"/>
  <c r="AE49" i="2"/>
  <c r="AF46" i="9"/>
  <c r="AF49" i="2"/>
  <c r="AG46" i="9"/>
  <c r="AG49" i="2"/>
  <c r="AH46" i="9"/>
  <c r="AH49" i="2"/>
  <c r="AI46" i="9"/>
  <c r="AI49" i="2"/>
  <c r="AJ46" i="9"/>
  <c r="AJ49" i="2"/>
  <c r="AK46" i="9"/>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C53" i="2"/>
  <c r="D47" i="9"/>
  <c r="D53" i="2"/>
  <c r="E47" i="9"/>
  <c r="E53" i="2"/>
  <c r="F47" i="9"/>
  <c r="F53" i="2"/>
  <c r="G47" i="9"/>
  <c r="G53" i="2"/>
  <c r="H47" i="9"/>
  <c r="H53" i="2"/>
  <c r="I47" i="9"/>
  <c r="I53" i="2"/>
  <c r="J47" i="9"/>
  <c r="J53" i="2"/>
  <c r="K47" i="9"/>
  <c r="K53" i="2"/>
  <c r="L47" i="9"/>
  <c r="L53" i="2"/>
  <c r="M47" i="9"/>
  <c r="M53" i="2"/>
  <c r="N47" i="9"/>
  <c r="N53" i="2"/>
  <c r="O47" i="9"/>
  <c r="O53" i="2"/>
  <c r="P47" i="9"/>
  <c r="P53" i="2"/>
  <c r="Q47" i="9"/>
  <c r="Q53" i="2"/>
  <c r="R47" i="9"/>
  <c r="R53" i="2"/>
  <c r="S47" i="9"/>
  <c r="S53" i="2"/>
  <c r="T47" i="9"/>
  <c r="T53" i="2"/>
  <c r="U47" i="9"/>
  <c r="U53" i="2"/>
  <c r="V47" i="9"/>
  <c r="V53" i="2"/>
  <c r="W47" i="9"/>
  <c r="W53" i="2"/>
  <c r="X47" i="9"/>
  <c r="X53" i="2"/>
  <c r="Y47" i="9"/>
  <c r="Y53" i="2"/>
  <c r="Z47" i="9"/>
  <c r="Z53" i="2"/>
  <c r="AA47" i="9"/>
  <c r="AA53" i="2"/>
  <c r="AB47" i="9"/>
  <c r="AB53" i="2"/>
  <c r="AC47" i="9"/>
  <c r="AC53" i="2"/>
  <c r="AD47" i="9"/>
  <c r="AD53" i="2"/>
  <c r="AE47" i="9"/>
  <c r="AE53" i="2"/>
  <c r="AF47" i="9"/>
  <c r="AF53" i="2"/>
  <c r="AG47" i="9"/>
  <c r="AG53" i="2"/>
  <c r="AH47" i="9"/>
  <c r="AH53" i="2"/>
  <c r="AI47" i="9"/>
  <c r="AI53" i="2"/>
  <c r="AJ47" i="9"/>
  <c r="AJ53" i="2"/>
  <c r="AK47" i="9"/>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C64" i="2"/>
  <c r="D52" i="9"/>
  <c r="D64" i="2"/>
  <c r="E52" i="9"/>
  <c r="E64" i="2"/>
  <c r="F52" i="9"/>
  <c r="F64" i="2"/>
  <c r="G52" i="9"/>
  <c r="G64" i="2"/>
  <c r="H52" i="9"/>
  <c r="H64" i="2"/>
  <c r="I52" i="9"/>
  <c r="I64" i="2"/>
  <c r="J52" i="9"/>
  <c r="J64" i="2"/>
  <c r="K52" i="9"/>
  <c r="K64" i="2"/>
  <c r="L52" i="9"/>
  <c r="L64" i="2"/>
  <c r="M52" i="9"/>
  <c r="M64" i="2"/>
  <c r="N52" i="9"/>
  <c r="N64" i="2"/>
  <c r="O52" i="9"/>
  <c r="O64" i="2"/>
  <c r="P52" i="9"/>
  <c r="P64" i="2"/>
  <c r="Q52" i="9"/>
  <c r="Q64" i="2"/>
  <c r="R52" i="9"/>
  <c r="R64" i="2"/>
  <c r="S52" i="9"/>
  <c r="S64" i="2"/>
  <c r="T52" i="9"/>
  <c r="T64" i="2"/>
  <c r="U52" i="9"/>
  <c r="U64" i="2"/>
  <c r="V52" i="9"/>
  <c r="V64" i="2"/>
  <c r="W52" i="9"/>
  <c r="W64" i="2"/>
  <c r="X52" i="9"/>
  <c r="X64" i="2"/>
  <c r="Y52" i="9"/>
  <c r="Y64" i="2"/>
  <c r="Z52" i="9"/>
  <c r="Z64" i="2"/>
  <c r="AA52" i="9"/>
  <c r="AA64" i="2"/>
  <c r="AB52" i="9"/>
  <c r="AB64" i="2"/>
  <c r="AC52" i="9"/>
  <c r="AC64" i="2"/>
  <c r="AD52" i="9"/>
  <c r="AD64" i="2"/>
  <c r="AE52" i="9"/>
  <c r="AE64" i="2"/>
  <c r="AF52" i="9"/>
  <c r="AF64" i="2"/>
  <c r="AG52" i="9"/>
  <c r="AG64" i="2"/>
  <c r="AH52" i="9"/>
  <c r="AH64" i="2"/>
  <c r="AI52" i="9"/>
  <c r="AI64" i="2"/>
  <c r="AJ52" i="9"/>
  <c r="AJ64" i="2"/>
  <c r="AK52" i="9"/>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C68" i="2"/>
  <c r="D54" i="9"/>
  <c r="D68" i="2"/>
  <c r="E54" i="9"/>
  <c r="E68" i="2"/>
  <c r="F54" i="9"/>
  <c r="F68" i="2"/>
  <c r="G54" i="9"/>
  <c r="G68" i="2"/>
  <c r="H54" i="9"/>
  <c r="H68" i="2"/>
  <c r="I54" i="9"/>
  <c r="I68" i="2"/>
  <c r="J54" i="9"/>
  <c r="J68" i="2"/>
  <c r="K54" i="9"/>
  <c r="K68" i="2"/>
  <c r="L54" i="9"/>
  <c r="L68" i="2"/>
  <c r="M54" i="9"/>
  <c r="M68" i="2"/>
  <c r="N54" i="9"/>
  <c r="N68" i="2"/>
  <c r="O54" i="9"/>
  <c r="O68" i="2"/>
  <c r="P54" i="9"/>
  <c r="P68" i="2"/>
  <c r="Q54" i="9"/>
  <c r="Q68" i="2"/>
  <c r="R54" i="9"/>
  <c r="R68" i="2"/>
  <c r="S54" i="9"/>
  <c r="S68" i="2"/>
  <c r="T54" i="9"/>
  <c r="T68" i="2"/>
  <c r="U54" i="9"/>
  <c r="U68" i="2"/>
  <c r="V54" i="9"/>
  <c r="V68" i="2"/>
  <c r="W54" i="9"/>
  <c r="W68" i="2"/>
  <c r="X54" i="9"/>
  <c r="X68" i="2"/>
  <c r="Y54" i="9"/>
  <c r="Y68" i="2"/>
  <c r="Z54" i="9"/>
  <c r="Z68" i="2"/>
  <c r="AA54" i="9"/>
  <c r="AA68" i="2"/>
  <c r="AB54" i="9"/>
  <c r="AB68" i="2"/>
  <c r="AC54" i="9"/>
  <c r="AC68" i="2"/>
  <c r="AD54" i="9"/>
  <c r="AD68" i="2"/>
  <c r="AE54" i="9"/>
  <c r="AE68" i="2"/>
  <c r="AF54" i="9"/>
  <c r="AF68" i="2"/>
  <c r="AG54" i="9"/>
  <c r="AG68" i="2"/>
  <c r="AH54" i="9"/>
  <c r="AH68" i="2"/>
  <c r="AI54" i="9"/>
  <c r="AI68" i="2"/>
  <c r="AJ54" i="9"/>
  <c r="AJ68" i="2"/>
  <c r="AK54" i="9"/>
  <c r="C69" i="2"/>
  <c r="D55" i="9"/>
  <c r="D69" i="2"/>
  <c r="E55" i="9"/>
  <c r="E69" i="2"/>
  <c r="F55" i="9"/>
  <c r="F69" i="2"/>
  <c r="G55" i="9"/>
  <c r="G69" i="2"/>
  <c r="H55" i="9"/>
  <c r="H69" i="2"/>
  <c r="I55" i="9"/>
  <c r="I69" i="2"/>
  <c r="J55" i="9"/>
  <c r="J69" i="2"/>
  <c r="K55" i="9"/>
  <c r="K69" i="2"/>
  <c r="L55" i="9"/>
  <c r="L69" i="2"/>
  <c r="M55" i="9"/>
  <c r="M69" i="2"/>
  <c r="N55" i="9"/>
  <c r="N69" i="2"/>
  <c r="O55" i="9"/>
  <c r="O69" i="2"/>
  <c r="P55" i="9"/>
  <c r="P69" i="2"/>
  <c r="Q55" i="9"/>
  <c r="Q69" i="2"/>
  <c r="R55" i="9"/>
  <c r="R69" i="2"/>
  <c r="S55" i="9"/>
  <c r="S69" i="2"/>
  <c r="T55" i="9"/>
  <c r="T69" i="2"/>
  <c r="U55" i="9"/>
  <c r="U69" i="2"/>
  <c r="V55" i="9"/>
  <c r="V69" i="2"/>
  <c r="W55" i="9"/>
  <c r="W69" i="2"/>
  <c r="X55" i="9"/>
  <c r="X69" i="2"/>
  <c r="Y55" i="9"/>
  <c r="Y69" i="2"/>
  <c r="Z55" i="9"/>
  <c r="Z69" i="2"/>
  <c r="AA55" i="9"/>
  <c r="AA69" i="2"/>
  <c r="AB55" i="9"/>
  <c r="AB69" i="2"/>
  <c r="AC55" i="9"/>
  <c r="AC69" i="2"/>
  <c r="AD55" i="9"/>
  <c r="AD69" i="2"/>
  <c r="AE55" i="9"/>
  <c r="AE69" i="2"/>
  <c r="AF55" i="9"/>
  <c r="AF69" i="2"/>
  <c r="AG55" i="9"/>
  <c r="AG69" i="2"/>
  <c r="AH55" i="9"/>
  <c r="AH69" i="2"/>
  <c r="AI55" i="9"/>
  <c r="AI69" i="2"/>
  <c r="AJ55" i="9"/>
  <c r="AJ69" i="2"/>
  <c r="AK55" i="9"/>
  <c r="C70" i="2"/>
  <c r="D56" i="9"/>
  <c r="D70" i="2"/>
  <c r="E56" i="9"/>
  <c r="E70" i="2"/>
  <c r="F56" i="9"/>
  <c r="F70" i="2"/>
  <c r="G56" i="9"/>
  <c r="G70" i="2"/>
  <c r="H56" i="9"/>
  <c r="H70" i="2"/>
  <c r="I56" i="9"/>
  <c r="I70" i="2"/>
  <c r="J56" i="9"/>
  <c r="J70" i="2"/>
  <c r="K56" i="9"/>
  <c r="K70" i="2"/>
  <c r="L56" i="9"/>
  <c r="L70" i="2"/>
  <c r="M56" i="9"/>
  <c r="M70" i="2"/>
  <c r="N56" i="9"/>
  <c r="N70" i="2"/>
  <c r="O56" i="9"/>
  <c r="O70" i="2"/>
  <c r="P56" i="9"/>
  <c r="P70" i="2"/>
  <c r="Q56" i="9"/>
  <c r="Q70" i="2"/>
  <c r="R56" i="9"/>
  <c r="R70" i="2"/>
  <c r="S56" i="9"/>
  <c r="S70" i="2"/>
  <c r="T56" i="9"/>
  <c r="T70" i="2"/>
  <c r="U56" i="9"/>
  <c r="U70" i="2"/>
  <c r="V56" i="9"/>
  <c r="V70" i="2"/>
  <c r="W56" i="9"/>
  <c r="W70" i="2"/>
  <c r="X56" i="9"/>
  <c r="X70" i="2"/>
  <c r="Y56" i="9"/>
  <c r="Y70" i="2"/>
  <c r="Z56" i="9"/>
  <c r="Z70" i="2"/>
  <c r="AA56" i="9"/>
  <c r="AA70" i="2"/>
  <c r="AB56" i="9"/>
  <c r="AB70" i="2"/>
  <c r="AC56" i="9"/>
  <c r="AC70" i="2"/>
  <c r="AD56" i="9"/>
  <c r="AD70" i="2"/>
  <c r="AE56" i="9"/>
  <c r="AE70" i="2"/>
  <c r="AF56" i="9"/>
  <c r="AF70" i="2"/>
  <c r="AG56" i="9"/>
  <c r="AG70" i="2"/>
  <c r="AH56" i="9"/>
  <c r="AH70" i="2"/>
  <c r="AI56" i="9"/>
  <c r="AI70" i="2"/>
  <c r="AJ56" i="9"/>
  <c r="AJ70" i="2"/>
  <c r="AK56" i="9"/>
  <c r="C71" i="2"/>
  <c r="D57" i="9"/>
  <c r="D71" i="2"/>
  <c r="E57" i="9"/>
  <c r="E71" i="2"/>
  <c r="F57" i="9"/>
  <c r="F71" i="2"/>
  <c r="G57" i="9"/>
  <c r="G71" i="2"/>
  <c r="H57" i="9"/>
  <c r="H71" i="2"/>
  <c r="I57" i="9"/>
  <c r="I71" i="2"/>
  <c r="J57" i="9"/>
  <c r="J71" i="2"/>
  <c r="K57" i="9"/>
  <c r="K71" i="2"/>
  <c r="L57" i="9"/>
  <c r="L71" i="2"/>
  <c r="M57" i="9"/>
  <c r="M71" i="2"/>
  <c r="N57" i="9"/>
  <c r="N71" i="2"/>
  <c r="O57" i="9"/>
  <c r="O71" i="2"/>
  <c r="P57" i="9"/>
  <c r="P71" i="2"/>
  <c r="Q57" i="9"/>
  <c r="Q71" i="2"/>
  <c r="R57" i="9"/>
  <c r="R71" i="2"/>
  <c r="S57" i="9"/>
  <c r="S71" i="2"/>
  <c r="T57" i="9"/>
  <c r="T71" i="2"/>
  <c r="U57" i="9"/>
  <c r="U71" i="2"/>
  <c r="V57" i="9"/>
  <c r="V71" i="2"/>
  <c r="W57" i="9"/>
  <c r="W71" i="2"/>
  <c r="X57" i="9"/>
  <c r="X71" i="2"/>
  <c r="Y57" i="9"/>
  <c r="Y71" i="2"/>
  <c r="Z57" i="9"/>
  <c r="Z71" i="2"/>
  <c r="AA57" i="9"/>
  <c r="AA71" i="2"/>
  <c r="AB57" i="9"/>
  <c r="AB71" i="2"/>
  <c r="AC57" i="9"/>
  <c r="AC71" i="2"/>
  <c r="AD57" i="9"/>
  <c r="AD71" i="2"/>
  <c r="AE57" i="9"/>
  <c r="AE71" i="2"/>
  <c r="AF57" i="9"/>
  <c r="AF71" i="2"/>
  <c r="AG57" i="9"/>
  <c r="AG71" i="2"/>
  <c r="AH57" i="9"/>
  <c r="AH71" i="2"/>
  <c r="AI57" i="9"/>
  <c r="AI71" i="2"/>
  <c r="AJ57" i="9"/>
  <c r="AJ71" i="2"/>
  <c r="AK57" i="9"/>
  <c r="C72" i="2"/>
  <c r="D58" i="9"/>
  <c r="D72" i="2"/>
  <c r="E58" i="9"/>
  <c r="E72" i="2"/>
  <c r="F58" i="9"/>
  <c r="F72" i="2"/>
  <c r="G58" i="9"/>
  <c r="G72" i="2"/>
  <c r="H58" i="9"/>
  <c r="H72" i="2"/>
  <c r="I58" i="9"/>
  <c r="I72" i="2"/>
  <c r="J58" i="9"/>
  <c r="J72" i="2"/>
  <c r="K58" i="9"/>
  <c r="K72" i="2"/>
  <c r="L58" i="9"/>
  <c r="L72" i="2"/>
  <c r="M58" i="9"/>
  <c r="M72" i="2"/>
  <c r="N58" i="9"/>
  <c r="N72" i="2"/>
  <c r="O58" i="9"/>
  <c r="O72" i="2"/>
  <c r="P58" i="9"/>
  <c r="P72" i="2"/>
  <c r="Q58" i="9"/>
  <c r="Q72" i="2"/>
  <c r="R58" i="9"/>
  <c r="R72" i="2"/>
  <c r="S58" i="9"/>
  <c r="S72" i="2"/>
  <c r="T58" i="9"/>
  <c r="T72" i="2"/>
  <c r="U58" i="9"/>
  <c r="U72" i="2"/>
  <c r="V58" i="9"/>
  <c r="V72" i="2"/>
  <c r="W58" i="9"/>
  <c r="W72" i="2"/>
  <c r="X58" i="9"/>
  <c r="X72" i="2"/>
  <c r="Y58" i="9"/>
  <c r="Y72" i="2"/>
  <c r="Z58" i="9"/>
  <c r="Z72" i="2"/>
  <c r="AA58" i="9"/>
  <c r="AA72" i="2"/>
  <c r="AB58" i="9"/>
  <c r="AB72" i="2"/>
  <c r="AC58" i="9"/>
  <c r="AC72" i="2"/>
  <c r="AD58" i="9"/>
  <c r="AD72" i="2"/>
  <c r="AE58" i="9"/>
  <c r="AE72" i="2"/>
  <c r="AF58" i="9"/>
  <c r="AF72" i="2"/>
  <c r="AG58" i="9"/>
  <c r="AG72" i="2"/>
  <c r="AH58" i="9"/>
  <c r="AH72" i="2"/>
  <c r="AI58" i="9"/>
  <c r="AI72" i="2"/>
  <c r="AJ58" i="9"/>
  <c r="AJ72" i="2"/>
  <c r="AK58" i="9"/>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C95" i="2"/>
  <c r="D68" i="9"/>
  <c r="D95" i="2"/>
  <c r="E68" i="9"/>
  <c r="E95" i="2"/>
  <c r="F68" i="9"/>
  <c r="F95" i="2"/>
  <c r="G68" i="9"/>
  <c r="G95" i="2"/>
  <c r="H68" i="9"/>
  <c r="H95" i="2"/>
  <c r="I68" i="9"/>
  <c r="I95" i="2"/>
  <c r="J68" i="9"/>
  <c r="J95" i="2"/>
  <c r="K68" i="9"/>
  <c r="K95" i="2"/>
  <c r="L68" i="9"/>
  <c r="L95" i="2"/>
  <c r="M68" i="9"/>
  <c r="M95" i="2"/>
  <c r="N68" i="9"/>
  <c r="N95" i="2"/>
  <c r="O68" i="9"/>
  <c r="O95" i="2"/>
  <c r="P68" i="9"/>
  <c r="P95" i="2"/>
  <c r="Q68" i="9"/>
  <c r="Q95" i="2"/>
  <c r="R68" i="9"/>
  <c r="R95" i="2"/>
  <c r="S68" i="9"/>
  <c r="S95" i="2"/>
  <c r="T68" i="9"/>
  <c r="T95" i="2"/>
  <c r="U68" i="9"/>
  <c r="U95" i="2"/>
  <c r="V68" i="9"/>
  <c r="V95" i="2"/>
  <c r="W68" i="9"/>
  <c r="W95" i="2"/>
  <c r="X68" i="9"/>
  <c r="X95" i="2"/>
  <c r="Y68" i="9"/>
  <c r="Y95" i="2"/>
  <c r="Z68" i="9"/>
  <c r="Z95" i="2"/>
  <c r="AA68" i="9"/>
  <c r="AA95" i="2"/>
  <c r="AB68" i="9"/>
  <c r="AB95" i="2"/>
  <c r="AC68" i="9"/>
  <c r="AC95" i="2"/>
  <c r="AD68" i="9"/>
  <c r="AD95" i="2"/>
  <c r="AE68" i="9"/>
  <c r="AE95" i="2"/>
  <c r="AF68" i="9"/>
  <c r="AF95" i="2"/>
  <c r="AG68" i="9"/>
  <c r="AG95" i="2"/>
  <c r="AH68" i="9"/>
  <c r="AH95" i="2"/>
  <c r="AI68" i="9"/>
  <c r="AI95" i="2"/>
  <c r="AJ68" i="9"/>
  <c r="AJ95" i="2"/>
  <c r="AK68" i="9"/>
  <c r="C96" i="2"/>
  <c r="D69" i="9"/>
  <c r="D96" i="2"/>
  <c r="E69" i="9"/>
  <c r="E96" i="2"/>
  <c r="F69" i="9"/>
  <c r="F96" i="2"/>
  <c r="G69" i="9"/>
  <c r="G96" i="2"/>
  <c r="H69" i="9"/>
  <c r="H96" i="2"/>
  <c r="I69" i="9"/>
  <c r="I96" i="2"/>
  <c r="J69" i="9"/>
  <c r="J96" i="2"/>
  <c r="K69" i="9"/>
  <c r="K96" i="2"/>
  <c r="L69" i="9"/>
  <c r="L96" i="2"/>
  <c r="M69" i="9"/>
  <c r="M96" i="2"/>
  <c r="N69" i="9"/>
  <c r="N96" i="2"/>
  <c r="O69" i="9"/>
  <c r="O96" i="2"/>
  <c r="P69" i="9"/>
  <c r="P96" i="2"/>
  <c r="Q69" i="9"/>
  <c r="Q96" i="2"/>
  <c r="R69" i="9"/>
  <c r="R96" i="2"/>
  <c r="S69" i="9"/>
  <c r="S96" i="2"/>
  <c r="T69" i="9"/>
  <c r="T96" i="2"/>
  <c r="U69" i="9"/>
  <c r="U96" i="2"/>
  <c r="V69" i="9"/>
  <c r="V96" i="2"/>
  <c r="W69" i="9"/>
  <c r="W96" i="2"/>
  <c r="X69" i="9"/>
  <c r="X96" i="2"/>
  <c r="Y69" i="9"/>
  <c r="Y96" i="2"/>
  <c r="Z69" i="9"/>
  <c r="Z96" i="2"/>
  <c r="AA69" i="9"/>
  <c r="AA96" i="2"/>
  <c r="AB69" i="9"/>
  <c r="AB96" i="2"/>
  <c r="AC69" i="9"/>
  <c r="AC96" i="2"/>
  <c r="AD69" i="9"/>
  <c r="AD96" i="2"/>
  <c r="AE69" i="9"/>
  <c r="AE96" i="2"/>
  <c r="AF69" i="9"/>
  <c r="AF96" i="2"/>
  <c r="AG69" i="9"/>
  <c r="AG96" i="2"/>
  <c r="AH69" i="9"/>
  <c r="AH96" i="2"/>
  <c r="AI69" i="9"/>
  <c r="AI96" i="2"/>
  <c r="AJ69" i="9"/>
  <c r="AJ96" i="2"/>
  <c r="AK69" i="9"/>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C99" i="2"/>
  <c r="D99"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C102" i="2"/>
  <c r="D76" i="9"/>
  <c r="D102" i="2"/>
  <c r="E76" i="9"/>
  <c r="E102" i="2"/>
  <c r="F76" i="9"/>
  <c r="F102" i="2"/>
  <c r="G76" i="9"/>
  <c r="G102" i="2"/>
  <c r="H76" i="9"/>
  <c r="H102" i="2"/>
  <c r="I76" i="9"/>
  <c r="I102" i="2"/>
  <c r="J76" i="9"/>
  <c r="J102" i="2"/>
  <c r="K76" i="9"/>
  <c r="K102" i="2"/>
  <c r="L76" i="9"/>
  <c r="L102" i="2"/>
  <c r="M76" i="9"/>
  <c r="M102" i="2"/>
  <c r="N76" i="9"/>
  <c r="N102" i="2"/>
  <c r="O76" i="9"/>
  <c r="O102" i="2"/>
  <c r="P76" i="9"/>
  <c r="P102" i="2"/>
  <c r="Q76" i="9"/>
  <c r="Q102" i="2"/>
  <c r="R76" i="9"/>
  <c r="R102" i="2"/>
  <c r="S76" i="9"/>
  <c r="S102" i="2"/>
  <c r="T76" i="9"/>
  <c r="T102" i="2"/>
  <c r="U76" i="9"/>
  <c r="U102" i="2"/>
  <c r="V76" i="9"/>
  <c r="V102" i="2"/>
  <c r="W76" i="9"/>
  <c r="W102" i="2"/>
  <c r="X76" i="9"/>
  <c r="X102" i="2"/>
  <c r="Y76" i="9"/>
  <c r="Y102" i="2"/>
  <c r="Z76" i="9"/>
  <c r="Z102" i="2"/>
  <c r="AA76" i="9"/>
  <c r="AA102" i="2"/>
  <c r="AB76" i="9"/>
  <c r="AB102" i="2"/>
  <c r="AC76" i="9"/>
  <c r="AC102" i="2"/>
  <c r="AD76" i="9"/>
  <c r="AD102" i="2"/>
  <c r="AE76" i="9"/>
  <c r="AE102" i="2"/>
  <c r="AF76" i="9"/>
  <c r="AF102" i="2"/>
  <c r="AG76" i="9"/>
  <c r="AG102" i="2"/>
  <c r="AH76" i="9"/>
  <c r="AH102" i="2"/>
  <c r="AI76" i="9"/>
  <c r="AI102" i="2"/>
  <c r="AJ76" i="9"/>
  <c r="AJ102" i="2"/>
  <c r="AK76" i="9"/>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82" i="9"/>
  <c r="AB107" i="2"/>
  <c r="AC82" i="9"/>
  <c r="AC107" i="2"/>
  <c r="AD82" i="9"/>
  <c r="AD107" i="2"/>
  <c r="AE82" i="9"/>
  <c r="AE107" i="2"/>
  <c r="AF82" i="9"/>
  <c r="AF107" i="2"/>
  <c r="AG82" i="9"/>
  <c r="AG107" i="2"/>
  <c r="AH82" i="9"/>
  <c r="AH107" i="2"/>
  <c r="AI82" i="9"/>
  <c r="AI107" i="2"/>
  <c r="AJ82" i="9"/>
  <c r="AJ107"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C109" i="2"/>
  <c r="D84" i="9"/>
  <c r="D109" i="2"/>
  <c r="E84" i="9"/>
  <c r="E109" i="2"/>
  <c r="F84" i="9"/>
  <c r="F109" i="2"/>
  <c r="G84" i="9"/>
  <c r="G109" i="2"/>
  <c r="H84" i="9"/>
  <c r="H109" i="2"/>
  <c r="I84" i="9"/>
  <c r="I109" i="2"/>
  <c r="J84" i="9"/>
  <c r="J109" i="2"/>
  <c r="K84" i="9"/>
  <c r="K109" i="2"/>
  <c r="L84" i="9"/>
  <c r="L109" i="2"/>
  <c r="M84" i="9"/>
  <c r="M109" i="2"/>
  <c r="N84" i="9"/>
  <c r="N109" i="2"/>
  <c r="O84" i="9"/>
  <c r="O109" i="2"/>
  <c r="P84" i="9"/>
  <c r="P109" i="2"/>
  <c r="Q84" i="9"/>
  <c r="Q109" i="2"/>
  <c r="R84" i="9"/>
  <c r="R109" i="2"/>
  <c r="S84" i="9"/>
  <c r="S109" i="2"/>
  <c r="T84" i="9"/>
  <c r="T109" i="2"/>
  <c r="U84" i="9"/>
  <c r="U109" i="2"/>
  <c r="V84" i="9"/>
  <c r="V109" i="2"/>
  <c r="W84" i="9"/>
  <c r="W109" i="2"/>
  <c r="X84" i="9"/>
  <c r="X109" i="2"/>
  <c r="Y84" i="9"/>
  <c r="Y109" i="2"/>
  <c r="Z84" i="9"/>
  <c r="Z109" i="2"/>
  <c r="AA84" i="9"/>
  <c r="AA109" i="2"/>
  <c r="AB84" i="9"/>
  <c r="AB109" i="2"/>
  <c r="AC84" i="9"/>
  <c r="AC109" i="2"/>
  <c r="AD84" i="9"/>
  <c r="AD109" i="2"/>
  <c r="AE84" i="9"/>
  <c r="AE109" i="2"/>
  <c r="AF84" i="9"/>
  <c r="AF109" i="2"/>
  <c r="AG84" i="9"/>
  <c r="AG109" i="2"/>
  <c r="AH84" i="9"/>
  <c r="AH109" i="2"/>
  <c r="AI84" i="9"/>
  <c r="AI109" i="2"/>
  <c r="AJ84" i="9"/>
  <c r="AJ109" i="2"/>
  <c r="AK84" i="9"/>
  <c r="C110" i="2"/>
  <c r="D85" i="9"/>
  <c r="D110" i="2"/>
  <c r="E85" i="9"/>
  <c r="E110" i="2"/>
  <c r="F85" i="9"/>
  <c r="F110" i="2"/>
  <c r="G85" i="9"/>
  <c r="G110" i="2"/>
  <c r="H85" i="9"/>
  <c r="H110" i="2"/>
  <c r="I85" i="9"/>
  <c r="I110" i="2"/>
  <c r="J85" i="9"/>
  <c r="J110" i="2"/>
  <c r="K85" i="9"/>
  <c r="K110" i="2"/>
  <c r="L85" i="9"/>
  <c r="L110" i="2"/>
  <c r="M85" i="9"/>
  <c r="M110" i="2"/>
  <c r="N85" i="9"/>
  <c r="N110" i="2"/>
  <c r="O85" i="9"/>
  <c r="O110" i="2"/>
  <c r="P85" i="9"/>
  <c r="P110" i="2"/>
  <c r="Q85" i="9"/>
  <c r="Q110" i="2"/>
  <c r="R85" i="9"/>
  <c r="R110" i="2"/>
  <c r="S85" i="9"/>
  <c r="S110" i="2"/>
  <c r="T85" i="9"/>
  <c r="T110" i="2"/>
  <c r="U85" i="9"/>
  <c r="U110" i="2"/>
  <c r="V85" i="9"/>
  <c r="V110" i="2"/>
  <c r="W85" i="9"/>
  <c r="W110" i="2"/>
  <c r="X85" i="9"/>
  <c r="X110" i="2"/>
  <c r="Y85" i="9"/>
  <c r="Y110" i="2"/>
  <c r="Z85" i="9"/>
  <c r="Z110" i="2"/>
  <c r="AA85" i="9"/>
  <c r="AA110" i="2"/>
  <c r="AB85" i="9"/>
  <c r="AB110" i="2"/>
  <c r="AC85" i="9"/>
  <c r="AC110" i="2"/>
  <c r="AD85" i="9"/>
  <c r="AD110" i="2"/>
  <c r="AE85" i="9"/>
  <c r="AE110" i="2"/>
  <c r="AF85" i="9"/>
  <c r="AF110" i="2"/>
  <c r="AG85" i="9"/>
  <c r="AG110" i="2"/>
  <c r="AH85" i="9"/>
  <c r="AH110" i="2"/>
  <c r="AI85" i="9"/>
  <c r="AI110" i="2"/>
  <c r="AJ85" i="9"/>
  <c r="AJ110" i="2"/>
  <c r="AK85" i="9"/>
  <c r="C111" i="2"/>
  <c r="D86" i="9"/>
  <c r="D111" i="2"/>
  <c r="E86" i="9"/>
  <c r="E111" i="2"/>
  <c r="F86" i="9"/>
  <c r="F111" i="2"/>
  <c r="G86" i="9"/>
  <c r="G111" i="2"/>
  <c r="H86" i="9"/>
  <c r="H111" i="2"/>
  <c r="I86" i="9"/>
  <c r="I111" i="2"/>
  <c r="J86" i="9"/>
  <c r="J111" i="2"/>
  <c r="K86" i="9"/>
  <c r="K111" i="2"/>
  <c r="L86" i="9"/>
  <c r="L111" i="2"/>
  <c r="M86" i="9"/>
  <c r="M111" i="2"/>
  <c r="N86" i="9"/>
  <c r="N111" i="2"/>
  <c r="O86" i="9"/>
  <c r="O111" i="2"/>
  <c r="P86" i="9"/>
  <c r="P111" i="2"/>
  <c r="Q86" i="9"/>
  <c r="Q111" i="2"/>
  <c r="R86" i="9"/>
  <c r="R111" i="2"/>
  <c r="S86" i="9"/>
  <c r="S111" i="2"/>
  <c r="T86" i="9"/>
  <c r="T111" i="2"/>
  <c r="U86" i="9"/>
  <c r="U111" i="2"/>
  <c r="V86" i="9"/>
  <c r="V111" i="2"/>
  <c r="W86" i="9"/>
  <c r="W111" i="2"/>
  <c r="X86" i="9"/>
  <c r="X111" i="2"/>
  <c r="Y86" i="9"/>
  <c r="Y111" i="2"/>
  <c r="Z86" i="9"/>
  <c r="Z111" i="2"/>
  <c r="AA86" i="9"/>
  <c r="AA111" i="2"/>
  <c r="AB86" i="9"/>
  <c r="AB111" i="2"/>
  <c r="AC86" i="9"/>
  <c r="AC111" i="2"/>
  <c r="AD86" i="9"/>
  <c r="AD111" i="2"/>
  <c r="AE86" i="9"/>
  <c r="AE111" i="2"/>
  <c r="AF86" i="9"/>
  <c r="AF111" i="2"/>
  <c r="AG86" i="9"/>
  <c r="AG111" i="2"/>
  <c r="AH86" i="9"/>
  <c r="AH111" i="2"/>
  <c r="AI86" i="9"/>
  <c r="AI111" i="2"/>
  <c r="AJ86" i="9"/>
  <c r="AJ111" i="2"/>
  <c r="AK86" i="9"/>
  <c r="C112" i="2"/>
  <c r="D87" i="9"/>
  <c r="D112" i="2"/>
  <c r="E87" i="9"/>
  <c r="E112" i="2"/>
  <c r="F87" i="9"/>
  <c r="F112" i="2"/>
  <c r="G87" i="9"/>
  <c r="G112" i="2"/>
  <c r="H87" i="9"/>
  <c r="H112" i="2"/>
  <c r="I87" i="9"/>
  <c r="I112" i="2"/>
  <c r="J87" i="9"/>
  <c r="J112" i="2"/>
  <c r="K87" i="9"/>
  <c r="K112" i="2"/>
  <c r="L87" i="9"/>
  <c r="L112" i="2"/>
  <c r="M87" i="9"/>
  <c r="M112" i="2"/>
  <c r="N87" i="9"/>
  <c r="N112" i="2"/>
  <c r="O87" i="9"/>
  <c r="O112" i="2"/>
  <c r="P87" i="9"/>
  <c r="P112" i="2"/>
  <c r="Q87" i="9"/>
  <c r="Q112" i="2"/>
  <c r="R87" i="9"/>
  <c r="R112" i="2"/>
  <c r="S87" i="9"/>
  <c r="S112" i="2"/>
  <c r="T87" i="9"/>
  <c r="T112" i="2"/>
  <c r="U87" i="9"/>
  <c r="U112" i="2"/>
  <c r="V87" i="9"/>
  <c r="V112" i="2"/>
  <c r="W87" i="9"/>
  <c r="W112" i="2"/>
  <c r="X87" i="9"/>
  <c r="X112" i="2"/>
  <c r="Y87" i="9"/>
  <c r="Y112" i="2"/>
  <c r="Z87" i="9"/>
  <c r="Z112" i="2"/>
  <c r="AA87" i="9"/>
  <c r="AA112" i="2"/>
  <c r="AB87" i="9"/>
  <c r="AB112" i="2"/>
  <c r="AC87" i="9"/>
  <c r="AC112" i="2"/>
  <c r="AD87" i="9"/>
  <c r="AD112" i="2"/>
  <c r="AE87" i="9"/>
  <c r="AE112" i="2"/>
  <c r="AF87" i="9"/>
  <c r="AF112" i="2"/>
  <c r="AG87" i="9"/>
  <c r="AG112" i="2"/>
  <c r="AH87" i="9"/>
  <c r="AH112" i="2"/>
  <c r="AI87" i="9"/>
  <c r="AI112" i="2"/>
  <c r="AJ87" i="9"/>
  <c r="AJ112" i="2"/>
  <c r="AK87" i="9"/>
  <c r="C113" i="2"/>
  <c r="D88" i="9"/>
  <c r="D113" i="2"/>
  <c r="E88" i="9"/>
  <c r="E113" i="2"/>
  <c r="F88" i="9"/>
  <c r="F113" i="2"/>
  <c r="G88" i="9"/>
  <c r="G113" i="2"/>
  <c r="H88" i="9"/>
  <c r="H113" i="2"/>
  <c r="I88" i="9"/>
  <c r="I113" i="2"/>
  <c r="J88" i="9"/>
  <c r="J113" i="2"/>
  <c r="K88" i="9"/>
  <c r="K113" i="2"/>
  <c r="L88" i="9"/>
  <c r="L113" i="2"/>
  <c r="M88" i="9"/>
  <c r="M113" i="2"/>
  <c r="N88" i="9"/>
  <c r="N113" i="2"/>
  <c r="O88" i="9"/>
  <c r="O113" i="2"/>
  <c r="P88" i="9"/>
  <c r="P113" i="2"/>
  <c r="Q88" i="9"/>
  <c r="Q113" i="2"/>
  <c r="R88" i="9"/>
  <c r="R113" i="2"/>
  <c r="S88" i="9"/>
  <c r="S113" i="2"/>
  <c r="T88" i="9"/>
  <c r="T113" i="2"/>
  <c r="U88" i="9"/>
  <c r="U113" i="2"/>
  <c r="V88" i="9"/>
  <c r="V113" i="2"/>
  <c r="W88" i="9"/>
  <c r="W113" i="2"/>
  <c r="X88" i="9"/>
  <c r="X113" i="2"/>
  <c r="Y88" i="9"/>
  <c r="Y113" i="2"/>
  <c r="Z88" i="9"/>
  <c r="Z113" i="2"/>
  <c r="AA88" i="9"/>
  <c r="AA113" i="2"/>
  <c r="AB88" i="9"/>
  <c r="AB113" i="2"/>
  <c r="AC88" i="9"/>
  <c r="AC113" i="2"/>
  <c r="AD88" i="9"/>
  <c r="AD113" i="2"/>
  <c r="AE88" i="9"/>
  <c r="AE113" i="2"/>
  <c r="AF88" i="9"/>
  <c r="AF113" i="2"/>
  <c r="AG88" i="9"/>
  <c r="AG113" i="2"/>
  <c r="AH88" i="9"/>
  <c r="AH113" i="2"/>
  <c r="AI88" i="9"/>
  <c r="AI113" i="2"/>
  <c r="AJ88" i="9"/>
  <c r="AJ113" i="2"/>
  <c r="AK88" i="9"/>
  <c r="C114" i="2"/>
  <c r="D89" i="9"/>
  <c r="D114" i="2"/>
  <c r="E89" i="9"/>
  <c r="E114" i="2"/>
  <c r="F89" i="9"/>
  <c r="F114" i="2"/>
  <c r="G89" i="9"/>
  <c r="G114" i="2"/>
  <c r="H89" i="9"/>
  <c r="H114" i="2"/>
  <c r="I89" i="9"/>
  <c r="I114" i="2"/>
  <c r="J89" i="9"/>
  <c r="J114" i="2"/>
  <c r="K89" i="9"/>
  <c r="K114" i="2"/>
  <c r="L89" i="9"/>
  <c r="L114" i="2"/>
  <c r="M89" i="9"/>
  <c r="M114" i="2"/>
  <c r="N89" i="9"/>
  <c r="N114" i="2"/>
  <c r="O89" i="9"/>
  <c r="O114" i="2"/>
  <c r="P89" i="9"/>
  <c r="P114" i="2"/>
  <c r="Q89" i="9"/>
  <c r="Q114" i="2"/>
  <c r="R89" i="9"/>
  <c r="R114" i="2"/>
  <c r="S89" i="9"/>
  <c r="S114" i="2"/>
  <c r="T89" i="9"/>
  <c r="T114" i="2"/>
  <c r="U89" i="9"/>
  <c r="U114" i="2"/>
  <c r="V89" i="9"/>
  <c r="V114" i="2"/>
  <c r="W89" i="9"/>
  <c r="W114" i="2"/>
  <c r="X89" i="9"/>
  <c r="X114" i="2"/>
  <c r="Y89" i="9"/>
  <c r="Y114" i="2"/>
  <c r="Z89" i="9"/>
  <c r="Z114" i="2"/>
  <c r="AA89" i="9"/>
  <c r="AA114" i="2"/>
  <c r="AB89" i="9"/>
  <c r="AB114" i="2"/>
  <c r="AC89" i="9"/>
  <c r="AC114" i="2"/>
  <c r="AD89" i="9"/>
  <c r="AD114" i="2"/>
  <c r="AE89" i="9"/>
  <c r="AE114" i="2"/>
  <c r="AF89" i="9"/>
  <c r="AF114" i="2"/>
  <c r="AG89" i="9"/>
  <c r="AG114" i="2"/>
  <c r="AH89" i="9"/>
  <c r="AH114" i="2"/>
  <c r="AI89" i="9"/>
  <c r="AI114" i="2"/>
  <c r="AJ89" i="9"/>
  <c r="AJ114" i="2"/>
  <c r="AK89" i="9"/>
  <c r="C115" i="2"/>
  <c r="D90" i="9"/>
  <c r="D115" i="2"/>
  <c r="E90" i="9"/>
  <c r="E115" i="2"/>
  <c r="F90" i="9"/>
  <c r="F115" i="2"/>
  <c r="G90" i="9"/>
  <c r="G115" i="2"/>
  <c r="H90" i="9"/>
  <c r="H115" i="2"/>
  <c r="I90" i="9"/>
  <c r="I115" i="2"/>
  <c r="J90" i="9"/>
  <c r="J115" i="2"/>
  <c r="K90" i="9"/>
  <c r="K115" i="2"/>
  <c r="L90" i="9"/>
  <c r="L115" i="2"/>
  <c r="M90" i="9"/>
  <c r="M115" i="2"/>
  <c r="N90" i="9"/>
  <c r="N115" i="2"/>
  <c r="O90" i="9"/>
  <c r="O115" i="2"/>
  <c r="P90" i="9"/>
  <c r="P115" i="2"/>
  <c r="Q90" i="9"/>
  <c r="Q115" i="2"/>
  <c r="R90" i="9"/>
  <c r="R115" i="2"/>
  <c r="S90" i="9"/>
  <c r="S115" i="2"/>
  <c r="T90" i="9"/>
  <c r="T115" i="2"/>
  <c r="U90" i="9"/>
  <c r="U115" i="2"/>
  <c r="V90" i="9"/>
  <c r="V115" i="2"/>
  <c r="W90" i="9"/>
  <c r="W115" i="2"/>
  <c r="X90" i="9"/>
  <c r="X115" i="2"/>
  <c r="Y90" i="9"/>
  <c r="Y115" i="2"/>
  <c r="Z90" i="9"/>
  <c r="Z115" i="2"/>
  <c r="AA90" i="9"/>
  <c r="AA115" i="2"/>
  <c r="AB90" i="9"/>
  <c r="AB115" i="2"/>
  <c r="AC90" i="9"/>
  <c r="AC115" i="2"/>
  <c r="AD90" i="9"/>
  <c r="AD115" i="2"/>
  <c r="AE90" i="9"/>
  <c r="AE115" i="2"/>
  <c r="AF90" i="9"/>
  <c r="AF115" i="2"/>
  <c r="AG90" i="9"/>
  <c r="AG115" i="2"/>
  <c r="AH90" i="9"/>
  <c r="AH115" i="2"/>
  <c r="AI90" i="9"/>
  <c r="AI115" i="2"/>
  <c r="AJ90" i="9"/>
  <c r="AJ115" i="2"/>
  <c r="AK90" i="9"/>
  <c r="C116" i="2"/>
  <c r="D116"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C117" i="2"/>
  <c r="D91" i="9"/>
  <c r="D117" i="2"/>
  <c r="E91" i="9"/>
  <c r="E117" i="2"/>
  <c r="F91" i="9"/>
  <c r="F117" i="2"/>
  <c r="G91" i="9"/>
  <c r="G117" i="2"/>
  <c r="H91" i="9"/>
  <c r="H117" i="2"/>
  <c r="I91" i="9"/>
  <c r="I117" i="2"/>
  <c r="J91" i="9"/>
  <c r="J117" i="2"/>
  <c r="K91" i="9"/>
  <c r="K117" i="2"/>
  <c r="L91" i="9"/>
  <c r="L117" i="2"/>
  <c r="M91" i="9"/>
  <c r="M117" i="2"/>
  <c r="N91" i="9"/>
  <c r="N117" i="2"/>
  <c r="O91" i="9"/>
  <c r="O117" i="2"/>
  <c r="P91" i="9"/>
  <c r="P117" i="2"/>
  <c r="Q91" i="9"/>
  <c r="Q117" i="2"/>
  <c r="R91" i="9"/>
  <c r="R117" i="2"/>
  <c r="S91" i="9"/>
  <c r="S117" i="2"/>
  <c r="T91" i="9"/>
  <c r="T117" i="2"/>
  <c r="U91" i="9"/>
  <c r="U117" i="2"/>
  <c r="V91" i="9"/>
  <c r="V117" i="2"/>
  <c r="W91" i="9"/>
  <c r="W117" i="2"/>
  <c r="X91" i="9"/>
  <c r="X117" i="2"/>
  <c r="Y91" i="9"/>
  <c r="Y117" i="2"/>
  <c r="Z91" i="9"/>
  <c r="Z117" i="2"/>
  <c r="AA91" i="9"/>
  <c r="AA117" i="2"/>
  <c r="AB91" i="9"/>
  <c r="AB117" i="2"/>
  <c r="AC91" i="9"/>
  <c r="AC117" i="2"/>
  <c r="AD91" i="9"/>
  <c r="AD117" i="2"/>
  <c r="AE91" i="9"/>
  <c r="AE117" i="2"/>
  <c r="AF91" i="9"/>
  <c r="AF117" i="2"/>
  <c r="AG91" i="9"/>
  <c r="AG117" i="2"/>
  <c r="AH91" i="9"/>
  <c r="AH117" i="2"/>
  <c r="AI91" i="9"/>
  <c r="AI117" i="2"/>
  <c r="AJ91" i="9"/>
  <c r="AJ117" i="2"/>
  <c r="AK91" i="9"/>
  <c r="C118" i="2"/>
  <c r="D118"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C119" i="2"/>
  <c r="D119"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C120" i="2"/>
  <c r="D120"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C121" i="2"/>
  <c r="D121"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C122" i="2"/>
  <c r="D95" i="9"/>
  <c r="D122" i="2"/>
  <c r="E95" i="9"/>
  <c r="E122" i="2"/>
  <c r="F95" i="9"/>
  <c r="F122" i="2"/>
  <c r="G95" i="9"/>
  <c r="G122" i="2"/>
  <c r="H95" i="9"/>
  <c r="H122" i="2"/>
  <c r="I95" i="9"/>
  <c r="I122" i="2"/>
  <c r="J95" i="9"/>
  <c r="J122" i="2"/>
  <c r="K95" i="9"/>
  <c r="K122" i="2"/>
  <c r="L95" i="9"/>
  <c r="L122" i="2"/>
  <c r="M95" i="9"/>
  <c r="M122" i="2"/>
  <c r="N95" i="9"/>
  <c r="N122" i="2"/>
  <c r="O95" i="9"/>
  <c r="O122" i="2"/>
  <c r="P95" i="9"/>
  <c r="P122" i="2"/>
  <c r="Q95" i="9"/>
  <c r="Q122" i="2"/>
  <c r="R95" i="9"/>
  <c r="R122" i="2"/>
  <c r="S95" i="9"/>
  <c r="S122" i="2"/>
  <c r="T95" i="9"/>
  <c r="T122" i="2"/>
  <c r="U95" i="9"/>
  <c r="U122" i="2"/>
  <c r="V95" i="9"/>
  <c r="V122" i="2"/>
  <c r="W95" i="9"/>
  <c r="W122" i="2"/>
  <c r="X95" i="9"/>
  <c r="X122" i="2"/>
  <c r="Y95" i="9"/>
  <c r="Y122" i="2"/>
  <c r="Z95" i="9"/>
  <c r="Z122" i="2"/>
  <c r="AA95" i="9"/>
  <c r="AA122" i="2"/>
  <c r="AB95" i="9"/>
  <c r="AB122" i="2"/>
  <c r="AC95" i="9"/>
  <c r="AC122" i="2"/>
  <c r="AD95" i="9"/>
  <c r="AD122" i="2"/>
  <c r="AE95" i="9"/>
  <c r="AE122" i="2"/>
  <c r="AF95" i="9"/>
  <c r="AF122" i="2"/>
  <c r="AG95" i="9"/>
  <c r="AG122" i="2"/>
  <c r="AH95" i="9"/>
  <c r="AH122" i="2"/>
  <c r="AI95" i="9"/>
  <c r="AI122" i="2"/>
  <c r="AJ95" i="9"/>
  <c r="AJ122" i="2"/>
  <c r="AK95" i="9"/>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C124" i="2"/>
  <c r="D124"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C125" i="2"/>
  <c r="D103" i="9"/>
  <c r="D125" i="2"/>
  <c r="E103" i="9"/>
  <c r="E125" i="2"/>
  <c r="F103" i="9"/>
  <c r="F125" i="2"/>
  <c r="G103" i="9"/>
  <c r="G125" i="2"/>
  <c r="H103" i="9"/>
  <c r="H125" i="2"/>
  <c r="I103" i="9"/>
  <c r="I125" i="2"/>
  <c r="J103" i="9"/>
  <c r="J125" i="2"/>
  <c r="K103" i="9"/>
  <c r="K125" i="2"/>
  <c r="L103" i="9"/>
  <c r="L125" i="2"/>
  <c r="M103" i="9"/>
  <c r="M125" i="2"/>
  <c r="N103" i="9"/>
  <c r="N125" i="2"/>
  <c r="O103" i="9"/>
  <c r="O125" i="2"/>
  <c r="P103" i="9"/>
  <c r="P125" i="2"/>
  <c r="Q103" i="9"/>
  <c r="Q125" i="2"/>
  <c r="R103" i="9"/>
  <c r="R125" i="2"/>
  <c r="S103" i="9"/>
  <c r="S125" i="2"/>
  <c r="T103" i="9"/>
  <c r="T125" i="2"/>
  <c r="U103" i="9"/>
  <c r="U125" i="2"/>
  <c r="V103" i="9"/>
  <c r="V125" i="2"/>
  <c r="W103" i="9"/>
  <c r="W125" i="2"/>
  <c r="X103" i="9"/>
  <c r="X125" i="2"/>
  <c r="Y103" i="9"/>
  <c r="Y125" i="2"/>
  <c r="Z103" i="9"/>
  <c r="Z125" i="2"/>
  <c r="AA103" i="9"/>
  <c r="AA125" i="2"/>
  <c r="AB103" i="9"/>
  <c r="AB125" i="2"/>
  <c r="AC103" i="9"/>
  <c r="AC125" i="2"/>
  <c r="AD103" i="9"/>
  <c r="AD125" i="2"/>
  <c r="AE103" i="9"/>
  <c r="AE125" i="2"/>
  <c r="AF103" i="9"/>
  <c r="AF125" i="2"/>
  <c r="AG103" i="9"/>
  <c r="AG125" i="2"/>
  <c r="AH103" i="9"/>
  <c r="AH125" i="2"/>
  <c r="AI103" i="9"/>
  <c r="AI125" i="2"/>
  <c r="AJ103" i="9"/>
  <c r="AJ125" i="2"/>
  <c r="AK103" i="9"/>
  <c r="C126" i="2"/>
  <c r="D126"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C7" i="2"/>
  <c r="D8" i="9"/>
  <c r="D7" i="2"/>
  <c r="E8" i="9"/>
  <c r="E7" i="2"/>
  <c r="F8" i="9"/>
  <c r="F7" i="2"/>
  <c r="G8" i="9"/>
  <c r="G7" i="2"/>
  <c r="H8" i="9"/>
  <c r="H7" i="2"/>
  <c r="I8" i="9"/>
  <c r="I7" i="2"/>
  <c r="J8" i="9"/>
  <c r="J7" i="2"/>
  <c r="K8" i="9"/>
  <c r="K7" i="2"/>
  <c r="L8" i="9"/>
  <c r="L7" i="2"/>
  <c r="M8" i="9"/>
  <c r="M7" i="2"/>
  <c r="N8" i="9"/>
  <c r="N7" i="2"/>
  <c r="O8" i="9"/>
  <c r="O7" i="2"/>
  <c r="P8" i="9"/>
  <c r="P7" i="2"/>
  <c r="Q8" i="9"/>
  <c r="Q7" i="2"/>
  <c r="R8" i="9"/>
  <c r="R7" i="2"/>
  <c r="S8" i="9"/>
  <c r="S7" i="2"/>
  <c r="T8" i="9"/>
  <c r="T7" i="2"/>
  <c r="U8" i="9"/>
  <c r="U7" i="2"/>
  <c r="V8" i="9"/>
  <c r="V7" i="2"/>
  <c r="W8" i="9"/>
  <c r="W7" i="2"/>
  <c r="X8" i="9"/>
  <c r="X7" i="2"/>
  <c r="Y8" i="9"/>
  <c r="Y7" i="2"/>
  <c r="Z8" i="9"/>
  <c r="Z7" i="2"/>
  <c r="AA8" i="9"/>
  <c r="AA7" i="2"/>
  <c r="AB8" i="9"/>
  <c r="AB7" i="2"/>
  <c r="AC8" i="9"/>
  <c r="AC7" i="2"/>
  <c r="AD8" i="9"/>
  <c r="AD7" i="2"/>
  <c r="AE8" i="9"/>
  <c r="AE7" i="2"/>
  <c r="AF8" i="9"/>
  <c r="AF7" i="2"/>
  <c r="AG8" i="9"/>
  <c r="AG7" i="2"/>
  <c r="AH8" i="9"/>
  <c r="AH7" i="2"/>
  <c r="AI8" i="9"/>
  <c r="AI7" i="2"/>
  <c r="AJ8" i="9"/>
  <c r="AJ7" i="2"/>
  <c r="AK8" i="9"/>
  <c r="C8" i="2"/>
  <c r="D9" i="9"/>
  <c r="D8" i="2"/>
  <c r="E9" i="9"/>
  <c r="E8" i="2"/>
  <c r="F9" i="9"/>
  <c r="F8" i="2"/>
  <c r="G9" i="9"/>
  <c r="G8" i="2"/>
  <c r="H9" i="9"/>
  <c r="H8" i="2"/>
  <c r="I9" i="9"/>
  <c r="I8" i="2"/>
  <c r="J9" i="9"/>
  <c r="J8" i="2"/>
  <c r="K9" i="9"/>
  <c r="K8" i="2"/>
  <c r="L9" i="9"/>
  <c r="L8" i="2"/>
  <c r="M9" i="9"/>
  <c r="M8" i="2"/>
  <c r="N9" i="9"/>
  <c r="N8" i="2"/>
  <c r="O9" i="9"/>
  <c r="O8" i="2"/>
  <c r="P9" i="9"/>
  <c r="P8" i="2"/>
  <c r="Q9" i="9"/>
  <c r="Q8" i="2"/>
  <c r="R9" i="9"/>
  <c r="R8" i="2"/>
  <c r="S9" i="9"/>
  <c r="S8" i="2"/>
  <c r="T9" i="9"/>
  <c r="T8" i="2"/>
  <c r="U9" i="9"/>
  <c r="U8" i="2"/>
  <c r="V9" i="9"/>
  <c r="V8" i="2"/>
  <c r="W9" i="9"/>
  <c r="W8" i="2"/>
  <c r="X9" i="9"/>
  <c r="X8" i="2"/>
  <c r="Y9" i="9"/>
  <c r="Y8" i="2"/>
  <c r="Z9" i="9"/>
  <c r="Z8" i="2"/>
  <c r="AA9" i="9"/>
  <c r="AA8" i="2"/>
  <c r="AB9" i="9"/>
  <c r="AB8" i="2"/>
  <c r="AC9" i="9"/>
  <c r="AC8" i="2"/>
  <c r="AD9" i="9"/>
  <c r="AD8" i="2"/>
  <c r="AE9" i="9"/>
  <c r="AE8" i="2"/>
  <c r="AF9" i="9"/>
  <c r="AF8" i="2"/>
  <c r="AG9" i="9"/>
  <c r="AG8" i="2"/>
  <c r="AH9" i="9"/>
  <c r="AH8" i="2"/>
  <c r="AI9" i="9"/>
  <c r="AI8" i="2"/>
  <c r="AJ9" i="9"/>
  <c r="AJ8" i="2"/>
  <c r="AK9" i="9"/>
  <c r="C9" i="2"/>
  <c r="D10" i="9"/>
  <c r="D9" i="2"/>
  <c r="E10" i="9"/>
  <c r="E9" i="2"/>
  <c r="F10" i="9"/>
  <c r="F9" i="2"/>
  <c r="G10" i="9"/>
  <c r="G9" i="2"/>
  <c r="H10" i="9"/>
  <c r="H9" i="2"/>
  <c r="I10" i="9"/>
  <c r="I9" i="2"/>
  <c r="J10" i="9"/>
  <c r="J9" i="2"/>
  <c r="K10" i="9"/>
  <c r="K9" i="2"/>
  <c r="L10" i="9"/>
  <c r="L9" i="2"/>
  <c r="M10" i="9"/>
  <c r="M9" i="2"/>
  <c r="N10" i="9"/>
  <c r="N9" i="2"/>
  <c r="O10" i="9"/>
  <c r="O9" i="2"/>
  <c r="P10" i="9"/>
  <c r="P9" i="2"/>
  <c r="Q10" i="9"/>
  <c r="Q9" i="2"/>
  <c r="R10" i="9"/>
  <c r="R9" i="2"/>
  <c r="S10" i="9"/>
  <c r="S9" i="2"/>
  <c r="T10" i="9"/>
  <c r="T9" i="2"/>
  <c r="U10" i="9"/>
  <c r="U9" i="2"/>
  <c r="V10" i="9"/>
  <c r="V9" i="2"/>
  <c r="W10" i="9"/>
  <c r="W9" i="2"/>
  <c r="X10" i="9"/>
  <c r="X9" i="2"/>
  <c r="Y10" i="9"/>
  <c r="Y9" i="2"/>
  <c r="Z10" i="9"/>
  <c r="Z9" i="2"/>
  <c r="AA10" i="9"/>
  <c r="AA9" i="2"/>
  <c r="AB10" i="9"/>
  <c r="AB9" i="2"/>
  <c r="AC10" i="9"/>
  <c r="AC9" i="2"/>
  <c r="AD10" i="9"/>
  <c r="AD9" i="2"/>
  <c r="AE10" i="9"/>
  <c r="AE9" i="2"/>
  <c r="AF10" i="9"/>
  <c r="AF9" i="2"/>
  <c r="AG10" i="9"/>
  <c r="AG9" i="2"/>
  <c r="AH10" i="9"/>
  <c r="AH9" i="2"/>
  <c r="AI10" i="9"/>
  <c r="AI9" i="2"/>
  <c r="AJ10" i="9"/>
  <c r="AJ9" i="2"/>
  <c r="AK10" i="9"/>
  <c r="C10" i="2"/>
  <c r="D11" i="9"/>
  <c r="D10" i="2"/>
  <c r="E11" i="9"/>
  <c r="E10" i="2"/>
  <c r="F11" i="9"/>
  <c r="F10" i="2"/>
  <c r="G11" i="9"/>
  <c r="G10" i="2"/>
  <c r="H11" i="9"/>
  <c r="H10" i="2"/>
  <c r="I11" i="9"/>
  <c r="I10" i="2"/>
  <c r="J11" i="9"/>
  <c r="J10" i="2"/>
  <c r="K11" i="9"/>
  <c r="K10" i="2"/>
  <c r="L11" i="9"/>
  <c r="L10" i="2"/>
  <c r="M11" i="9"/>
  <c r="M10" i="2"/>
  <c r="N11" i="9"/>
  <c r="N10" i="2"/>
  <c r="O11" i="9"/>
  <c r="O10" i="2"/>
  <c r="P11" i="9"/>
  <c r="P10" i="2"/>
  <c r="Q11" i="9"/>
  <c r="Q10" i="2"/>
  <c r="R11" i="9"/>
  <c r="R10" i="2"/>
  <c r="S11" i="9"/>
  <c r="S10" i="2"/>
  <c r="T11" i="9"/>
  <c r="T10" i="2"/>
  <c r="U11" i="9"/>
  <c r="U10" i="2"/>
  <c r="V11" i="9"/>
  <c r="V10" i="2"/>
  <c r="W11" i="9"/>
  <c r="W10" i="2"/>
  <c r="X11" i="9"/>
  <c r="X10" i="2"/>
  <c r="Y11" i="9"/>
  <c r="Y10" i="2"/>
  <c r="Z11" i="9"/>
  <c r="Z10" i="2"/>
  <c r="AA11" i="9"/>
  <c r="AA10" i="2"/>
  <c r="AB11" i="9"/>
  <c r="AB10" i="2"/>
  <c r="AC11" i="9"/>
  <c r="AC10" i="2"/>
  <c r="AD11" i="9"/>
  <c r="AD10" i="2"/>
  <c r="AE11" i="9"/>
  <c r="AE10" i="2"/>
  <c r="AF11" i="9"/>
  <c r="AF10" i="2"/>
  <c r="AG11" i="9"/>
  <c r="AG10" i="2"/>
  <c r="AH11" i="9"/>
  <c r="AH10" i="2"/>
  <c r="AI11" i="9"/>
  <c r="AI10" i="2"/>
  <c r="AJ11" i="9"/>
  <c r="AJ10" i="2"/>
  <c r="AK11" i="9"/>
  <c r="C11" i="2"/>
  <c r="D12" i="9"/>
  <c r="D11" i="2"/>
  <c r="E12" i="9"/>
  <c r="E11" i="2"/>
  <c r="F12" i="9"/>
  <c r="F11" i="2"/>
  <c r="G12" i="9"/>
  <c r="G11" i="2"/>
  <c r="H12" i="9"/>
  <c r="H11" i="2"/>
  <c r="I12" i="9"/>
  <c r="I11" i="2"/>
  <c r="J12" i="9"/>
  <c r="J11" i="2"/>
  <c r="K12" i="9"/>
  <c r="K11" i="2"/>
  <c r="L12" i="9"/>
  <c r="L11" i="2"/>
  <c r="M12" i="9"/>
  <c r="M11" i="2"/>
  <c r="N12" i="9"/>
  <c r="N11" i="2"/>
  <c r="O12" i="9"/>
  <c r="O11" i="2"/>
  <c r="P12" i="9"/>
  <c r="P11" i="2"/>
  <c r="Q12" i="9"/>
  <c r="Q11" i="2"/>
  <c r="R12" i="9"/>
  <c r="R11" i="2"/>
  <c r="S12" i="9"/>
  <c r="S11" i="2"/>
  <c r="T12" i="9"/>
  <c r="T11" i="2"/>
  <c r="U12" i="9"/>
  <c r="U11" i="2"/>
  <c r="V12" i="9"/>
  <c r="V11" i="2"/>
  <c r="W12" i="9"/>
  <c r="W11" i="2"/>
  <c r="X12" i="9"/>
  <c r="X11" i="2"/>
  <c r="Y12" i="9"/>
  <c r="Y11" i="2"/>
  <c r="Z12" i="9"/>
  <c r="Z11" i="2"/>
  <c r="AA12" i="9"/>
  <c r="AA11" i="2"/>
  <c r="AB12" i="9"/>
  <c r="AB11" i="2"/>
  <c r="AC12" i="9"/>
  <c r="AC11" i="2"/>
  <c r="AD12" i="9"/>
  <c r="AD11" i="2"/>
  <c r="AE12" i="9"/>
  <c r="AE11" i="2"/>
  <c r="AF12" i="9"/>
  <c r="AF11" i="2"/>
  <c r="AG12" i="9"/>
  <c r="AG11" i="2"/>
  <c r="AH12" i="9"/>
  <c r="AH11" i="2"/>
  <c r="AI12" i="9"/>
  <c r="AI11" i="2"/>
  <c r="AJ12" i="9"/>
  <c r="AJ11" i="2"/>
  <c r="AK12" i="9"/>
  <c r="C12" i="2"/>
  <c r="D13" i="9"/>
  <c r="D12" i="2"/>
  <c r="E13" i="9"/>
  <c r="E12" i="2"/>
  <c r="F13" i="9"/>
  <c r="F12" i="2"/>
  <c r="G13" i="9"/>
  <c r="G12" i="2"/>
  <c r="H13" i="9"/>
  <c r="H12" i="2"/>
  <c r="I13" i="9"/>
  <c r="I12" i="2"/>
  <c r="J13" i="9"/>
  <c r="J12" i="2"/>
  <c r="K13" i="9"/>
  <c r="K12" i="2"/>
  <c r="L13" i="9"/>
  <c r="L12" i="2"/>
  <c r="M13" i="9"/>
  <c r="M12" i="2"/>
  <c r="N13" i="9"/>
  <c r="N12" i="2"/>
  <c r="O13" i="9"/>
  <c r="O12" i="2"/>
  <c r="P13" i="9"/>
  <c r="P12" i="2"/>
  <c r="Q13" i="9"/>
  <c r="Q12" i="2"/>
  <c r="R13" i="9"/>
  <c r="R12" i="2"/>
  <c r="S13" i="9"/>
  <c r="S12" i="2"/>
  <c r="T13" i="9"/>
  <c r="T12" i="2"/>
  <c r="U13" i="9"/>
  <c r="U12" i="2"/>
  <c r="V13" i="9"/>
  <c r="V12" i="2"/>
  <c r="W13" i="9"/>
  <c r="W12" i="2"/>
  <c r="X13" i="9"/>
  <c r="X12" i="2"/>
  <c r="Y13" i="9"/>
  <c r="Y12" i="2"/>
  <c r="Z13" i="9"/>
  <c r="Z12" i="2"/>
  <c r="AA13" i="9"/>
  <c r="AA12" i="2"/>
  <c r="AB13" i="9"/>
  <c r="AB12" i="2"/>
  <c r="AC13" i="9"/>
  <c r="AC12" i="2"/>
  <c r="AD13" i="9"/>
  <c r="AD12" i="2"/>
  <c r="AE13" i="9"/>
  <c r="AE12" i="2"/>
  <c r="AF13" i="9"/>
  <c r="AF12" i="2"/>
  <c r="AG13" i="9"/>
  <c r="AG12" i="2"/>
  <c r="AH13" i="9"/>
  <c r="AH12" i="2"/>
  <c r="AI13" i="9"/>
  <c r="AI12" i="2"/>
  <c r="AJ13" i="9"/>
  <c r="AJ12" i="2"/>
  <c r="AK13" i="9"/>
  <c r="C13" i="2"/>
  <c r="D14" i="9"/>
  <c r="D13" i="2"/>
  <c r="E14" i="9"/>
  <c r="E13" i="2"/>
  <c r="F14" i="9"/>
  <c r="F13" i="2"/>
  <c r="G14" i="9"/>
  <c r="G13" i="2"/>
  <c r="H14" i="9"/>
  <c r="H13" i="2"/>
  <c r="I14" i="9"/>
  <c r="I13" i="2"/>
  <c r="J14" i="9"/>
  <c r="J13" i="2"/>
  <c r="K14" i="9"/>
  <c r="K13" i="2"/>
  <c r="L14" i="9"/>
  <c r="L13" i="2"/>
  <c r="M14" i="9"/>
  <c r="M13" i="2"/>
  <c r="N14" i="9"/>
  <c r="N13" i="2"/>
  <c r="O14" i="9"/>
  <c r="O13" i="2"/>
  <c r="P14" i="9"/>
  <c r="P13" i="2"/>
  <c r="Q14" i="9"/>
  <c r="Q13" i="2"/>
  <c r="R14" i="9"/>
  <c r="R13" i="2"/>
  <c r="S14" i="9"/>
  <c r="S13" i="2"/>
  <c r="T14" i="9"/>
  <c r="T13" i="2"/>
  <c r="U14" i="9"/>
  <c r="U13" i="2"/>
  <c r="V14" i="9"/>
  <c r="V13" i="2"/>
  <c r="W14" i="9"/>
  <c r="W13" i="2"/>
  <c r="X14" i="9"/>
  <c r="X13" i="2"/>
  <c r="Y14" i="9"/>
  <c r="Y13" i="2"/>
  <c r="Z14" i="9"/>
  <c r="Z13" i="2"/>
  <c r="AA14" i="9"/>
  <c r="AA13" i="2"/>
  <c r="AB14" i="9"/>
  <c r="AB13" i="2"/>
  <c r="AC14" i="9"/>
  <c r="AC13" i="2"/>
  <c r="AD14" i="9"/>
  <c r="AD13" i="2"/>
  <c r="AE14" i="9"/>
  <c r="AE13" i="2"/>
  <c r="AF14" i="9"/>
  <c r="AF13" i="2"/>
  <c r="AG14" i="9"/>
  <c r="AG13" i="2"/>
  <c r="AH14" i="9"/>
  <c r="AH13" i="2"/>
  <c r="AI14" i="9"/>
  <c r="AI13" i="2"/>
  <c r="AJ14" i="9"/>
  <c r="AJ13" i="2"/>
  <c r="AK14" i="9"/>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C17" i="2"/>
  <c r="D22" i="9"/>
  <c r="D17" i="2"/>
  <c r="E22" i="9"/>
  <c r="E17" i="2"/>
  <c r="F22" i="9"/>
  <c r="F17" i="2"/>
  <c r="G22" i="9"/>
  <c r="G17" i="2"/>
  <c r="H22" i="9"/>
  <c r="H17" i="2"/>
  <c r="I22" i="9"/>
  <c r="I17" i="2"/>
  <c r="J22" i="9"/>
  <c r="J17" i="2"/>
  <c r="K22" i="9"/>
  <c r="K17" i="2"/>
  <c r="L22" i="9"/>
  <c r="L17" i="2"/>
  <c r="M22" i="9"/>
  <c r="M17" i="2"/>
  <c r="N22" i="9"/>
  <c r="N17" i="2"/>
  <c r="O22" i="9"/>
  <c r="O17" i="2"/>
  <c r="P22" i="9"/>
  <c r="P17" i="2"/>
  <c r="Q22" i="9"/>
  <c r="Q17" i="2"/>
  <c r="R22" i="9"/>
  <c r="R17" i="2"/>
  <c r="S22" i="9"/>
  <c r="S17" i="2"/>
  <c r="T22" i="9"/>
  <c r="T17" i="2"/>
  <c r="U22" i="9"/>
  <c r="U17" i="2"/>
  <c r="V22" i="9"/>
  <c r="V17" i="2"/>
  <c r="W22" i="9"/>
  <c r="W17" i="2"/>
  <c r="X22" i="9"/>
  <c r="X17" i="2"/>
  <c r="Y22" i="9"/>
  <c r="Y17" i="2"/>
  <c r="Z22" i="9"/>
  <c r="Z17" i="2"/>
  <c r="AA22" i="9"/>
  <c r="AA17" i="2"/>
  <c r="AB22" i="9"/>
  <c r="AB17" i="2"/>
  <c r="AC22" i="9"/>
  <c r="AC17" i="2"/>
  <c r="AD22" i="9"/>
  <c r="AD17" i="2"/>
  <c r="AE22" i="9"/>
  <c r="AE17" i="2"/>
  <c r="AF22" i="9"/>
  <c r="AF17" i="2"/>
  <c r="AG22" i="9"/>
  <c r="AG17" i="2"/>
  <c r="AH22" i="9"/>
  <c r="AH17" i="2"/>
  <c r="AI22" i="9"/>
  <c r="AI17" i="2"/>
  <c r="AJ22" i="9"/>
  <c r="AJ17" i="2"/>
  <c r="AK22" i="9"/>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C24" i="2"/>
  <c r="D27" i="9"/>
  <c r="D24" i="2"/>
  <c r="E27" i="9"/>
  <c r="E24" i="2"/>
  <c r="F27" i="9"/>
  <c r="F24" i="2"/>
  <c r="G27" i="9"/>
  <c r="G24" i="2"/>
  <c r="H27" i="9"/>
  <c r="H24" i="2"/>
  <c r="I27" i="9"/>
  <c r="I24" i="2"/>
  <c r="J27" i="9"/>
  <c r="J24" i="2"/>
  <c r="K27" i="9"/>
  <c r="K24" i="2"/>
  <c r="L27" i="9"/>
  <c r="L24" i="2"/>
  <c r="M27" i="9"/>
  <c r="M24" i="2"/>
  <c r="N27" i="9"/>
  <c r="N24" i="2"/>
  <c r="O27" i="9"/>
  <c r="O24" i="2"/>
  <c r="P27" i="9"/>
  <c r="P24" i="2"/>
  <c r="Q27" i="9"/>
  <c r="Q24" i="2"/>
  <c r="R27" i="9"/>
  <c r="R24" i="2"/>
  <c r="S27" i="9"/>
  <c r="S24" i="2"/>
  <c r="T27" i="9"/>
  <c r="T24" i="2"/>
  <c r="U27" i="9"/>
  <c r="U24" i="2"/>
  <c r="V27" i="9"/>
  <c r="V24" i="2"/>
  <c r="W27" i="9"/>
  <c r="W24" i="2"/>
  <c r="X27" i="9"/>
  <c r="X24" i="2"/>
  <c r="Y27" i="9"/>
  <c r="Y24" i="2"/>
  <c r="Z27" i="9"/>
  <c r="Z24" i="2"/>
  <c r="AA27" i="9"/>
  <c r="AA24" i="2"/>
  <c r="AB27" i="9"/>
  <c r="AB24" i="2"/>
  <c r="AC27" i="9"/>
  <c r="AC24" i="2"/>
  <c r="AD27" i="9"/>
  <c r="AD24" i="2"/>
  <c r="AE27" i="9"/>
  <c r="AE24" i="2"/>
  <c r="AF27" i="9"/>
  <c r="AF24" i="2"/>
  <c r="AG27" i="9"/>
  <c r="AG24" i="2"/>
  <c r="AH27" i="9"/>
  <c r="AH24" i="2"/>
  <c r="AI27" i="9"/>
  <c r="AI24" i="2"/>
  <c r="AJ27" i="9"/>
  <c r="AJ24" i="2"/>
  <c r="AK27" i="9"/>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C8" i="3"/>
  <c r="D17" i="9"/>
  <c r="D8" i="3"/>
  <c r="E17" i="9"/>
  <c r="E8" i="3"/>
  <c r="F17" i="9"/>
  <c r="F8" i="3"/>
  <c r="G17" i="9"/>
  <c r="G8" i="3"/>
  <c r="H17" i="9"/>
  <c r="H8" i="3"/>
  <c r="I17" i="9"/>
  <c r="I8" i="3"/>
  <c r="J17" i="9"/>
  <c r="J8" i="3"/>
  <c r="K17" i="9"/>
  <c r="K8" i="3"/>
  <c r="L17" i="9"/>
  <c r="L8" i="3"/>
  <c r="M17" i="9"/>
  <c r="M8" i="3"/>
  <c r="N17" i="9"/>
  <c r="N8" i="3"/>
  <c r="O17" i="9"/>
  <c r="O8" i="3"/>
  <c r="P17" i="9"/>
  <c r="P8" i="3"/>
  <c r="Q17" i="9"/>
  <c r="Q8" i="3"/>
  <c r="R17" i="9"/>
  <c r="R8" i="3"/>
  <c r="S17" i="9"/>
  <c r="S8" i="3"/>
  <c r="T17" i="9"/>
  <c r="T8" i="3"/>
  <c r="U17" i="9"/>
  <c r="U8" i="3"/>
  <c r="V17" i="9"/>
  <c r="V8" i="3"/>
  <c r="W17" i="9"/>
  <c r="W8" i="3"/>
  <c r="X17" i="9"/>
  <c r="X8" i="3"/>
  <c r="Y17" i="9"/>
  <c r="Y8" i="3"/>
  <c r="Z17" i="9"/>
  <c r="Z8" i="3"/>
  <c r="AA17" i="9"/>
  <c r="AA8" i="3"/>
  <c r="AB17" i="9"/>
  <c r="AB8" i="3"/>
  <c r="AC17" i="9"/>
  <c r="AC8" i="3"/>
  <c r="AD17" i="9"/>
  <c r="AD8" i="3"/>
  <c r="AE17" i="9"/>
  <c r="AE8" i="3"/>
  <c r="AF17" i="9"/>
  <c r="AF8" i="3"/>
  <c r="AG17" i="9"/>
  <c r="AG8" i="3"/>
  <c r="AH17" i="9"/>
  <c r="AH8" i="3"/>
  <c r="AI17" i="9"/>
  <c r="AI8" i="3"/>
  <c r="AJ17" i="9"/>
  <c r="AJ8" i="3"/>
  <c r="AK17" i="9"/>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C14" i="3"/>
  <c r="D19" i="9"/>
  <c r="D14" i="3"/>
  <c r="E19" i="9"/>
  <c r="E14" i="3"/>
  <c r="F19" i="9"/>
  <c r="F14" i="3"/>
  <c r="G19" i="9"/>
  <c r="G14" i="3"/>
  <c r="H19" i="9"/>
  <c r="H14" i="3"/>
  <c r="I19" i="9"/>
  <c r="I14" i="3"/>
  <c r="J19" i="9"/>
  <c r="J14" i="3"/>
  <c r="K19" i="9"/>
  <c r="K14" i="3"/>
  <c r="L19" i="9"/>
  <c r="L14" i="3"/>
  <c r="M19" i="9"/>
  <c r="M14" i="3"/>
  <c r="N19" i="9"/>
  <c r="N14" i="3"/>
  <c r="O19" i="9"/>
  <c r="O14" i="3"/>
  <c r="P19" i="9"/>
  <c r="P14" i="3"/>
  <c r="Q19" i="9"/>
  <c r="Q14" i="3"/>
  <c r="R19" i="9"/>
  <c r="R14" i="3"/>
  <c r="S19" i="9"/>
  <c r="S14" i="3"/>
  <c r="T19" i="9"/>
  <c r="T14" i="3"/>
  <c r="U19" i="9"/>
  <c r="U14" i="3"/>
  <c r="V19" i="9"/>
  <c r="V14" i="3"/>
  <c r="W19" i="9"/>
  <c r="W14" i="3"/>
  <c r="X19" i="9"/>
  <c r="X14" i="3"/>
  <c r="Y19" i="9"/>
  <c r="Y14" i="3"/>
  <c r="Z19" i="9"/>
  <c r="Z14" i="3"/>
  <c r="AA19" i="9"/>
  <c r="AA14" i="3"/>
  <c r="AB19" i="9"/>
  <c r="AB14" i="3"/>
  <c r="AC19" i="9"/>
  <c r="AC14" i="3"/>
  <c r="AD19" i="9"/>
  <c r="AD14" i="3"/>
  <c r="AE19" i="9"/>
  <c r="AE14" i="3"/>
  <c r="AF19" i="9"/>
  <c r="AF14" i="3"/>
  <c r="AG19" i="9"/>
  <c r="AG14" i="3"/>
  <c r="AH19" i="9"/>
  <c r="AH14" i="3"/>
  <c r="AI19" i="9"/>
  <c r="AI14" i="3"/>
  <c r="AJ19" i="9"/>
  <c r="AJ14" i="3"/>
  <c r="AK19" i="9"/>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C16" i="3"/>
  <c r="D21" i="9"/>
  <c r="D16" i="3"/>
  <c r="E21" i="9"/>
  <c r="E16" i="3"/>
  <c r="F21" i="9"/>
  <c r="F16" i="3"/>
  <c r="G21" i="9"/>
  <c r="G16" i="3"/>
  <c r="H21" i="9"/>
  <c r="H16" i="3"/>
  <c r="I21" i="9"/>
  <c r="I16" i="3"/>
  <c r="J21" i="9"/>
  <c r="J16" i="3"/>
  <c r="K21" i="9"/>
  <c r="K16" i="3"/>
  <c r="L21" i="9"/>
  <c r="L16" i="3"/>
  <c r="M21" i="9"/>
  <c r="M16" i="3"/>
  <c r="N21" i="9"/>
  <c r="N16" i="3"/>
  <c r="O21" i="9"/>
  <c r="O16" i="3"/>
  <c r="P21" i="9"/>
  <c r="P16" i="3"/>
  <c r="Q21" i="9"/>
  <c r="Q16" i="3"/>
  <c r="R21" i="9"/>
  <c r="R16" i="3"/>
  <c r="S21" i="9"/>
  <c r="S16" i="3"/>
  <c r="T21" i="9"/>
  <c r="T16" i="3"/>
  <c r="U21" i="9"/>
  <c r="U16" i="3"/>
  <c r="V21" i="9"/>
  <c r="V16" i="3"/>
  <c r="W21" i="9"/>
  <c r="W16" i="3"/>
  <c r="X21" i="9"/>
  <c r="X16" i="3"/>
  <c r="Y21" i="9"/>
  <c r="Y16" i="3"/>
  <c r="Z21" i="9"/>
  <c r="Z16" i="3"/>
  <c r="AA21" i="9"/>
  <c r="AA16" i="3"/>
  <c r="AB21" i="9"/>
  <c r="AB16" i="3"/>
  <c r="AC21" i="9"/>
  <c r="AC16" i="3"/>
  <c r="AD21" i="9"/>
  <c r="AD16" i="3"/>
  <c r="AE21" i="9"/>
  <c r="AE16" i="3"/>
  <c r="AF21" i="9"/>
  <c r="AF16" i="3"/>
  <c r="AG21" i="9"/>
  <c r="AG16" i="3"/>
  <c r="AH21" i="9"/>
  <c r="AH16" i="3"/>
  <c r="AI21" i="9"/>
  <c r="AI16" i="3"/>
  <c r="AJ21" i="9"/>
  <c r="AJ16" i="3"/>
  <c r="AK21" i="9"/>
  <c r="C17" i="3"/>
  <c r="D23" i="9"/>
  <c r="D17" i="3"/>
  <c r="E23" i="9"/>
  <c r="E17" i="3"/>
  <c r="F23" i="9"/>
  <c r="F17" i="3"/>
  <c r="G23" i="9"/>
  <c r="G17" i="3"/>
  <c r="H23" i="9"/>
  <c r="H17" i="3"/>
  <c r="I23" i="9"/>
  <c r="I17" i="3"/>
  <c r="J23" i="9"/>
  <c r="J17" i="3"/>
  <c r="K23" i="9"/>
  <c r="K17" i="3"/>
  <c r="L23" i="9"/>
  <c r="L17" i="3"/>
  <c r="M23" i="9"/>
  <c r="M17" i="3"/>
  <c r="N23" i="9"/>
  <c r="N17" i="3"/>
  <c r="O23" i="9"/>
  <c r="O17" i="3"/>
  <c r="P23" i="9"/>
  <c r="P17" i="3"/>
  <c r="Q23" i="9"/>
  <c r="Q17" i="3"/>
  <c r="R23" i="9"/>
  <c r="R17" i="3"/>
  <c r="S23" i="9"/>
  <c r="S17" i="3"/>
  <c r="T23" i="9"/>
  <c r="T17" i="3"/>
  <c r="U23" i="9"/>
  <c r="U17" i="3"/>
  <c r="V23" i="9"/>
  <c r="V17" i="3"/>
  <c r="W23" i="9"/>
  <c r="W17" i="3"/>
  <c r="X23" i="9"/>
  <c r="X17" i="3"/>
  <c r="Y23" i="9"/>
  <c r="Y17" i="3"/>
  <c r="Z23" i="9"/>
  <c r="Z17" i="3"/>
  <c r="AA23" i="9"/>
  <c r="AA17" i="3"/>
  <c r="AB23" i="9"/>
  <c r="AB17" i="3"/>
  <c r="AC23" i="9"/>
  <c r="AC17" i="3"/>
  <c r="AD23" i="9"/>
  <c r="AD17" i="3"/>
  <c r="AE23" i="9"/>
  <c r="AE17" i="3"/>
  <c r="AF23" i="9"/>
  <c r="AF17" i="3"/>
  <c r="AG23" i="9"/>
  <c r="AG17" i="3"/>
  <c r="AH23" i="9"/>
  <c r="AH17" i="3"/>
  <c r="AI23" i="9"/>
  <c r="AI17" i="3"/>
  <c r="AJ23" i="9"/>
  <c r="AJ17" i="3"/>
  <c r="AK23" i="9"/>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C21" i="3"/>
  <c r="D28" i="9"/>
  <c r="D21" i="3"/>
  <c r="E28" i="9"/>
  <c r="E21" i="3"/>
  <c r="F28" i="9"/>
  <c r="F21" i="3"/>
  <c r="G28" i="9"/>
  <c r="G21" i="3"/>
  <c r="H28" i="9"/>
  <c r="H21" i="3"/>
  <c r="I28" i="9"/>
  <c r="I21" i="3"/>
  <c r="J28" i="9"/>
  <c r="J21" i="3"/>
  <c r="K28" i="9"/>
  <c r="K21" i="3"/>
  <c r="L28" i="9"/>
  <c r="L21" i="3"/>
  <c r="M28" i="9"/>
  <c r="M21" i="3"/>
  <c r="N28" i="9"/>
  <c r="N21" i="3"/>
  <c r="O28" i="9"/>
  <c r="O21" i="3"/>
  <c r="P28" i="9"/>
  <c r="P21" i="3"/>
  <c r="Q28" i="9"/>
  <c r="Q21" i="3"/>
  <c r="R28" i="9"/>
  <c r="R21" i="3"/>
  <c r="S28" i="9"/>
  <c r="S21" i="3"/>
  <c r="T28" i="9"/>
  <c r="T21" i="3"/>
  <c r="U28" i="9"/>
  <c r="U21" i="3"/>
  <c r="V28" i="9"/>
  <c r="V21" i="3"/>
  <c r="W28" i="9"/>
  <c r="W21" i="3"/>
  <c r="X28" i="9"/>
  <c r="X21" i="3"/>
  <c r="Y28" i="9"/>
  <c r="Y21" i="3"/>
  <c r="Z28" i="9"/>
  <c r="Z21" i="3"/>
  <c r="AA28" i="9"/>
  <c r="AA21" i="3"/>
  <c r="AB28" i="9"/>
  <c r="AB21" i="3"/>
  <c r="AC28" i="9"/>
  <c r="AC21" i="3"/>
  <c r="AD28" i="9"/>
  <c r="AD21" i="3"/>
  <c r="AE28" i="9"/>
  <c r="AE21" i="3"/>
  <c r="AF28" i="9"/>
  <c r="AF21" i="3"/>
  <c r="AG28" i="9"/>
  <c r="AG21" i="3"/>
  <c r="AH28" i="9"/>
  <c r="AH21" i="3"/>
  <c r="AI28" i="9"/>
  <c r="AI21" i="3"/>
  <c r="AJ28" i="9"/>
  <c r="AJ21" i="3"/>
  <c r="AK28" i="9"/>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C25" i="3"/>
  <c r="D25" i="3"/>
  <c r="E25" i="3"/>
  <c r="F25" i="3"/>
  <c r="G25" i="3"/>
  <c r="H25" i="3"/>
  <c r="I25" i="3"/>
  <c r="J25" i="3"/>
  <c r="K25" i="3"/>
  <c r="L25" i="3"/>
  <c r="M25" i="3"/>
  <c r="N25" i="3"/>
  <c r="O25" i="3"/>
  <c r="P25" i="3"/>
  <c r="Q25" i="3"/>
  <c r="R25" i="3"/>
  <c r="S25" i="3"/>
  <c r="T25" i="3"/>
  <c r="U25" i="3"/>
  <c r="V25" i="3"/>
  <c r="W25" i="3"/>
  <c r="X25" i="3"/>
  <c r="Y25" i="3"/>
  <c r="Z25" i="3"/>
  <c r="C26" i="3"/>
  <c r="D26" i="3"/>
  <c r="E26" i="3"/>
  <c r="F26" i="3"/>
  <c r="G26" i="3"/>
  <c r="H26" i="3"/>
  <c r="I26" i="3"/>
  <c r="J26" i="3"/>
  <c r="K26" i="3"/>
  <c r="L26" i="3"/>
  <c r="M26" i="3"/>
  <c r="N26" i="3"/>
  <c r="O26" i="3"/>
  <c r="P26" i="3"/>
  <c r="Q26" i="3"/>
  <c r="R26" i="3"/>
  <c r="S26" i="3"/>
  <c r="T26" i="3"/>
  <c r="U26" i="3"/>
  <c r="V26" i="3"/>
  <c r="W26" i="3"/>
  <c r="X26" i="3"/>
  <c r="Y26" i="3"/>
  <c r="Z26" i="3"/>
  <c r="C27" i="3"/>
  <c r="D27" i="3"/>
  <c r="E27" i="3"/>
  <c r="F27" i="3"/>
  <c r="G27" i="3"/>
  <c r="H27" i="3"/>
  <c r="I27" i="3"/>
  <c r="J27" i="3"/>
  <c r="K27" i="3"/>
  <c r="L27" i="3"/>
  <c r="M27" i="3"/>
  <c r="N27" i="3"/>
  <c r="O27" i="3"/>
  <c r="P27" i="3"/>
  <c r="Q27" i="3"/>
  <c r="R27" i="3"/>
  <c r="S27" i="3"/>
  <c r="T27" i="3"/>
  <c r="U27" i="3"/>
  <c r="V27" i="3"/>
  <c r="W27" i="3"/>
  <c r="X27" i="3"/>
  <c r="Y27" i="3"/>
  <c r="Z27" i="3"/>
  <c r="C28" i="3"/>
  <c r="D28" i="3"/>
  <c r="E28" i="3"/>
  <c r="F28" i="3"/>
  <c r="G28" i="3"/>
  <c r="H28" i="3"/>
  <c r="I28" i="3"/>
  <c r="J28" i="3"/>
  <c r="K28" i="3"/>
  <c r="L28" i="3"/>
  <c r="M28" i="3"/>
  <c r="N28" i="3"/>
  <c r="O28" i="3"/>
  <c r="P28" i="3"/>
  <c r="Q28" i="3"/>
  <c r="R28" i="3"/>
  <c r="S28" i="3"/>
  <c r="T28" i="3"/>
  <c r="U28" i="3"/>
  <c r="V28" i="3"/>
  <c r="W28" i="3"/>
  <c r="X28" i="3"/>
  <c r="Y28" i="3"/>
  <c r="Z28" i="3"/>
  <c r="C29" i="3"/>
  <c r="D29" i="3"/>
  <c r="E29" i="3"/>
  <c r="F29" i="3"/>
  <c r="G29" i="3"/>
  <c r="H29" i="3"/>
  <c r="I29" i="3"/>
  <c r="J29" i="3"/>
  <c r="K29" i="3"/>
  <c r="L29" i="3"/>
  <c r="M29" i="3"/>
  <c r="N29" i="3"/>
  <c r="O29" i="3"/>
  <c r="P29" i="3"/>
  <c r="Q29" i="3"/>
  <c r="R29" i="3"/>
  <c r="S29" i="3"/>
  <c r="T29" i="3"/>
  <c r="U29" i="3"/>
  <c r="V29" i="3"/>
  <c r="W29" i="3"/>
  <c r="X29" i="3"/>
  <c r="Y29" i="3"/>
  <c r="Z29" i="3"/>
  <c r="C30" i="3"/>
  <c r="D38" i="9"/>
  <c r="D30" i="3"/>
  <c r="E38" i="9"/>
  <c r="E30" i="3"/>
  <c r="F38" i="9"/>
  <c r="F30" i="3"/>
  <c r="G38" i="9"/>
  <c r="G30" i="3"/>
  <c r="H38" i="9"/>
  <c r="H30" i="3"/>
  <c r="I38" i="9"/>
  <c r="I30" i="3"/>
  <c r="J38" i="9"/>
  <c r="J30" i="3"/>
  <c r="K38" i="9"/>
  <c r="K30" i="3"/>
  <c r="L38" i="9"/>
  <c r="L30" i="3"/>
  <c r="M38" i="9"/>
  <c r="M30" i="3"/>
  <c r="N38" i="9"/>
  <c r="N30" i="3"/>
  <c r="O38" i="9"/>
  <c r="O30" i="3"/>
  <c r="P38" i="9"/>
  <c r="P30" i="3"/>
  <c r="Q38" i="9"/>
  <c r="Q30" i="3"/>
  <c r="R38" i="9"/>
  <c r="R30" i="3"/>
  <c r="S38" i="9"/>
  <c r="S30" i="3"/>
  <c r="T38" i="9"/>
  <c r="T30" i="3"/>
  <c r="U38" i="9"/>
  <c r="U30" i="3"/>
  <c r="V38" i="9"/>
  <c r="V30" i="3"/>
  <c r="W38" i="9"/>
  <c r="W30" i="3"/>
  <c r="X38" i="9"/>
  <c r="X30" i="3"/>
  <c r="Y38" i="9"/>
  <c r="Y30" i="3"/>
  <c r="Z38" i="9"/>
  <c r="Z30" i="3"/>
  <c r="AA38" i="9"/>
  <c r="C31" i="3"/>
  <c r="D31" i="3"/>
  <c r="E31" i="3"/>
  <c r="F31" i="3"/>
  <c r="G31" i="3"/>
  <c r="H31" i="3"/>
  <c r="I31" i="3"/>
  <c r="J31" i="3"/>
  <c r="K31" i="3"/>
  <c r="L31" i="3"/>
  <c r="M31" i="3"/>
  <c r="N31" i="3"/>
  <c r="O31" i="3"/>
  <c r="P31" i="3"/>
  <c r="Q31" i="3"/>
  <c r="R31" i="3"/>
  <c r="S31" i="3"/>
  <c r="T31" i="3"/>
  <c r="U31" i="3"/>
  <c r="V31" i="3"/>
  <c r="W31" i="3"/>
  <c r="X31" i="3"/>
  <c r="Y31" i="3"/>
  <c r="Z31" i="3"/>
  <c r="C32" i="3"/>
  <c r="D32" i="3"/>
  <c r="E32" i="3"/>
  <c r="F32" i="3"/>
  <c r="G32" i="3"/>
  <c r="H32" i="3"/>
  <c r="I32" i="3"/>
  <c r="J32" i="3"/>
  <c r="K32" i="3"/>
  <c r="L32" i="3"/>
  <c r="M32" i="3"/>
  <c r="N32" i="3"/>
  <c r="O32" i="3"/>
  <c r="P32" i="3"/>
  <c r="Q32" i="3"/>
  <c r="R32" i="3"/>
  <c r="S32" i="3"/>
  <c r="T32" i="3"/>
  <c r="U32" i="3"/>
  <c r="V32" i="3"/>
  <c r="W32" i="3"/>
  <c r="X32" i="3"/>
  <c r="Y32" i="3"/>
  <c r="Z32" i="3"/>
  <c r="C33" i="3"/>
  <c r="D33" i="3"/>
  <c r="E33" i="3"/>
  <c r="F33" i="3"/>
  <c r="G33" i="3"/>
  <c r="H33" i="3"/>
  <c r="I33" i="3"/>
  <c r="J33" i="3"/>
  <c r="K33" i="3"/>
  <c r="L33" i="3"/>
  <c r="M33" i="3"/>
  <c r="N33" i="3"/>
  <c r="O33" i="3"/>
  <c r="P33" i="3"/>
  <c r="Q33" i="3"/>
  <c r="R33" i="3"/>
  <c r="S33" i="3"/>
  <c r="T33" i="3"/>
  <c r="U33" i="3"/>
  <c r="V33" i="3"/>
  <c r="W33" i="3"/>
  <c r="X33" i="3"/>
  <c r="Y33" i="3"/>
  <c r="Z33" i="3"/>
  <c r="C34" i="3"/>
  <c r="D34" i="3"/>
  <c r="E34" i="3"/>
  <c r="F34" i="3"/>
  <c r="G34" i="3"/>
  <c r="H34" i="3"/>
  <c r="I34" i="3"/>
  <c r="J34" i="3"/>
  <c r="K34" i="3"/>
  <c r="L34" i="3"/>
  <c r="M34" i="3"/>
  <c r="N34" i="3"/>
  <c r="O34" i="3"/>
  <c r="P34" i="3"/>
  <c r="Q34" i="3"/>
  <c r="R34" i="3"/>
  <c r="S34" i="3"/>
  <c r="T34" i="3"/>
  <c r="U34" i="3"/>
  <c r="V34" i="3"/>
  <c r="W34" i="3"/>
  <c r="X34" i="3"/>
  <c r="Y34" i="3"/>
  <c r="Z34" i="3"/>
  <c r="C35" i="3"/>
  <c r="D35" i="3"/>
  <c r="E35" i="3"/>
  <c r="F35" i="3"/>
  <c r="G35" i="3"/>
  <c r="H35" i="3"/>
  <c r="I35" i="3"/>
  <c r="J35" i="3"/>
  <c r="K35" i="3"/>
  <c r="L35" i="3"/>
  <c r="M35" i="3"/>
  <c r="N35" i="3"/>
  <c r="O35" i="3"/>
  <c r="P35" i="3"/>
  <c r="Q35" i="3"/>
  <c r="R35" i="3"/>
  <c r="S35" i="3"/>
  <c r="T35" i="3"/>
  <c r="U35" i="3"/>
  <c r="V35" i="3"/>
  <c r="W35" i="3"/>
  <c r="X35" i="3"/>
  <c r="Y35" i="3"/>
  <c r="Z35" i="3"/>
  <c r="C36" i="3"/>
  <c r="D36" i="3"/>
  <c r="E36" i="3"/>
  <c r="F36" i="3"/>
  <c r="G36" i="3"/>
  <c r="H36" i="3"/>
  <c r="I36" i="3"/>
  <c r="J36" i="3"/>
  <c r="K36" i="3"/>
  <c r="L36" i="3"/>
  <c r="M36" i="3"/>
  <c r="N36" i="3"/>
  <c r="O36" i="3"/>
  <c r="P36" i="3"/>
  <c r="Q36" i="3"/>
  <c r="R36" i="3"/>
  <c r="S36" i="3"/>
  <c r="T36" i="3"/>
  <c r="U36" i="3"/>
  <c r="V36" i="3"/>
  <c r="W36" i="3"/>
  <c r="X36" i="3"/>
  <c r="Y36" i="3"/>
  <c r="Z36" i="3"/>
  <c r="C37" i="3"/>
  <c r="D37" i="3"/>
  <c r="E37" i="3"/>
  <c r="F37" i="3"/>
  <c r="G37" i="3"/>
  <c r="H37" i="3"/>
  <c r="I37" i="3"/>
  <c r="J37" i="3"/>
  <c r="K37" i="3"/>
  <c r="L37" i="3"/>
  <c r="M37" i="3"/>
  <c r="N37" i="3"/>
  <c r="O37" i="3"/>
  <c r="P37" i="3"/>
  <c r="Q37" i="3"/>
  <c r="R37" i="3"/>
  <c r="S37" i="3"/>
  <c r="T37" i="3"/>
  <c r="U37" i="3"/>
  <c r="V37" i="3"/>
  <c r="W37" i="3"/>
  <c r="X37" i="3"/>
  <c r="Y37" i="3"/>
  <c r="Z37" i="3"/>
  <c r="C38" i="3"/>
  <c r="D38" i="3"/>
  <c r="E38" i="3"/>
  <c r="F38" i="3"/>
  <c r="G38" i="3"/>
  <c r="H38" i="3"/>
  <c r="I38" i="3"/>
  <c r="J38" i="3"/>
  <c r="K38" i="3"/>
  <c r="L38" i="3"/>
  <c r="M38" i="3"/>
  <c r="N38" i="3"/>
  <c r="O38" i="3"/>
  <c r="P38" i="3"/>
  <c r="Q38" i="3"/>
  <c r="R38" i="3"/>
  <c r="S38" i="3"/>
  <c r="T38" i="3"/>
  <c r="U38" i="3"/>
  <c r="V38" i="3"/>
  <c r="W38" i="3"/>
  <c r="X38" i="3"/>
  <c r="Y38" i="3"/>
  <c r="Z38" i="3"/>
  <c r="C39" i="3"/>
  <c r="D39" i="3"/>
  <c r="E39" i="3"/>
  <c r="F39" i="3"/>
  <c r="G39" i="3"/>
  <c r="H39" i="3"/>
  <c r="I39" i="3"/>
  <c r="J39" i="3"/>
  <c r="K39" i="3"/>
  <c r="L39" i="3"/>
  <c r="M39" i="3"/>
  <c r="N39" i="3"/>
  <c r="O39" i="3"/>
  <c r="P39" i="3"/>
  <c r="Q39" i="3"/>
  <c r="R39" i="3"/>
  <c r="S39" i="3"/>
  <c r="T39" i="3"/>
  <c r="U39" i="3"/>
  <c r="V39" i="3"/>
  <c r="W39" i="3"/>
  <c r="X39" i="3"/>
  <c r="Y39" i="3"/>
  <c r="Z39" i="3"/>
  <c r="C40" i="3"/>
  <c r="D40" i="3"/>
  <c r="E40" i="3"/>
  <c r="F40" i="3"/>
  <c r="G40" i="3"/>
  <c r="H40" i="3"/>
  <c r="I40" i="3"/>
  <c r="J40" i="3"/>
  <c r="K40" i="3"/>
  <c r="L40" i="3"/>
  <c r="M40" i="3"/>
  <c r="N40" i="3"/>
  <c r="O40" i="3"/>
  <c r="P40" i="3"/>
  <c r="Q40" i="3"/>
  <c r="R40" i="3"/>
  <c r="S40" i="3"/>
  <c r="T40" i="3"/>
  <c r="U40" i="3"/>
  <c r="V40" i="3"/>
  <c r="W40" i="3"/>
  <c r="X40" i="3"/>
  <c r="Y40" i="3"/>
  <c r="Z40" i="3"/>
  <c r="C41" i="3"/>
  <c r="D41" i="3"/>
  <c r="E41" i="3"/>
  <c r="F41" i="3"/>
  <c r="G41" i="3"/>
  <c r="H41" i="3"/>
  <c r="I41" i="3"/>
  <c r="J41" i="3"/>
  <c r="K41" i="3"/>
  <c r="L41" i="3"/>
  <c r="M41" i="3"/>
  <c r="N41" i="3"/>
  <c r="O41" i="3"/>
  <c r="P41" i="3"/>
  <c r="Q41" i="3"/>
  <c r="R41" i="3"/>
  <c r="S41" i="3"/>
  <c r="T41" i="3"/>
  <c r="U41" i="3"/>
  <c r="V41" i="3"/>
  <c r="W41" i="3"/>
  <c r="X41" i="3"/>
  <c r="Y41" i="3"/>
  <c r="Z41" i="3"/>
  <c r="C42" i="3"/>
  <c r="D42" i="3"/>
  <c r="E42" i="3"/>
  <c r="F42" i="3"/>
  <c r="G42" i="3"/>
  <c r="H42" i="3"/>
  <c r="I42" i="3"/>
  <c r="J42" i="3"/>
  <c r="K42" i="3"/>
  <c r="L42" i="3"/>
  <c r="M42" i="3"/>
  <c r="N42" i="3"/>
  <c r="O42" i="3"/>
  <c r="P42" i="3"/>
  <c r="Q42" i="3"/>
  <c r="R42" i="3"/>
  <c r="S42" i="3"/>
  <c r="T42" i="3"/>
  <c r="U42" i="3"/>
  <c r="V42" i="3"/>
  <c r="W42" i="3"/>
  <c r="X42" i="3"/>
  <c r="Y42" i="3"/>
  <c r="Z42" i="3"/>
  <c r="C43" i="3"/>
  <c r="D43" i="3"/>
  <c r="E43" i="3"/>
  <c r="F43" i="3"/>
  <c r="G43" i="3"/>
  <c r="H43" i="3"/>
  <c r="I43" i="3"/>
  <c r="J43" i="3"/>
  <c r="K43" i="3"/>
  <c r="L43" i="3"/>
  <c r="M43" i="3"/>
  <c r="N43" i="3"/>
  <c r="O43" i="3"/>
  <c r="P43" i="3"/>
  <c r="Q43" i="3"/>
  <c r="R43" i="3"/>
  <c r="S43" i="3"/>
  <c r="T43" i="3"/>
  <c r="U43" i="3"/>
  <c r="V43" i="3"/>
  <c r="W43" i="3"/>
  <c r="X43" i="3"/>
  <c r="Y43" i="3"/>
  <c r="Z43" i="3"/>
  <c r="C44" i="3"/>
  <c r="D44" i="3"/>
  <c r="E44" i="3"/>
  <c r="F44" i="3"/>
  <c r="G44" i="3"/>
  <c r="H44" i="3"/>
  <c r="I44" i="3"/>
  <c r="J44" i="3"/>
  <c r="K44" i="3"/>
  <c r="L44" i="3"/>
  <c r="M44" i="3"/>
  <c r="N44" i="3"/>
  <c r="O44" i="3"/>
  <c r="P44" i="3"/>
  <c r="Q44" i="3"/>
  <c r="R44" i="3"/>
  <c r="S44" i="3"/>
  <c r="T44" i="3"/>
  <c r="U44" i="3"/>
  <c r="V44" i="3"/>
  <c r="W44" i="3"/>
  <c r="X44" i="3"/>
  <c r="Y44" i="3"/>
  <c r="Z44" i="3"/>
  <c r="C45" i="3"/>
  <c r="D45" i="3"/>
  <c r="E45" i="3"/>
  <c r="F45" i="3"/>
  <c r="G45" i="3"/>
  <c r="H45" i="3"/>
  <c r="I45" i="3"/>
  <c r="J45" i="3"/>
  <c r="K45" i="3"/>
  <c r="L45" i="3"/>
  <c r="M45" i="3"/>
  <c r="N45" i="3"/>
  <c r="O45" i="3"/>
  <c r="P45" i="3"/>
  <c r="Q45" i="3"/>
  <c r="R45" i="3"/>
  <c r="S45" i="3"/>
  <c r="T45" i="3"/>
  <c r="U45" i="3"/>
  <c r="V45" i="3"/>
  <c r="W45" i="3"/>
  <c r="X45" i="3"/>
  <c r="Y45" i="3"/>
  <c r="Z45" i="3"/>
  <c r="C46" i="3"/>
  <c r="D46" i="3"/>
  <c r="E46" i="3"/>
  <c r="F46" i="3"/>
  <c r="G46" i="3"/>
  <c r="H46" i="3"/>
  <c r="I46" i="3"/>
  <c r="J46" i="3"/>
  <c r="K46" i="3"/>
  <c r="L46" i="3"/>
  <c r="M46" i="3"/>
  <c r="N46" i="3"/>
  <c r="O46" i="3"/>
  <c r="P46" i="3"/>
  <c r="Q46" i="3"/>
  <c r="R46" i="3"/>
  <c r="S46" i="3"/>
  <c r="T46" i="3"/>
  <c r="U46" i="3"/>
  <c r="V46" i="3"/>
  <c r="W46" i="3"/>
  <c r="X46" i="3"/>
  <c r="Y46" i="3"/>
  <c r="Z46" i="3"/>
  <c r="C47" i="3"/>
  <c r="D47" i="3"/>
  <c r="E47" i="3"/>
  <c r="F47" i="3"/>
  <c r="G47" i="3"/>
  <c r="H47" i="3"/>
  <c r="I47" i="3"/>
  <c r="J47" i="3"/>
  <c r="K47" i="3"/>
  <c r="L47" i="3"/>
  <c r="M47" i="3"/>
  <c r="N47" i="3"/>
  <c r="O47" i="3"/>
  <c r="P47" i="3"/>
  <c r="Q47" i="3"/>
  <c r="R47" i="3"/>
  <c r="S47" i="3"/>
  <c r="T47" i="3"/>
  <c r="U47" i="3"/>
  <c r="V47" i="3"/>
  <c r="W47" i="3"/>
  <c r="X47" i="3"/>
  <c r="Y47" i="3"/>
  <c r="Z47" i="3"/>
  <c r="C48" i="3"/>
  <c r="D48" i="3"/>
  <c r="E48" i="3"/>
  <c r="F48" i="3"/>
  <c r="G48" i="3"/>
  <c r="H48" i="3"/>
  <c r="I48" i="3"/>
  <c r="J48" i="3"/>
  <c r="K48" i="3"/>
  <c r="L48" i="3"/>
  <c r="M48" i="3"/>
  <c r="N48" i="3"/>
  <c r="O48" i="3"/>
  <c r="P48" i="3"/>
  <c r="Q48" i="3"/>
  <c r="R48" i="3"/>
  <c r="S48" i="3"/>
  <c r="T48" i="3"/>
  <c r="U48" i="3"/>
  <c r="V48" i="3"/>
  <c r="W48" i="3"/>
  <c r="X48" i="3"/>
  <c r="Y48" i="3"/>
  <c r="Z48" i="3"/>
  <c r="C49" i="3"/>
  <c r="D49" i="3"/>
  <c r="E49" i="3"/>
  <c r="F49" i="3"/>
  <c r="G49" i="3"/>
  <c r="H49" i="3"/>
  <c r="I49" i="3"/>
  <c r="J49" i="3"/>
  <c r="K49" i="3"/>
  <c r="L49" i="3"/>
  <c r="M49" i="3"/>
  <c r="N49" i="3"/>
  <c r="O49" i="3"/>
  <c r="P49" i="3"/>
  <c r="Q49" i="3"/>
  <c r="R49" i="3"/>
  <c r="S49" i="3"/>
  <c r="T49" i="3"/>
  <c r="U49" i="3"/>
  <c r="V49" i="3"/>
  <c r="W49" i="3"/>
  <c r="X49" i="3"/>
  <c r="Y49" i="3"/>
  <c r="Z49" i="3"/>
  <c r="C50" i="3"/>
  <c r="D50" i="3"/>
  <c r="E50" i="3"/>
  <c r="F50" i="3"/>
  <c r="G50" i="3"/>
  <c r="H50" i="3"/>
  <c r="I50" i="3"/>
  <c r="J50" i="3"/>
  <c r="K50" i="3"/>
  <c r="L50" i="3"/>
  <c r="M50" i="3"/>
  <c r="N50" i="3"/>
  <c r="O50" i="3"/>
  <c r="P50" i="3"/>
  <c r="Q50" i="3"/>
  <c r="R50" i="3"/>
  <c r="S50" i="3"/>
  <c r="T50" i="3"/>
  <c r="U50" i="3"/>
  <c r="V50" i="3"/>
  <c r="W50" i="3"/>
  <c r="X50" i="3"/>
  <c r="Y50" i="3"/>
  <c r="Z50" i="3"/>
  <c r="C51" i="3"/>
  <c r="D51" i="3"/>
  <c r="E51" i="3"/>
  <c r="F51" i="3"/>
  <c r="G51" i="3"/>
  <c r="H51" i="3"/>
  <c r="I51" i="3"/>
  <c r="J51" i="3"/>
  <c r="K51" i="3"/>
  <c r="L51" i="3"/>
  <c r="M51" i="3"/>
  <c r="N51" i="3"/>
  <c r="O51" i="3"/>
  <c r="P51" i="3"/>
  <c r="Q51" i="3"/>
  <c r="R51" i="3"/>
  <c r="S51" i="3"/>
  <c r="T51" i="3"/>
  <c r="U51" i="3"/>
  <c r="V51" i="3"/>
  <c r="W51" i="3"/>
  <c r="X51" i="3"/>
  <c r="Y51" i="3"/>
  <c r="Z51" i="3"/>
  <c r="C52" i="3"/>
  <c r="D62" i="9"/>
  <c r="D52" i="3"/>
  <c r="E62" i="9"/>
  <c r="E52" i="3"/>
  <c r="F62" i="9"/>
  <c r="F52" i="3"/>
  <c r="G62" i="9"/>
  <c r="G52" i="3"/>
  <c r="H62" i="9"/>
  <c r="H52" i="3"/>
  <c r="I62" i="9"/>
  <c r="I52" i="3"/>
  <c r="J62" i="9"/>
  <c r="J52" i="3"/>
  <c r="K62" i="9"/>
  <c r="K52" i="3"/>
  <c r="L62" i="9"/>
  <c r="L52" i="3"/>
  <c r="M62" i="9"/>
  <c r="M52" i="3"/>
  <c r="N62" i="9"/>
  <c r="N52" i="3"/>
  <c r="O62" i="9"/>
  <c r="O52" i="3"/>
  <c r="P62" i="9"/>
  <c r="P52" i="3"/>
  <c r="Q62" i="9"/>
  <c r="Q52" i="3"/>
  <c r="R62" i="9"/>
  <c r="R52" i="3"/>
  <c r="S62" i="9"/>
  <c r="S52" i="3"/>
  <c r="T62" i="9"/>
  <c r="T52" i="3"/>
  <c r="U62" i="9"/>
  <c r="U52" i="3"/>
  <c r="V62" i="9"/>
  <c r="V52" i="3"/>
  <c r="W62" i="9"/>
  <c r="W52" i="3"/>
  <c r="X62" i="9"/>
  <c r="X52" i="3"/>
  <c r="Y62" i="9"/>
  <c r="Y52" i="3"/>
  <c r="Z62" i="9"/>
  <c r="Z52" i="3"/>
  <c r="AA62" i="9"/>
  <c r="C53" i="3"/>
  <c r="D53" i="3"/>
  <c r="E53" i="3"/>
  <c r="F53" i="3"/>
  <c r="G53" i="3"/>
  <c r="H53" i="3"/>
  <c r="I53" i="3"/>
  <c r="J53" i="3"/>
  <c r="K53" i="3"/>
  <c r="L53" i="3"/>
  <c r="M53" i="3"/>
  <c r="N53" i="3"/>
  <c r="O53" i="3"/>
  <c r="P53" i="3"/>
  <c r="Q53" i="3"/>
  <c r="R53" i="3"/>
  <c r="S53" i="3"/>
  <c r="T53" i="3"/>
  <c r="U53" i="3"/>
  <c r="V53" i="3"/>
  <c r="W53" i="3"/>
  <c r="X53" i="3"/>
  <c r="Y53" i="3"/>
  <c r="Z53" i="3"/>
  <c r="C54" i="3"/>
  <c r="D54" i="3"/>
  <c r="E54" i="3"/>
  <c r="F54" i="3"/>
  <c r="G54" i="3"/>
  <c r="H54" i="3"/>
  <c r="I54" i="3"/>
  <c r="J54" i="3"/>
  <c r="K54" i="3"/>
  <c r="L54" i="3"/>
  <c r="M54" i="3"/>
  <c r="N54" i="3"/>
  <c r="O54" i="3"/>
  <c r="P54" i="3"/>
  <c r="Q54" i="3"/>
  <c r="R54" i="3"/>
  <c r="S54" i="3"/>
  <c r="T54" i="3"/>
  <c r="U54" i="3"/>
  <c r="V54" i="3"/>
  <c r="W54" i="3"/>
  <c r="X54" i="3"/>
  <c r="Y54" i="3"/>
  <c r="Z54" i="3"/>
  <c r="C55" i="3"/>
  <c r="D55" i="3"/>
  <c r="E55" i="3"/>
  <c r="F55" i="3"/>
  <c r="G55" i="3"/>
  <c r="H55" i="3"/>
  <c r="I55" i="3"/>
  <c r="J55" i="3"/>
  <c r="K55" i="3"/>
  <c r="L55" i="3"/>
  <c r="M55" i="3"/>
  <c r="N55" i="3"/>
  <c r="O55" i="3"/>
  <c r="P55" i="3"/>
  <c r="Q55" i="3"/>
  <c r="R55" i="3"/>
  <c r="S55" i="3"/>
  <c r="T55" i="3"/>
  <c r="U55" i="3"/>
  <c r="V55" i="3"/>
  <c r="W55" i="3"/>
  <c r="X55" i="3"/>
  <c r="Y55" i="3"/>
  <c r="Z55" i="3"/>
  <c r="C56" i="3"/>
  <c r="D56" i="3"/>
  <c r="E56" i="3"/>
  <c r="F56" i="3"/>
  <c r="G56" i="3"/>
  <c r="H56" i="3"/>
  <c r="I56" i="3"/>
  <c r="J56" i="3"/>
  <c r="K56" i="3"/>
  <c r="L56" i="3"/>
  <c r="M56" i="3"/>
  <c r="N56" i="3"/>
  <c r="O56" i="3"/>
  <c r="P56" i="3"/>
  <c r="Q56" i="3"/>
  <c r="R56" i="3"/>
  <c r="S56" i="3"/>
  <c r="T56" i="3"/>
  <c r="U56" i="3"/>
  <c r="V56" i="3"/>
  <c r="W56" i="3"/>
  <c r="X56" i="3"/>
  <c r="Y56" i="3"/>
  <c r="Z56" i="3"/>
  <c r="C57" i="3"/>
  <c r="D57" i="3"/>
  <c r="E57" i="3"/>
  <c r="F57" i="3"/>
  <c r="G57" i="3"/>
  <c r="H57" i="3"/>
  <c r="I57" i="3"/>
  <c r="J57" i="3"/>
  <c r="K57" i="3"/>
  <c r="L57" i="3"/>
  <c r="M57" i="3"/>
  <c r="N57" i="3"/>
  <c r="O57" i="3"/>
  <c r="P57" i="3"/>
  <c r="Q57" i="3"/>
  <c r="R57" i="3"/>
  <c r="S57" i="3"/>
  <c r="T57" i="3"/>
  <c r="U57" i="3"/>
  <c r="V57" i="3"/>
  <c r="W57" i="3"/>
  <c r="X57" i="3"/>
  <c r="Y57" i="3"/>
  <c r="Z57" i="3"/>
  <c r="C58" i="3"/>
  <c r="D58" i="3"/>
  <c r="E58" i="3"/>
  <c r="F58" i="3"/>
  <c r="G58" i="3"/>
  <c r="H58" i="3"/>
  <c r="I58" i="3"/>
  <c r="J58" i="3"/>
  <c r="K58" i="3"/>
  <c r="L58" i="3"/>
  <c r="M58" i="3"/>
  <c r="N58" i="3"/>
  <c r="O58" i="3"/>
  <c r="P58" i="3"/>
  <c r="Q58" i="3"/>
  <c r="R58" i="3"/>
  <c r="S58" i="3"/>
  <c r="T58" i="3"/>
  <c r="U58" i="3"/>
  <c r="V58" i="3"/>
  <c r="W58" i="3"/>
  <c r="X58" i="3"/>
  <c r="Y58" i="3"/>
  <c r="Z58" i="3"/>
  <c r="C59" i="3"/>
  <c r="D59" i="3"/>
  <c r="E59" i="3"/>
  <c r="F59" i="3"/>
  <c r="G59" i="3"/>
  <c r="H59" i="3"/>
  <c r="I59" i="3"/>
  <c r="J59" i="3"/>
  <c r="K59" i="3"/>
  <c r="L59" i="3"/>
  <c r="M59" i="3"/>
  <c r="N59" i="3"/>
  <c r="O59" i="3"/>
  <c r="P59" i="3"/>
  <c r="Q59" i="3"/>
  <c r="R59" i="3"/>
  <c r="S59" i="3"/>
  <c r="T59" i="3"/>
  <c r="U59" i="3"/>
  <c r="V59" i="3"/>
  <c r="W59" i="3"/>
  <c r="X59" i="3"/>
  <c r="Y59" i="3"/>
  <c r="Z59" i="3"/>
  <c r="C60" i="3"/>
  <c r="D60" i="3"/>
  <c r="E60" i="3"/>
  <c r="F60" i="3"/>
  <c r="G60" i="3"/>
  <c r="H60" i="3"/>
  <c r="I60" i="3"/>
  <c r="J60" i="3"/>
  <c r="K60" i="3"/>
  <c r="L60" i="3"/>
  <c r="M60" i="3"/>
  <c r="N60" i="3"/>
  <c r="O60" i="3"/>
  <c r="P60" i="3"/>
  <c r="Q60" i="3"/>
  <c r="R60" i="3"/>
  <c r="S60" i="3"/>
  <c r="T60" i="3"/>
  <c r="U60" i="3"/>
  <c r="V60" i="3"/>
  <c r="W60" i="3"/>
  <c r="X60" i="3"/>
  <c r="Y60" i="3"/>
  <c r="Z60" i="3"/>
  <c r="C61" i="3"/>
  <c r="D61" i="3"/>
  <c r="E61" i="3"/>
  <c r="F61" i="3"/>
  <c r="G61" i="3"/>
  <c r="H61" i="3"/>
  <c r="I61" i="3"/>
  <c r="J61" i="3"/>
  <c r="K61" i="3"/>
  <c r="L61" i="3"/>
  <c r="M61" i="3"/>
  <c r="N61" i="3"/>
  <c r="O61" i="3"/>
  <c r="P61" i="3"/>
  <c r="Q61" i="3"/>
  <c r="R61" i="3"/>
  <c r="S61" i="3"/>
  <c r="T61" i="3"/>
  <c r="U61" i="3"/>
  <c r="V61" i="3"/>
  <c r="W61" i="3"/>
  <c r="X61" i="3"/>
  <c r="Y61" i="3"/>
  <c r="Z61" i="3"/>
  <c r="C62" i="3"/>
  <c r="D62" i="3"/>
  <c r="E62" i="3"/>
  <c r="F62" i="3"/>
  <c r="G62" i="3"/>
  <c r="H62" i="3"/>
  <c r="I62" i="3"/>
  <c r="J62" i="3"/>
  <c r="K62" i="3"/>
  <c r="L62" i="3"/>
  <c r="M62" i="3"/>
  <c r="N62" i="3"/>
  <c r="O62" i="3"/>
  <c r="P62" i="3"/>
  <c r="Q62" i="3"/>
  <c r="R62" i="3"/>
  <c r="S62" i="3"/>
  <c r="T62" i="3"/>
  <c r="U62" i="3"/>
  <c r="V62" i="3"/>
  <c r="W62" i="3"/>
  <c r="X62" i="3"/>
  <c r="Y62" i="3"/>
  <c r="Z62" i="3"/>
  <c r="C63" i="3"/>
  <c r="D63" i="3"/>
  <c r="E63" i="3"/>
  <c r="F63" i="3"/>
  <c r="G63" i="3"/>
  <c r="H63" i="3"/>
  <c r="I63" i="3"/>
  <c r="J63" i="3"/>
  <c r="K63" i="3"/>
  <c r="L63" i="3"/>
  <c r="M63" i="3"/>
  <c r="N63" i="3"/>
  <c r="O63" i="3"/>
  <c r="P63" i="3"/>
  <c r="Q63" i="3"/>
  <c r="R63" i="3"/>
  <c r="S63" i="3"/>
  <c r="T63" i="3"/>
  <c r="U63" i="3"/>
  <c r="V63" i="3"/>
  <c r="W63" i="3"/>
  <c r="X63" i="3"/>
  <c r="Y63" i="3"/>
  <c r="Z63" i="3"/>
  <c r="C64" i="3"/>
  <c r="D64" i="3"/>
  <c r="E64" i="3"/>
  <c r="F64" i="3"/>
  <c r="G64" i="3"/>
  <c r="H64" i="3"/>
  <c r="I64" i="3"/>
  <c r="J64" i="3"/>
  <c r="K64" i="3"/>
  <c r="L64" i="3"/>
  <c r="M64" i="3"/>
  <c r="N64" i="3"/>
  <c r="O64" i="3"/>
  <c r="P64" i="3"/>
  <c r="Q64" i="3"/>
  <c r="R64" i="3"/>
  <c r="S64" i="3"/>
  <c r="T64" i="3"/>
  <c r="U64" i="3"/>
  <c r="V64" i="3"/>
  <c r="W64" i="3"/>
  <c r="X64" i="3"/>
  <c r="Y64" i="3"/>
  <c r="Z64" i="3"/>
  <c r="C65" i="3"/>
  <c r="D77" i="9"/>
  <c r="D65" i="3"/>
  <c r="E77" i="9"/>
  <c r="E65" i="3"/>
  <c r="F77" i="9"/>
  <c r="F65" i="3"/>
  <c r="G77" i="9"/>
  <c r="G65" i="3"/>
  <c r="H77" i="9"/>
  <c r="H65" i="3"/>
  <c r="I77" i="9"/>
  <c r="I65" i="3"/>
  <c r="J77" i="9"/>
  <c r="J65" i="3"/>
  <c r="K77" i="9"/>
  <c r="K65" i="3"/>
  <c r="L77" i="9"/>
  <c r="L65" i="3"/>
  <c r="M77" i="9"/>
  <c r="M65" i="3"/>
  <c r="N77" i="9"/>
  <c r="N65" i="3"/>
  <c r="O77" i="9"/>
  <c r="O65" i="3"/>
  <c r="P77" i="9"/>
  <c r="P65" i="3"/>
  <c r="Q77" i="9"/>
  <c r="Q65" i="3"/>
  <c r="R77" i="9"/>
  <c r="R65" i="3"/>
  <c r="S77" i="9"/>
  <c r="S65" i="3"/>
  <c r="T77" i="9"/>
  <c r="T65" i="3"/>
  <c r="U77" i="9"/>
  <c r="U65" i="3"/>
  <c r="V77" i="9"/>
  <c r="V65" i="3"/>
  <c r="W77" i="9"/>
  <c r="W65" i="3"/>
  <c r="X77" i="9"/>
  <c r="X65" i="3"/>
  <c r="Y77" i="9"/>
  <c r="Y65" i="3"/>
  <c r="Z77" i="9"/>
  <c r="Z65" i="3"/>
  <c r="AA77" i="9"/>
  <c r="C66" i="3"/>
  <c r="D66" i="3"/>
  <c r="E66" i="3"/>
  <c r="F66" i="3"/>
  <c r="G66" i="3"/>
  <c r="H66" i="3"/>
  <c r="I66" i="3"/>
  <c r="J66" i="3"/>
  <c r="K66" i="3"/>
  <c r="L66" i="3"/>
  <c r="M66" i="3"/>
  <c r="N66" i="3"/>
  <c r="O66" i="3"/>
  <c r="P66" i="3"/>
  <c r="Q66" i="3"/>
  <c r="R66" i="3"/>
  <c r="S66" i="3"/>
  <c r="T66" i="3"/>
  <c r="U66" i="3"/>
  <c r="V66" i="3"/>
  <c r="W66" i="3"/>
  <c r="X66" i="3"/>
  <c r="Y66" i="3"/>
  <c r="Z66" i="3"/>
  <c r="C67" i="3"/>
  <c r="D67" i="3"/>
  <c r="E67" i="3"/>
  <c r="F67" i="3"/>
  <c r="G67" i="3"/>
  <c r="H67" i="3"/>
  <c r="I67" i="3"/>
  <c r="J67" i="3"/>
  <c r="K67" i="3"/>
  <c r="L67" i="3"/>
  <c r="M67" i="3"/>
  <c r="N67" i="3"/>
  <c r="O67" i="3"/>
  <c r="P67" i="3"/>
  <c r="Q67" i="3"/>
  <c r="R67" i="3"/>
  <c r="S67" i="3"/>
  <c r="T67" i="3"/>
  <c r="U67" i="3"/>
  <c r="V67" i="3"/>
  <c r="W67" i="3"/>
  <c r="X67" i="3"/>
  <c r="Y67" i="3"/>
  <c r="Z67" i="3"/>
  <c r="C68" i="3"/>
  <c r="D68" i="3"/>
  <c r="E68" i="3"/>
  <c r="F68" i="3"/>
  <c r="G68" i="3"/>
  <c r="H68" i="3"/>
  <c r="I68" i="3"/>
  <c r="J68" i="3"/>
  <c r="K68" i="3"/>
  <c r="L68" i="3"/>
  <c r="M68" i="3"/>
  <c r="N68" i="3"/>
  <c r="O68" i="3"/>
  <c r="P68" i="3"/>
  <c r="Q68" i="3"/>
  <c r="R68" i="3"/>
  <c r="S68" i="3"/>
  <c r="T68" i="3"/>
  <c r="U68" i="3"/>
  <c r="V68" i="3"/>
  <c r="W68" i="3"/>
  <c r="X68" i="3"/>
  <c r="Y68" i="3"/>
  <c r="Z68" i="3"/>
  <c r="C69" i="3"/>
  <c r="D69" i="3"/>
  <c r="E69" i="3"/>
  <c r="F69" i="3"/>
  <c r="G69" i="3"/>
  <c r="H69" i="3"/>
  <c r="I69" i="3"/>
  <c r="J69" i="3"/>
  <c r="K69" i="3"/>
  <c r="L69" i="3"/>
  <c r="M69" i="3"/>
  <c r="N69" i="3"/>
  <c r="O69" i="3"/>
  <c r="P69" i="3"/>
  <c r="Q69" i="3"/>
  <c r="R69" i="3"/>
  <c r="S69" i="3"/>
  <c r="T69" i="3"/>
  <c r="U69" i="3"/>
  <c r="V69" i="3"/>
  <c r="W69" i="3"/>
  <c r="X69" i="3"/>
  <c r="Y69" i="3"/>
  <c r="Z69" i="3"/>
  <c r="C70" i="3"/>
  <c r="D70" i="3"/>
  <c r="E70" i="3"/>
  <c r="F70" i="3"/>
  <c r="G70" i="3"/>
  <c r="H70" i="3"/>
  <c r="I70" i="3"/>
  <c r="J70" i="3"/>
  <c r="K70" i="3"/>
  <c r="L70" i="3"/>
  <c r="M70" i="3"/>
  <c r="N70" i="3"/>
  <c r="O70" i="3"/>
  <c r="P70" i="3"/>
  <c r="Q70" i="3"/>
  <c r="R70" i="3"/>
  <c r="S70" i="3"/>
  <c r="T70" i="3"/>
  <c r="U70" i="3"/>
  <c r="V70" i="3"/>
  <c r="W70" i="3"/>
  <c r="X70" i="3"/>
  <c r="Y70" i="3"/>
  <c r="Z70" i="3"/>
  <c r="C71" i="3"/>
  <c r="D71" i="3"/>
  <c r="E71" i="3"/>
  <c r="F71" i="3"/>
  <c r="G71" i="3"/>
  <c r="H71" i="3"/>
  <c r="I71" i="3"/>
  <c r="J71" i="3"/>
  <c r="K71" i="3"/>
  <c r="L71" i="3"/>
  <c r="M71" i="3"/>
  <c r="N71" i="3"/>
  <c r="O71" i="3"/>
  <c r="P71" i="3"/>
  <c r="Q71" i="3"/>
  <c r="Q72" i="3"/>
  <c r="R71" i="3"/>
  <c r="S71" i="3"/>
  <c r="T71" i="3"/>
  <c r="U71" i="3"/>
  <c r="V71" i="3"/>
  <c r="W71" i="3"/>
  <c r="X71" i="3"/>
  <c r="Y71" i="3"/>
  <c r="Z71" i="3"/>
  <c r="C72" i="3"/>
  <c r="C73" i="3"/>
  <c r="D73" i="3"/>
  <c r="E73" i="3"/>
  <c r="F73" i="3"/>
  <c r="G73" i="3"/>
  <c r="H73" i="3"/>
  <c r="I73" i="3"/>
  <c r="J73" i="3"/>
  <c r="K73" i="3"/>
  <c r="L73" i="3"/>
  <c r="M73" i="3"/>
  <c r="N73" i="3"/>
  <c r="O73" i="3"/>
  <c r="P73" i="3"/>
  <c r="Q73" i="3"/>
  <c r="R73" i="3"/>
  <c r="S73" i="3"/>
  <c r="T73" i="3"/>
  <c r="U73" i="3"/>
  <c r="V73" i="3"/>
  <c r="W73" i="3"/>
  <c r="X73" i="3"/>
  <c r="Y73" i="3"/>
  <c r="Z73" i="3"/>
  <c r="C74" i="3"/>
  <c r="D74" i="3"/>
  <c r="E74" i="3"/>
  <c r="F74" i="3"/>
  <c r="G74" i="3"/>
  <c r="H74" i="3"/>
  <c r="I74" i="3"/>
  <c r="J74" i="3"/>
  <c r="K74" i="3"/>
  <c r="L74" i="3"/>
  <c r="M74" i="3"/>
  <c r="N74" i="3"/>
  <c r="O74" i="3"/>
  <c r="P74" i="3"/>
  <c r="Q74" i="3"/>
  <c r="R74" i="3"/>
  <c r="S74" i="3"/>
  <c r="T74" i="3"/>
  <c r="U74" i="3"/>
  <c r="V74" i="3"/>
  <c r="W74" i="3"/>
  <c r="X74" i="3"/>
  <c r="Y74" i="3"/>
  <c r="Z74" i="3"/>
  <c r="C75" i="3"/>
  <c r="D75" i="3"/>
  <c r="E75" i="3"/>
  <c r="F75" i="3"/>
  <c r="G75" i="3"/>
  <c r="H75" i="3"/>
  <c r="I75" i="3"/>
  <c r="J75" i="3"/>
  <c r="K75" i="3"/>
  <c r="L75" i="3"/>
  <c r="M75" i="3"/>
  <c r="N75" i="3"/>
  <c r="O75" i="3"/>
  <c r="P75" i="3"/>
  <c r="Q75" i="3"/>
  <c r="R75" i="3"/>
  <c r="S75" i="3"/>
  <c r="T75" i="3"/>
  <c r="U75" i="3"/>
  <c r="V75" i="3"/>
  <c r="W75" i="3"/>
  <c r="X75" i="3"/>
  <c r="Y75" i="3"/>
  <c r="Z75" i="3"/>
  <c r="C76" i="3"/>
  <c r="D76" i="3"/>
  <c r="E76" i="3"/>
  <c r="F76" i="3"/>
  <c r="G76" i="3"/>
  <c r="H76" i="3"/>
  <c r="I76" i="3"/>
  <c r="J76" i="3"/>
  <c r="K76" i="3"/>
  <c r="L76" i="3"/>
  <c r="M76" i="3"/>
  <c r="N76" i="3"/>
  <c r="O76" i="3"/>
  <c r="P76" i="3"/>
  <c r="Q76" i="3"/>
  <c r="R76" i="3"/>
  <c r="S76" i="3"/>
  <c r="T76" i="3"/>
  <c r="U76" i="3"/>
  <c r="V76" i="3"/>
  <c r="W76" i="3"/>
  <c r="X76" i="3"/>
  <c r="Y76" i="3"/>
  <c r="Z76" i="3"/>
  <c r="C77" i="3"/>
  <c r="D77" i="3"/>
  <c r="E77" i="3"/>
  <c r="F77" i="3"/>
  <c r="G77" i="3"/>
  <c r="H77" i="3"/>
  <c r="I77" i="3"/>
  <c r="J77" i="3"/>
  <c r="K77" i="3"/>
  <c r="L77" i="3"/>
  <c r="M77" i="3"/>
  <c r="N77" i="3"/>
  <c r="O77" i="3"/>
  <c r="P77" i="3"/>
  <c r="Q77" i="3"/>
  <c r="R77" i="3"/>
  <c r="S77" i="3"/>
  <c r="T77" i="3"/>
  <c r="U77" i="3"/>
  <c r="V77" i="3"/>
  <c r="W77" i="3"/>
  <c r="X77" i="3"/>
  <c r="Y77" i="3"/>
  <c r="Z77" i="3"/>
  <c r="C78" i="3"/>
  <c r="D78" i="3"/>
  <c r="E78" i="3"/>
  <c r="F78" i="3"/>
  <c r="G78" i="3"/>
  <c r="H78" i="3"/>
  <c r="I78" i="3"/>
  <c r="J78" i="3"/>
  <c r="K78" i="3"/>
  <c r="L78" i="3"/>
  <c r="M78" i="3"/>
  <c r="N78" i="3"/>
  <c r="O78" i="3"/>
  <c r="P78" i="3"/>
  <c r="Q78" i="3"/>
  <c r="R78" i="3"/>
  <c r="S78" i="3"/>
  <c r="T78" i="3"/>
  <c r="U78" i="3"/>
  <c r="V78" i="3"/>
  <c r="W78" i="3"/>
  <c r="X78" i="3"/>
  <c r="Y78" i="3"/>
  <c r="Z78" i="3"/>
  <c r="C79" i="3"/>
  <c r="D79" i="3"/>
  <c r="E79" i="3"/>
  <c r="F79" i="3"/>
  <c r="G79" i="3"/>
  <c r="H79" i="3"/>
  <c r="I79" i="3"/>
  <c r="J79" i="3"/>
  <c r="K79" i="3"/>
  <c r="L79" i="3"/>
  <c r="M79" i="3"/>
  <c r="N79" i="3"/>
  <c r="O79" i="3"/>
  <c r="P79" i="3"/>
  <c r="Q79" i="3"/>
  <c r="R79" i="3"/>
  <c r="S79" i="3"/>
  <c r="T79" i="3"/>
  <c r="U79" i="3"/>
  <c r="V79" i="3"/>
  <c r="W79" i="3"/>
  <c r="X79" i="3"/>
  <c r="Y79" i="3"/>
  <c r="Z79" i="3"/>
  <c r="F72" i="3"/>
  <c r="U72" i="3"/>
  <c r="E72" i="3"/>
  <c r="E122" i="9"/>
  <c r="AI15" i="9"/>
  <c r="AE15" i="9"/>
  <c r="AA15" i="9"/>
  <c r="W15" i="9"/>
  <c r="S15" i="9"/>
  <c r="O15" i="9"/>
  <c r="K15" i="9"/>
  <c r="G15" i="9"/>
  <c r="AK122" i="9"/>
  <c r="Y72" i="3"/>
  <c r="M72" i="3"/>
  <c r="I72" i="3"/>
  <c r="AF15" i="9"/>
  <c r="AB15" i="9"/>
  <c r="X15" i="9"/>
  <c r="T15" i="9"/>
  <c r="P15" i="9"/>
  <c r="L15" i="9"/>
  <c r="H15" i="9"/>
  <c r="D15" i="9"/>
  <c r="X72" i="3"/>
  <c r="H72" i="3"/>
  <c r="AK29" i="9"/>
  <c r="AG29" i="9"/>
  <c r="AC29" i="9"/>
  <c r="Y29" i="9"/>
  <c r="U29" i="9"/>
  <c r="Q29" i="9"/>
  <c r="M29" i="9"/>
  <c r="I29" i="9"/>
  <c r="E29" i="9"/>
  <c r="AI26" i="9"/>
  <c r="AE26" i="9"/>
  <c r="AA26" i="9"/>
  <c r="W26" i="9"/>
  <c r="S26" i="9"/>
  <c r="O26" i="9"/>
  <c r="K26" i="9"/>
  <c r="G26" i="9"/>
  <c r="AK25" i="9"/>
  <c r="AG25" i="9"/>
  <c r="AC25" i="9"/>
  <c r="Y25" i="9"/>
  <c r="U25" i="9"/>
  <c r="Q25" i="9"/>
  <c r="M25" i="9"/>
  <c r="I25" i="9"/>
  <c r="E25" i="9"/>
  <c r="AI24" i="9"/>
  <c r="AE24" i="9"/>
  <c r="AA24" i="9"/>
  <c r="W24" i="9"/>
  <c r="S24" i="9"/>
  <c r="O24" i="9"/>
  <c r="K24" i="9"/>
  <c r="G24" i="9"/>
  <c r="AI20" i="9"/>
  <c r="AE20" i="9"/>
  <c r="AA20" i="9"/>
  <c r="W20" i="9"/>
  <c r="S20" i="9"/>
  <c r="O20" i="9"/>
  <c r="K20" i="9"/>
  <c r="G20" i="9"/>
  <c r="AI7" i="9"/>
  <c r="AE7" i="9"/>
  <c r="AA7" i="9"/>
  <c r="W7" i="9"/>
  <c r="S7" i="9"/>
  <c r="O7" i="9"/>
  <c r="K7" i="9"/>
  <c r="G7" i="9"/>
  <c r="AK6" i="9"/>
  <c r="AG6" i="9"/>
  <c r="AC6" i="9"/>
  <c r="Y6" i="9"/>
  <c r="U6" i="9"/>
  <c r="Q6" i="9"/>
  <c r="M6" i="9"/>
  <c r="I6" i="9"/>
  <c r="E6" i="9"/>
  <c r="AI5" i="9"/>
  <c r="AE5" i="9"/>
  <c r="AA5" i="9"/>
  <c r="W5" i="9"/>
  <c r="S5" i="9"/>
  <c r="O5" i="9"/>
  <c r="K5" i="9"/>
  <c r="G5" i="9"/>
  <c r="AK105" i="9"/>
  <c r="DB149" i="11"/>
  <c r="AG105" i="9"/>
  <c r="CP149" i="11"/>
  <c r="AC105" i="9"/>
  <c r="CD149" i="11"/>
  <c r="Y105" i="9"/>
  <c r="BR149" i="11"/>
  <c r="U105" i="9"/>
  <c r="Q105" i="9"/>
  <c r="AT149" i="11"/>
  <c r="M105" i="9"/>
  <c r="I105" i="9"/>
  <c r="V149" i="11"/>
  <c r="E105" i="9"/>
  <c r="Y101" i="9"/>
  <c r="U101" i="9"/>
  <c r="Q101" i="9"/>
  <c r="M101" i="9"/>
  <c r="I101" i="9"/>
  <c r="E101" i="9"/>
  <c r="AA96" i="9"/>
  <c r="W96" i="9"/>
  <c r="S96" i="9"/>
  <c r="O96" i="9"/>
  <c r="K96" i="9"/>
  <c r="G96" i="9"/>
  <c r="AA94" i="9"/>
  <c r="W94" i="9"/>
  <c r="S94" i="9"/>
  <c r="O94" i="9"/>
  <c r="K94" i="9"/>
  <c r="G94" i="9"/>
  <c r="Y93" i="9"/>
  <c r="U93" i="9"/>
  <c r="Q93" i="9"/>
  <c r="M93" i="9"/>
  <c r="I93" i="9"/>
  <c r="E93" i="9"/>
  <c r="AA92" i="9"/>
  <c r="W92" i="9"/>
  <c r="S92" i="9"/>
  <c r="O92" i="9"/>
  <c r="K92" i="9"/>
  <c r="G92" i="9"/>
  <c r="Y83" i="9"/>
  <c r="U83" i="9"/>
  <c r="Q83" i="9"/>
  <c r="M83" i="9"/>
  <c r="I83" i="9"/>
  <c r="E83" i="9"/>
  <c r="AA82" i="9"/>
  <c r="W82" i="9"/>
  <c r="S82" i="9"/>
  <c r="O82" i="9"/>
  <c r="K82" i="9"/>
  <c r="G82" i="9"/>
  <c r="Y81" i="9"/>
  <c r="U81" i="9"/>
  <c r="Q81" i="9"/>
  <c r="M81" i="9"/>
  <c r="I81" i="9"/>
  <c r="E81" i="9"/>
  <c r="T72" i="3"/>
  <c r="L72" i="3"/>
  <c r="W72" i="3"/>
  <c r="S72" i="3"/>
  <c r="O72" i="3"/>
  <c r="K72" i="3"/>
  <c r="P72" i="3"/>
  <c r="D72" i="3"/>
  <c r="Z72" i="3"/>
  <c r="V72" i="3"/>
  <c r="R72" i="3"/>
  <c r="N72" i="3"/>
  <c r="J72" i="3"/>
  <c r="AH29" i="9"/>
  <c r="AD29" i="9"/>
  <c r="Z29" i="9"/>
  <c r="V29" i="9"/>
  <c r="R29" i="9"/>
  <c r="N29" i="9"/>
  <c r="J29" i="9"/>
  <c r="F29" i="9"/>
  <c r="AJ26" i="9"/>
  <c r="AF26" i="9"/>
  <c r="AB26" i="9"/>
  <c r="X26" i="9"/>
  <c r="T26" i="9"/>
  <c r="P26" i="9"/>
  <c r="L26" i="9"/>
  <c r="H26" i="9"/>
  <c r="D26" i="9"/>
  <c r="AH25" i="9"/>
  <c r="AD25" i="9"/>
  <c r="Z25" i="9"/>
  <c r="V25" i="9"/>
  <c r="R25" i="9"/>
  <c r="N25" i="9"/>
  <c r="J25" i="9"/>
  <c r="F25" i="9"/>
  <c r="AJ24" i="9"/>
  <c r="AF24" i="9"/>
  <c r="AB24" i="9"/>
  <c r="X24" i="9"/>
  <c r="T24" i="9"/>
  <c r="P24" i="9"/>
  <c r="L24" i="9"/>
  <c r="H24" i="9"/>
  <c r="D24" i="9"/>
  <c r="AJ20" i="9"/>
  <c r="AF20" i="9"/>
  <c r="AB20" i="9"/>
  <c r="X20" i="9"/>
  <c r="T20" i="9"/>
  <c r="P20" i="9"/>
  <c r="L20" i="9"/>
  <c r="H20" i="9"/>
  <c r="D20" i="9"/>
  <c r="AJ15" i="9"/>
  <c r="AJ7" i="9"/>
  <c r="AF7" i="9"/>
  <c r="AB7" i="9"/>
  <c r="X7" i="9"/>
  <c r="T7" i="9"/>
  <c r="P7" i="9"/>
  <c r="L7" i="9"/>
  <c r="H7" i="9"/>
  <c r="D7" i="9"/>
  <c r="AH6" i="9"/>
  <c r="AD6" i="9"/>
  <c r="Z6" i="9"/>
  <c r="V6" i="9"/>
  <c r="R6" i="9"/>
  <c r="N6" i="9"/>
  <c r="J6" i="9"/>
  <c r="F6" i="9"/>
  <c r="AJ5" i="9"/>
  <c r="AF5" i="9"/>
  <c r="AB5" i="9"/>
  <c r="X5" i="9"/>
  <c r="T5" i="9"/>
  <c r="P5" i="9"/>
  <c r="L5" i="9"/>
  <c r="H5" i="9"/>
  <c r="D5" i="9"/>
  <c r="AH105" i="9"/>
  <c r="CS149" i="11"/>
  <c r="AA80" i="9"/>
  <c r="W80" i="9"/>
  <c r="S80" i="9"/>
  <c r="O80" i="9"/>
  <c r="K80" i="9"/>
  <c r="G80" i="9"/>
  <c r="Y79" i="9"/>
  <c r="U79" i="9"/>
  <c r="Q79" i="9"/>
  <c r="M79" i="9"/>
  <c r="I79" i="9"/>
  <c r="E79" i="9"/>
  <c r="AA78" i="9"/>
  <c r="W78" i="9"/>
  <c r="S78" i="9"/>
  <c r="O78" i="9"/>
  <c r="K78" i="9"/>
  <c r="G78" i="9"/>
  <c r="AA75" i="9"/>
  <c r="W75" i="9"/>
  <c r="S75" i="9"/>
  <c r="O75" i="9"/>
  <c r="K75" i="9"/>
  <c r="G75" i="9"/>
  <c r="Y74" i="9"/>
  <c r="U74" i="9"/>
  <c r="Q74" i="9"/>
  <c r="M74" i="9"/>
  <c r="I74" i="9"/>
  <c r="E74" i="9"/>
  <c r="AA73" i="9"/>
  <c r="W73" i="9"/>
  <c r="S73" i="9"/>
  <c r="O73" i="9"/>
  <c r="K73" i="9"/>
  <c r="G73" i="9"/>
  <c r="Y71" i="9"/>
  <c r="U71" i="9"/>
  <c r="Q71" i="9"/>
  <c r="M71" i="9"/>
  <c r="I71" i="9"/>
  <c r="E71" i="9"/>
  <c r="AA67" i="9"/>
  <c r="W67" i="9"/>
  <c r="S67" i="9"/>
  <c r="O67" i="9"/>
  <c r="K67" i="9"/>
  <c r="G67" i="9"/>
  <c r="AA66" i="9"/>
  <c r="W66" i="9"/>
  <c r="S66" i="9"/>
  <c r="O66" i="9"/>
  <c r="K66" i="9"/>
  <c r="G66" i="9"/>
  <c r="Y65" i="9"/>
  <c r="U65" i="9"/>
  <c r="Q65" i="9"/>
  <c r="M65" i="9"/>
  <c r="I65" i="9"/>
  <c r="E65" i="9"/>
  <c r="AD105" i="9"/>
  <c r="CG149" i="11"/>
  <c r="Z105" i="9"/>
  <c r="BU149" i="11"/>
  <c r="V105" i="9"/>
  <c r="BI149" i="11"/>
  <c r="R105" i="9"/>
  <c r="AW149" i="11"/>
  <c r="N105" i="9"/>
  <c r="AK149" i="11"/>
  <c r="J105" i="9"/>
  <c r="Y149" i="11"/>
  <c r="F105" i="9"/>
  <c r="M149" i="11"/>
  <c r="Z101" i="9"/>
  <c r="V101" i="9"/>
  <c r="R101" i="9"/>
  <c r="N101" i="9"/>
  <c r="J101" i="9"/>
  <c r="F101" i="9"/>
  <c r="X96" i="9"/>
  <c r="T96" i="9"/>
  <c r="P96" i="9"/>
  <c r="L96" i="9"/>
  <c r="H96" i="9"/>
  <c r="D96" i="9"/>
  <c r="X94" i="9"/>
  <c r="T94" i="9"/>
  <c r="P94" i="9"/>
  <c r="L94" i="9"/>
  <c r="H94" i="9"/>
  <c r="D94" i="9"/>
  <c r="Z93" i="9"/>
  <c r="V93" i="9"/>
  <c r="R93" i="9"/>
  <c r="N93" i="9"/>
  <c r="J93" i="9"/>
  <c r="F93" i="9"/>
  <c r="X92" i="9"/>
  <c r="T92" i="9"/>
  <c r="P92" i="9"/>
  <c r="L92" i="9"/>
  <c r="H92" i="9"/>
  <c r="D92" i="9"/>
  <c r="Z83" i="9"/>
  <c r="V83" i="9"/>
  <c r="R83" i="9"/>
  <c r="N83" i="9"/>
  <c r="J83" i="9"/>
  <c r="F83" i="9"/>
  <c r="X82" i="9"/>
  <c r="AA123" i="9"/>
  <c r="AA70" i="9"/>
  <c r="AD123" i="9"/>
  <c r="AD70" i="9"/>
  <c r="N123" i="9"/>
  <c r="N70" i="9"/>
  <c r="AA64" i="9"/>
  <c r="W64" i="9"/>
  <c r="S64" i="9"/>
  <c r="O64" i="9"/>
  <c r="K64" i="9"/>
  <c r="G64" i="9"/>
  <c r="Y61" i="9"/>
  <c r="U61" i="9"/>
  <c r="Q61" i="9"/>
  <c r="M61" i="9"/>
  <c r="I61" i="9"/>
  <c r="E61" i="9"/>
  <c r="AA60" i="9"/>
  <c r="W60" i="9"/>
  <c r="S60" i="9"/>
  <c r="O60" i="9"/>
  <c r="K60" i="9"/>
  <c r="G60" i="9"/>
  <c r="Y59" i="9"/>
  <c r="U59" i="9"/>
  <c r="Q59" i="9"/>
  <c r="M59" i="9"/>
  <c r="I59" i="9"/>
  <c r="E59" i="9"/>
  <c r="AA51" i="9"/>
  <c r="W51" i="9"/>
  <c r="S51" i="9"/>
  <c r="O51" i="9"/>
  <c r="K51" i="9"/>
  <c r="G51" i="9"/>
  <c r="Y50" i="9"/>
  <c r="U50" i="9"/>
  <c r="Q50" i="9"/>
  <c r="M50" i="9"/>
  <c r="I50" i="9"/>
  <c r="E50" i="9"/>
  <c r="AA49" i="9"/>
  <c r="W49" i="9"/>
  <c r="S49" i="9"/>
  <c r="O49" i="9"/>
  <c r="K49" i="9"/>
  <c r="G49" i="9"/>
  <c r="Y48" i="9"/>
  <c r="U48" i="9"/>
  <c r="Q48" i="9"/>
  <c r="M48" i="9"/>
  <c r="I48" i="9"/>
  <c r="E48" i="9"/>
  <c r="AA45" i="9"/>
  <c r="W45" i="9"/>
  <c r="S45" i="9"/>
  <c r="O45" i="9"/>
  <c r="K45" i="9"/>
  <c r="G45" i="9"/>
  <c r="AE122" i="9"/>
  <c r="W122" i="9"/>
  <c r="W123" i="9"/>
  <c r="W70" i="9"/>
  <c r="O122" i="9"/>
  <c r="G122" i="9"/>
  <c r="G123" i="9"/>
  <c r="G70" i="9"/>
  <c r="Z122" i="9"/>
  <c r="R122" i="9"/>
  <c r="J123" i="9"/>
  <c r="J70" i="9"/>
  <c r="Y123" i="9"/>
  <c r="Y70" i="9"/>
  <c r="I123" i="9"/>
  <c r="I70" i="9"/>
  <c r="AC122" i="9"/>
  <c r="U122" i="9"/>
  <c r="M123" i="9"/>
  <c r="M70" i="9"/>
  <c r="P122" i="9"/>
  <c r="P123" i="9"/>
  <c r="P70" i="9"/>
  <c r="AJ122" i="9"/>
  <c r="AB122" i="9"/>
  <c r="L123" i="9"/>
  <c r="L70" i="9"/>
  <c r="L122" i="9"/>
  <c r="D122" i="9"/>
  <c r="AJ29" i="9"/>
  <c r="AF29" i="9"/>
  <c r="AB29" i="9"/>
  <c r="X29" i="9"/>
  <c r="T29" i="9"/>
  <c r="P29" i="9"/>
  <c r="L29" i="9"/>
  <c r="H29" i="9"/>
  <c r="D29" i="9"/>
  <c r="AH26" i="9"/>
  <c r="AD26" i="9"/>
  <c r="Z26" i="9"/>
  <c r="V26" i="9"/>
  <c r="R26" i="9"/>
  <c r="N26" i="9"/>
  <c r="J26" i="9"/>
  <c r="F26" i="9"/>
  <c r="AJ25" i="9"/>
  <c r="AF25" i="9"/>
  <c r="AB25" i="9"/>
  <c r="X25" i="9"/>
  <c r="T25" i="9"/>
  <c r="P25" i="9"/>
  <c r="L25" i="9"/>
  <c r="H25" i="9"/>
  <c r="D25" i="9"/>
  <c r="AH24" i="9"/>
  <c r="AD24" i="9"/>
  <c r="Z24" i="9"/>
  <c r="V24" i="9"/>
  <c r="R24" i="9"/>
  <c r="N24" i="9"/>
  <c r="J24" i="9"/>
  <c r="F24" i="9"/>
  <c r="AH20" i="9"/>
  <c r="AD20" i="9"/>
  <c r="S123" i="9"/>
  <c r="S70" i="9"/>
  <c r="J122" i="9"/>
  <c r="M122" i="9"/>
  <c r="T122" i="9"/>
  <c r="Z123" i="9"/>
  <c r="Z70" i="9"/>
  <c r="Z20" i="9"/>
  <c r="V20" i="9"/>
  <c r="R20" i="9"/>
  <c r="N20" i="9"/>
  <c r="J20" i="9"/>
  <c r="F20" i="9"/>
  <c r="AH15" i="9"/>
  <c r="AD15" i="9"/>
  <c r="Z15" i="9"/>
  <c r="V15" i="9"/>
  <c r="R15" i="9"/>
  <c r="N15" i="9"/>
  <c r="J15" i="9"/>
  <c r="F15" i="9"/>
  <c r="AH7" i="9"/>
  <c r="AD7" i="9"/>
  <c r="Z7" i="9"/>
  <c r="V7" i="9"/>
  <c r="R7" i="9"/>
  <c r="N7" i="9"/>
  <c r="J7" i="9"/>
  <c r="F7" i="9"/>
  <c r="AJ6" i="9"/>
  <c r="AF6" i="9"/>
  <c r="AB6" i="9"/>
  <c r="X6" i="9"/>
  <c r="T6" i="9"/>
  <c r="P6" i="9"/>
  <c r="L6" i="9"/>
  <c r="H6" i="9"/>
  <c r="D6" i="9"/>
  <c r="AH5" i="9"/>
  <c r="AD5" i="9"/>
  <c r="Z5" i="9"/>
  <c r="V5" i="9"/>
  <c r="R5" i="9"/>
  <c r="N5" i="9"/>
  <c r="J5" i="9"/>
  <c r="F5" i="9"/>
  <c r="AJ105" i="9"/>
  <c r="CY149" i="11"/>
  <c r="AF105" i="9"/>
  <c r="CM149" i="11"/>
  <c r="AB105" i="9"/>
  <c r="CA149" i="11"/>
  <c r="X105" i="9"/>
  <c r="BO149" i="11"/>
  <c r="T105" i="9"/>
  <c r="BC149" i="11"/>
  <c r="P105" i="9"/>
  <c r="AQ149" i="11"/>
  <c r="L105" i="9"/>
  <c r="AE149" i="11"/>
  <c r="H105" i="9"/>
  <c r="S149" i="11"/>
  <c r="D105" i="9"/>
  <c r="G149" i="11"/>
  <c r="X101" i="9"/>
  <c r="T101" i="9"/>
  <c r="P101" i="9"/>
  <c r="L101" i="9"/>
  <c r="H101" i="9"/>
  <c r="D101" i="9"/>
  <c r="Z96" i="9"/>
  <c r="V96" i="9"/>
  <c r="R96" i="9"/>
  <c r="N96" i="9"/>
  <c r="J96" i="9"/>
  <c r="F96" i="9"/>
  <c r="Z94" i="9"/>
  <c r="V94" i="9"/>
  <c r="R94" i="9"/>
  <c r="N94" i="9"/>
  <c r="J94" i="9"/>
  <c r="F94" i="9"/>
  <c r="X93" i="9"/>
  <c r="T93" i="9"/>
  <c r="P93" i="9"/>
  <c r="L93" i="9"/>
  <c r="H93" i="9"/>
  <c r="D93" i="9"/>
  <c r="Z92" i="9"/>
  <c r="V92" i="9"/>
  <c r="R92" i="9"/>
  <c r="N92" i="9"/>
  <c r="J92" i="9"/>
  <c r="F92" i="9"/>
  <c r="X83" i="9"/>
  <c r="T83" i="9"/>
  <c r="P83" i="9"/>
  <c r="L83" i="9"/>
  <c r="H83" i="9"/>
  <c r="D83" i="9"/>
  <c r="Z82" i="9"/>
  <c r="V82" i="9"/>
  <c r="R82" i="9"/>
  <c r="N82" i="9"/>
  <c r="J82" i="9"/>
  <c r="F82" i="9"/>
  <c r="X81" i="9"/>
  <c r="T81" i="9"/>
  <c r="P81" i="9"/>
  <c r="L81" i="9"/>
  <c r="H81" i="9"/>
  <c r="D81" i="9"/>
  <c r="Z80" i="9"/>
  <c r="V80" i="9"/>
  <c r="R80" i="9"/>
  <c r="N80" i="9"/>
  <c r="J80" i="9"/>
  <c r="F80" i="9"/>
  <c r="X79" i="9"/>
  <c r="T79" i="9"/>
  <c r="P79" i="9"/>
  <c r="L79" i="9"/>
  <c r="H79" i="9"/>
  <c r="D79" i="9"/>
  <c r="Z78" i="9"/>
  <c r="V78" i="9"/>
  <c r="R78" i="9"/>
  <c r="N78" i="9"/>
  <c r="J78" i="9"/>
  <c r="F78" i="9"/>
  <c r="Z75" i="9"/>
  <c r="V75" i="9"/>
  <c r="R75" i="9"/>
  <c r="N75" i="9"/>
  <c r="J75" i="9"/>
  <c r="F75" i="9"/>
  <c r="X74" i="9"/>
  <c r="T74" i="9"/>
  <c r="P74" i="9"/>
  <c r="L74" i="9"/>
  <c r="H74" i="9"/>
  <c r="D74" i="9"/>
  <c r="X71" i="9"/>
  <c r="T71" i="9"/>
  <c r="P71" i="9"/>
  <c r="L71" i="9"/>
  <c r="H71" i="9"/>
  <c r="D71" i="9"/>
  <c r="Z67" i="9"/>
  <c r="V67" i="9"/>
  <c r="R67" i="9"/>
  <c r="N67" i="9"/>
  <c r="J67" i="9"/>
  <c r="F67" i="9"/>
  <c r="Z66" i="9"/>
  <c r="V66" i="9"/>
  <c r="R66" i="9"/>
  <c r="N66" i="9"/>
  <c r="J66" i="9"/>
  <c r="F66" i="9"/>
  <c r="X65" i="9"/>
  <c r="T65" i="9"/>
  <c r="P65" i="9"/>
  <c r="L65" i="9"/>
  <c r="H65" i="9"/>
  <c r="D65" i="9"/>
  <c r="Z64" i="9"/>
  <c r="V64" i="9"/>
  <c r="R64" i="9"/>
  <c r="N64" i="9"/>
  <c r="J64" i="9"/>
  <c r="F64" i="9"/>
  <c r="X61" i="9"/>
  <c r="T61" i="9"/>
  <c r="P61" i="9"/>
  <c r="L61" i="9"/>
  <c r="H61" i="9"/>
  <c r="D61" i="9"/>
  <c r="Z60" i="9"/>
  <c r="V60" i="9"/>
  <c r="R60" i="9"/>
  <c r="N60" i="9"/>
  <c r="J60" i="9"/>
  <c r="F60" i="9"/>
  <c r="X59" i="9"/>
  <c r="T59" i="9"/>
  <c r="P59" i="9"/>
  <c r="L59" i="9"/>
  <c r="H59" i="9"/>
  <c r="D59" i="9"/>
  <c r="Z51" i="9"/>
  <c r="V51" i="9"/>
  <c r="R51" i="9"/>
  <c r="N51" i="9"/>
  <c r="J51" i="9"/>
  <c r="F51" i="9"/>
  <c r="X50" i="9"/>
  <c r="T50" i="9"/>
  <c r="P50" i="9"/>
  <c r="L50" i="9"/>
  <c r="H50" i="9"/>
  <c r="D50" i="9"/>
  <c r="Z49" i="9"/>
  <c r="V49" i="9"/>
  <c r="R49" i="9"/>
  <c r="N49" i="9"/>
  <c r="J49" i="9"/>
  <c r="F49" i="9"/>
  <c r="X48" i="9"/>
  <c r="T48" i="9"/>
  <c r="P48" i="9"/>
  <c r="L48" i="9"/>
  <c r="H48" i="9"/>
  <c r="D48" i="9"/>
  <c r="Z45" i="9"/>
  <c r="V45" i="9"/>
  <c r="R45" i="9"/>
  <c r="N45" i="9"/>
  <c r="J45" i="9"/>
  <c r="F45" i="9"/>
  <c r="Z43" i="9"/>
  <c r="V43" i="9"/>
  <c r="R43" i="9"/>
  <c r="N43" i="9"/>
  <c r="J43" i="9"/>
  <c r="F43" i="9"/>
  <c r="X42" i="9"/>
  <c r="T42" i="9"/>
  <c r="P42" i="9"/>
  <c r="L42" i="9"/>
  <c r="H42" i="9"/>
  <c r="D42" i="9"/>
  <c r="Z41" i="9"/>
  <c r="V41" i="9"/>
  <c r="R41" i="9"/>
  <c r="N41" i="9"/>
  <c r="J41" i="9"/>
  <c r="F41" i="9"/>
  <c r="X40" i="9"/>
  <c r="T40" i="9"/>
  <c r="P40" i="9"/>
  <c r="L40" i="9"/>
  <c r="H40" i="9"/>
  <c r="D40" i="9"/>
  <c r="X37" i="9"/>
  <c r="T37" i="9"/>
  <c r="P37" i="9"/>
  <c r="L37" i="9"/>
  <c r="H37" i="9"/>
  <c r="D37" i="9"/>
  <c r="Z34" i="9"/>
  <c r="V34" i="9"/>
  <c r="R34" i="9"/>
  <c r="N34" i="9"/>
  <c r="J34" i="9"/>
  <c r="F34" i="9"/>
  <c r="X33" i="9"/>
  <c r="T33" i="9"/>
  <c r="P33" i="9"/>
  <c r="L33" i="9"/>
  <c r="H33" i="9"/>
  <c r="D33" i="9"/>
  <c r="Z32" i="9"/>
  <c r="V32" i="9"/>
  <c r="R32" i="9"/>
  <c r="N32" i="9"/>
  <c r="J32" i="9"/>
  <c r="F32" i="9"/>
  <c r="AA122" i="9"/>
  <c r="AI29" i="9"/>
  <c r="AE29" i="9"/>
  <c r="AA29" i="9"/>
  <c r="W29" i="9"/>
  <c r="S29" i="9"/>
  <c r="O29" i="9"/>
  <c r="K29" i="9"/>
  <c r="G29" i="9"/>
  <c r="AK26" i="9"/>
  <c r="AG26" i="9"/>
  <c r="AC26" i="9"/>
  <c r="Y26" i="9"/>
  <c r="U26" i="9"/>
  <c r="Q26" i="9"/>
  <c r="M26" i="9"/>
  <c r="I26" i="9"/>
  <c r="E26" i="9"/>
  <c r="AI25" i="9"/>
  <c r="AE25" i="9"/>
  <c r="AA25" i="9"/>
  <c r="W25" i="9"/>
  <c r="S25" i="9"/>
  <c r="O25" i="9"/>
  <c r="K25" i="9"/>
  <c r="G25" i="9"/>
  <c r="AK24" i="9"/>
  <c r="AG24" i="9"/>
  <c r="AC24" i="9"/>
  <c r="Y24" i="9"/>
  <c r="U24" i="9"/>
  <c r="Q24" i="9"/>
  <c r="M24" i="9"/>
  <c r="I24" i="9"/>
  <c r="E24" i="9"/>
  <c r="AK20" i="9"/>
  <c r="AG20" i="9"/>
  <c r="AC20" i="9"/>
  <c r="Y20" i="9"/>
  <c r="U20" i="9"/>
  <c r="Q20" i="9"/>
  <c r="M20" i="9"/>
  <c r="I20" i="9"/>
  <c r="E20" i="9"/>
  <c r="AK15" i="9"/>
  <c r="AG15" i="9"/>
  <c r="AC15" i="9"/>
  <c r="Y15" i="9"/>
  <c r="U15" i="9"/>
  <c r="Q15" i="9"/>
  <c r="M15" i="9"/>
  <c r="I15" i="9"/>
  <c r="E15" i="9"/>
  <c r="AK7" i="9"/>
  <c r="AG7" i="9"/>
  <c r="AC7" i="9"/>
  <c r="Y7" i="9"/>
  <c r="U7" i="9"/>
  <c r="Q7" i="9"/>
  <c r="M7" i="9"/>
  <c r="I7" i="9"/>
  <c r="E7" i="9"/>
  <c r="AI6" i="9"/>
  <c r="AE6" i="9"/>
  <c r="AA6" i="9"/>
  <c r="W6" i="9"/>
  <c r="S6" i="9"/>
  <c r="O6" i="9"/>
  <c r="K6" i="9"/>
  <c r="G6" i="9"/>
  <c r="AK5" i="9"/>
  <c r="AG5" i="9"/>
  <c r="AC5" i="9"/>
  <c r="Y5" i="9"/>
  <c r="U5" i="9"/>
  <c r="Q5" i="9"/>
  <c r="M5" i="9"/>
  <c r="I5" i="9"/>
  <c r="E5" i="9"/>
  <c r="AI105" i="9"/>
  <c r="CV149" i="11"/>
  <c r="AE105" i="9"/>
  <c r="CJ149" i="11"/>
  <c r="AA105" i="9"/>
  <c r="BX149" i="11"/>
  <c r="W105" i="9"/>
  <c r="W31" i="9"/>
  <c r="S105" i="9"/>
  <c r="AZ149" i="11"/>
  <c r="O105" i="9"/>
  <c r="AN149" i="11"/>
  <c r="K105" i="9"/>
  <c r="AB149" i="11"/>
  <c r="G105" i="9"/>
  <c r="AA101" i="9"/>
  <c r="W101" i="9"/>
  <c r="S101" i="9"/>
  <c r="O101" i="9"/>
  <c r="K101" i="9"/>
  <c r="G101" i="9"/>
  <c r="Y96" i="9"/>
  <c r="U96" i="9"/>
  <c r="Q96" i="9"/>
  <c r="M96" i="9"/>
  <c r="I96" i="9"/>
  <c r="E96" i="9"/>
  <c r="Y94" i="9"/>
  <c r="U94" i="9"/>
  <c r="Q94" i="9"/>
  <c r="M94" i="9"/>
  <c r="I94" i="9"/>
  <c r="E94" i="9"/>
  <c r="AA93" i="9"/>
  <c r="W93" i="9"/>
  <c r="S93" i="9"/>
  <c r="O93" i="9"/>
  <c r="K93" i="9"/>
  <c r="G93" i="9"/>
  <c r="Y92" i="9"/>
  <c r="U92" i="9"/>
  <c r="Q92" i="9"/>
  <c r="M92" i="9"/>
  <c r="I92" i="9"/>
  <c r="E92" i="9"/>
  <c r="AA83" i="9"/>
  <c r="W83" i="9"/>
  <c r="S83" i="9"/>
  <c r="O83" i="9"/>
  <c r="K83" i="9"/>
  <c r="G83" i="9"/>
  <c r="Y82" i="9"/>
  <c r="U82" i="9"/>
  <c r="Q82" i="9"/>
  <c r="M82" i="9"/>
  <c r="I82" i="9"/>
  <c r="E82" i="9"/>
  <c r="AA81" i="9"/>
  <c r="W81" i="9"/>
  <c r="S81" i="9"/>
  <c r="O81" i="9"/>
  <c r="K81" i="9"/>
  <c r="G81" i="9"/>
  <c r="Y80" i="9"/>
  <c r="U80" i="9"/>
  <c r="Q80" i="9"/>
  <c r="M80" i="9"/>
  <c r="I80" i="9"/>
  <c r="E80" i="9"/>
  <c r="AA79" i="9"/>
  <c r="W79" i="9"/>
  <c r="S79" i="9"/>
  <c r="O79" i="9"/>
  <c r="K79" i="9"/>
  <c r="G79" i="9"/>
  <c r="Y78" i="9"/>
  <c r="U78" i="9"/>
  <c r="Q78" i="9"/>
  <c r="M78" i="9"/>
  <c r="I78" i="9"/>
  <c r="E78" i="9"/>
  <c r="Y75" i="9"/>
  <c r="U75" i="9"/>
  <c r="Q75" i="9"/>
  <c r="M75" i="9"/>
  <c r="I75" i="9"/>
  <c r="E75" i="9"/>
  <c r="AA74" i="9"/>
  <c r="W74" i="9"/>
  <c r="S74" i="9"/>
  <c r="O74" i="9"/>
  <c r="K74" i="9"/>
  <c r="G74" i="9"/>
  <c r="AA71" i="9"/>
  <c r="W71" i="9"/>
  <c r="S71" i="9"/>
  <c r="O71" i="9"/>
  <c r="K71" i="9"/>
  <c r="G71" i="9"/>
  <c r="Y67" i="9"/>
  <c r="U67" i="9"/>
  <c r="Q67" i="9"/>
  <c r="M67" i="9"/>
  <c r="I67" i="9"/>
  <c r="E67" i="9"/>
  <c r="Y66" i="9"/>
  <c r="U66" i="9"/>
  <c r="Q66" i="9"/>
  <c r="M66" i="9"/>
  <c r="I66" i="9"/>
  <c r="E66" i="9"/>
  <c r="AA65" i="9"/>
  <c r="W65" i="9"/>
  <c r="S65" i="9"/>
  <c r="O65" i="9"/>
  <c r="K65" i="9"/>
  <c r="G65" i="9"/>
  <c r="Y64" i="9"/>
  <c r="U64" i="9"/>
  <c r="Q64" i="9"/>
  <c r="M64" i="9"/>
  <c r="I64" i="9"/>
  <c r="E64" i="9"/>
  <c r="AA61" i="9"/>
  <c r="W61" i="9"/>
  <c r="S61" i="9"/>
  <c r="O61" i="9"/>
  <c r="K61" i="9"/>
  <c r="G61" i="9"/>
  <c r="Y60" i="9"/>
  <c r="U60" i="9"/>
  <c r="Q60" i="9"/>
  <c r="M60" i="9"/>
  <c r="I60" i="9"/>
  <c r="E60" i="9"/>
  <c r="AA59" i="9"/>
  <c r="W59" i="9"/>
  <c r="S59" i="9"/>
  <c r="O59" i="9"/>
  <c r="K59" i="9"/>
  <c r="G59" i="9"/>
  <c r="Y51" i="9"/>
  <c r="U51" i="9"/>
  <c r="Q51" i="9"/>
  <c r="M51" i="9"/>
  <c r="I51" i="9"/>
  <c r="E51" i="9"/>
  <c r="AA50" i="9"/>
  <c r="W50" i="9"/>
  <c r="S50" i="9"/>
  <c r="O50" i="9"/>
  <c r="K50" i="9"/>
  <c r="G50" i="9"/>
  <c r="Y49" i="9"/>
  <c r="U49" i="9"/>
  <c r="Q49" i="9"/>
  <c r="M49" i="9"/>
  <c r="I49" i="9"/>
  <c r="E49" i="9"/>
  <c r="AA48" i="9"/>
  <c r="W48" i="9"/>
  <c r="S48" i="9"/>
  <c r="O48" i="9"/>
  <c r="K48" i="9"/>
  <c r="G48" i="9"/>
  <c r="Y45" i="9"/>
  <c r="U45" i="9"/>
  <c r="Q45" i="9"/>
  <c r="M45" i="9"/>
  <c r="I45" i="9"/>
  <c r="E45" i="9"/>
  <c r="Y43" i="9"/>
  <c r="U43" i="9"/>
  <c r="Q43" i="9"/>
  <c r="M43" i="9"/>
  <c r="I43" i="9"/>
  <c r="E43" i="9"/>
  <c r="AA42" i="9"/>
  <c r="W42" i="9"/>
  <c r="S42" i="9"/>
  <c r="O42" i="9"/>
  <c r="K42" i="9"/>
  <c r="G42" i="9"/>
  <c r="Y41" i="9"/>
  <c r="U41" i="9"/>
  <c r="Q41" i="9"/>
  <c r="M41" i="9"/>
  <c r="I41" i="9"/>
  <c r="E41" i="9"/>
  <c r="AA40" i="9"/>
  <c r="W40" i="9"/>
  <c r="S40" i="9"/>
  <c r="O40" i="9"/>
  <c r="K40" i="9"/>
  <c r="G40" i="9"/>
  <c r="AA37" i="9"/>
  <c r="W37" i="9"/>
  <c r="S37" i="9"/>
  <c r="O37" i="9"/>
  <c r="K37" i="9"/>
  <c r="G37" i="9"/>
  <c r="Y34" i="9"/>
  <c r="U34" i="9"/>
  <c r="Q34" i="9"/>
  <c r="M34" i="9"/>
  <c r="I34" i="9"/>
  <c r="E34" i="9"/>
  <c r="AA33" i="9"/>
  <c r="W33" i="9"/>
  <c r="S33" i="9"/>
  <c r="O33" i="9"/>
  <c r="K33" i="9"/>
  <c r="G33" i="9"/>
  <c r="Y32" i="9"/>
  <c r="U32" i="9"/>
  <c r="Q32" i="9"/>
  <c r="M32" i="9"/>
  <c r="I32" i="9"/>
  <c r="E32" i="9"/>
  <c r="AI122" i="9"/>
  <c r="K122" i="9"/>
  <c r="T82" i="9"/>
  <c r="P82" i="9"/>
  <c r="L82" i="9"/>
  <c r="H82" i="9"/>
  <c r="D82" i="9"/>
  <c r="Z81" i="9"/>
  <c r="V81" i="9"/>
  <c r="R81" i="9"/>
  <c r="N81" i="9"/>
  <c r="J81" i="9"/>
  <c r="F81" i="9"/>
  <c r="X80" i="9"/>
  <c r="T80" i="9"/>
  <c r="P80" i="9"/>
  <c r="L80" i="9"/>
  <c r="H80" i="9"/>
  <c r="D80" i="9"/>
  <c r="Z79" i="9"/>
  <c r="V79" i="9"/>
  <c r="R79" i="9"/>
  <c r="N79" i="9"/>
  <c r="J79" i="9"/>
  <c r="F79" i="9"/>
  <c r="X75" i="9"/>
  <c r="T75" i="9"/>
  <c r="P75" i="9"/>
  <c r="L75" i="9"/>
  <c r="H75" i="9"/>
  <c r="D75" i="9"/>
  <c r="Z74" i="9"/>
  <c r="V74" i="9"/>
  <c r="R74" i="9"/>
  <c r="N74" i="9"/>
  <c r="J74" i="9"/>
  <c r="F74" i="9"/>
  <c r="X73" i="9"/>
  <c r="T73" i="9"/>
  <c r="P73" i="9"/>
  <c r="L73" i="9"/>
  <c r="H73" i="9"/>
  <c r="D73" i="9"/>
  <c r="Z71" i="9"/>
  <c r="V71" i="9"/>
  <c r="R71" i="9"/>
  <c r="N71" i="9"/>
  <c r="J71" i="9"/>
  <c r="F71" i="9"/>
  <c r="X67" i="9"/>
  <c r="T67" i="9"/>
  <c r="P67" i="9"/>
  <c r="L67" i="9"/>
  <c r="H67" i="9"/>
  <c r="AF122" i="9"/>
  <c r="H122" i="9"/>
  <c r="D67" i="9"/>
  <c r="X66" i="9"/>
  <c r="T66" i="9"/>
  <c r="P66" i="9"/>
  <c r="L66" i="9"/>
  <c r="H66" i="9"/>
  <c r="D66" i="9"/>
  <c r="Z65" i="9"/>
  <c r="V65" i="9"/>
  <c r="R65" i="9"/>
  <c r="N65" i="9"/>
  <c r="J65" i="9"/>
  <c r="F65" i="9"/>
  <c r="X64" i="9"/>
  <c r="T64" i="9"/>
  <c r="P64" i="9"/>
  <c r="L64" i="9"/>
  <c r="H64" i="9"/>
  <c r="D64" i="9"/>
  <c r="Z61" i="9"/>
  <c r="V61" i="9"/>
  <c r="R61" i="9"/>
  <c r="N61" i="9"/>
  <c r="J61" i="9"/>
  <c r="F61" i="9"/>
  <c r="X60" i="9"/>
  <c r="T60" i="9"/>
  <c r="P60" i="9"/>
  <c r="L60" i="9"/>
  <c r="H60" i="9"/>
  <c r="D60" i="9"/>
  <c r="Z59" i="9"/>
  <c r="V59" i="9"/>
  <c r="R59" i="9"/>
  <c r="N59" i="9"/>
  <c r="J59" i="9"/>
  <c r="F59" i="9"/>
  <c r="X51" i="9"/>
  <c r="T51" i="9"/>
  <c r="P51" i="9"/>
  <c r="L51" i="9"/>
  <c r="H51" i="9"/>
  <c r="D51" i="9"/>
  <c r="Z50" i="9"/>
  <c r="V50" i="9"/>
  <c r="R50" i="9"/>
  <c r="N50" i="9"/>
  <c r="J50" i="9"/>
  <c r="F50" i="9"/>
  <c r="X49" i="9"/>
  <c r="T49" i="9"/>
  <c r="P49" i="9"/>
  <c r="L49" i="9"/>
  <c r="H49" i="9"/>
  <c r="D49" i="9"/>
  <c r="Z48" i="9"/>
  <c r="V48" i="9"/>
  <c r="R48" i="9"/>
  <c r="N48" i="9"/>
  <c r="J48" i="9"/>
  <c r="F48" i="9"/>
  <c r="X45" i="9"/>
  <c r="T45" i="9"/>
  <c r="P45" i="9"/>
  <c r="L45" i="9"/>
  <c r="H45" i="9"/>
  <c r="D45" i="9"/>
  <c r="X43" i="9"/>
  <c r="T43" i="9"/>
  <c r="P43" i="9"/>
  <c r="L43" i="9"/>
  <c r="H43" i="9"/>
  <c r="D43" i="9"/>
  <c r="Z42" i="9"/>
  <c r="V42" i="9"/>
  <c r="R42" i="9"/>
  <c r="N42" i="9"/>
  <c r="J42" i="9"/>
  <c r="F42" i="9"/>
  <c r="X41" i="9"/>
  <c r="T41" i="9"/>
  <c r="P41" i="9"/>
  <c r="L41" i="9"/>
  <c r="H41" i="9"/>
  <c r="D41" i="9"/>
  <c r="Z40" i="9"/>
  <c r="V40" i="9"/>
  <c r="R40" i="9"/>
  <c r="N40" i="9"/>
  <c r="J40" i="9"/>
  <c r="F40" i="9"/>
  <c r="Z37" i="9"/>
  <c r="V37" i="9"/>
  <c r="R37" i="9"/>
  <c r="N37" i="9"/>
  <c r="J37" i="9"/>
  <c r="F37" i="9"/>
  <c r="X34" i="9"/>
  <c r="T34" i="9"/>
  <c r="P34" i="9"/>
  <c r="L34" i="9"/>
  <c r="H34" i="9"/>
  <c r="D34" i="9"/>
  <c r="Z33" i="9"/>
  <c r="V33" i="9"/>
  <c r="R33" i="9"/>
  <c r="N33" i="9"/>
  <c r="J33" i="9"/>
  <c r="F33" i="9"/>
  <c r="X32" i="9"/>
  <c r="T32" i="9"/>
  <c r="P32" i="9"/>
  <c r="L32" i="9"/>
  <c r="H32" i="9"/>
  <c r="D32" i="9"/>
  <c r="X122" i="9"/>
  <c r="S122" i="9"/>
  <c r="AA43" i="9"/>
  <c r="W43" i="9"/>
  <c r="S43" i="9"/>
  <c r="O43" i="9"/>
  <c r="K43" i="9"/>
  <c r="G43" i="9"/>
  <c r="Y42" i="9"/>
  <c r="U42" i="9"/>
  <c r="Q42" i="9"/>
  <c r="M42" i="9"/>
  <c r="I42" i="9"/>
  <c r="E42" i="9"/>
  <c r="AA41" i="9"/>
  <c r="W41" i="9"/>
  <c r="S41" i="9"/>
  <c r="O41" i="9"/>
  <c r="K41" i="9"/>
  <c r="G41" i="9"/>
  <c r="Y40" i="9"/>
  <c r="U40" i="9"/>
  <c r="Q40" i="9"/>
  <c r="M40" i="9"/>
  <c r="I40" i="9"/>
  <c r="E40" i="9"/>
  <c r="Y37" i="9"/>
  <c r="U37" i="9"/>
  <c r="Q37" i="9"/>
  <c r="M37" i="9"/>
  <c r="I37" i="9"/>
  <c r="E37" i="9"/>
  <c r="AA34" i="9"/>
  <c r="W34" i="9"/>
  <c r="S34" i="9"/>
  <c r="O34" i="9"/>
  <c r="K34" i="9"/>
  <c r="G34" i="9"/>
  <c r="Y33" i="9"/>
  <c r="U33" i="9"/>
  <c r="Q33" i="9"/>
  <c r="M33" i="9"/>
  <c r="I33" i="9"/>
  <c r="E33" i="9"/>
  <c r="AA32" i="9"/>
  <c r="W32" i="9"/>
  <c r="S32" i="9"/>
  <c r="O32" i="9"/>
  <c r="K32" i="9"/>
  <c r="G32" i="9"/>
  <c r="AD122" i="9"/>
  <c r="V122" i="9"/>
  <c r="N122" i="9"/>
  <c r="F122" i="9"/>
  <c r="AG122" i="9"/>
  <c r="Y122" i="9"/>
  <c r="Q122" i="9"/>
  <c r="I122" i="9"/>
  <c r="AI63" i="9"/>
  <c r="AE63" i="9"/>
  <c r="AA63" i="9"/>
  <c r="W63" i="9"/>
  <c r="S63" i="9"/>
  <c r="O63" i="9"/>
  <c r="K63" i="9"/>
  <c r="G63" i="9"/>
  <c r="AI98" i="2"/>
  <c r="AE98" i="2"/>
  <c r="AA98" i="2"/>
  <c r="W98" i="2"/>
  <c r="X78" i="9"/>
  <c r="S98" i="2"/>
  <c r="T78" i="9"/>
  <c r="O98" i="2"/>
  <c r="P78" i="9"/>
  <c r="K98" i="2"/>
  <c r="L78" i="9"/>
  <c r="G98" i="2"/>
  <c r="H78" i="9"/>
  <c r="C98" i="2"/>
  <c r="D78" i="9"/>
  <c r="V98" i="2"/>
  <c r="F98" i="2"/>
  <c r="AJ63" i="9"/>
  <c r="AF63" i="9"/>
  <c r="AB63" i="9"/>
  <c r="X63" i="9"/>
  <c r="T63" i="9"/>
  <c r="P63" i="9"/>
  <c r="L63" i="9"/>
  <c r="H63" i="9"/>
  <c r="D63" i="9"/>
  <c r="Z31" i="9"/>
  <c r="Z107" i="9"/>
  <c r="V31" i="9"/>
  <c r="N31" i="9"/>
  <c r="N107" i="9"/>
  <c r="F31" i="9"/>
  <c r="AD16" i="9"/>
  <c r="AD18" i="9"/>
  <c r="N16" i="9"/>
  <c r="N18" i="9"/>
  <c r="AG18" i="9"/>
  <c r="AG16" i="9"/>
  <c r="Y18" i="9"/>
  <c r="Y16" i="9"/>
  <c r="Q18" i="9"/>
  <c r="Q16" i="9"/>
  <c r="I18" i="9"/>
  <c r="I16" i="9"/>
  <c r="E18" i="9"/>
  <c r="E16" i="9"/>
  <c r="Y31" i="9"/>
  <c r="Y107" i="9"/>
  <c r="Q31" i="9"/>
  <c r="Q107" i="9"/>
  <c r="I31" i="9"/>
  <c r="I107" i="9"/>
  <c r="AH98" i="2"/>
  <c r="R98" i="2"/>
  <c r="AH16" i="9"/>
  <c r="AH18" i="9"/>
  <c r="V16" i="9"/>
  <c r="V18" i="9"/>
  <c r="J16" i="9"/>
  <c r="J18" i="9"/>
  <c r="AK18" i="9"/>
  <c r="AK16" i="9"/>
  <c r="AC18" i="9"/>
  <c r="AC16" i="9"/>
  <c r="U18" i="9"/>
  <c r="U16" i="9"/>
  <c r="M18" i="9"/>
  <c r="M16" i="9"/>
  <c r="AJ18" i="9"/>
  <c r="AJ16" i="9"/>
  <c r="AF18" i="9"/>
  <c r="AF16" i="9"/>
  <c r="AB18" i="9"/>
  <c r="AB16" i="9"/>
  <c r="X18" i="9"/>
  <c r="X16" i="9"/>
  <c r="T18" i="9"/>
  <c r="T16" i="9"/>
  <c r="P18" i="9"/>
  <c r="P16" i="9"/>
  <c r="L18" i="9"/>
  <c r="L16" i="9"/>
  <c r="H18" i="9"/>
  <c r="H16" i="9"/>
  <c r="D18" i="9"/>
  <c r="D16" i="9"/>
  <c r="T31" i="9"/>
  <c r="T107" i="9"/>
  <c r="L31" i="9"/>
  <c r="L107" i="9"/>
  <c r="D31" i="9"/>
  <c r="D107" i="9"/>
  <c r="AG98" i="2"/>
  <c r="AC98" i="2"/>
  <c r="Y98" i="2"/>
  <c r="Z73" i="9"/>
  <c r="U98" i="2"/>
  <c r="V73" i="9"/>
  <c r="Q98" i="2"/>
  <c r="R73" i="9"/>
  <c r="M98" i="2"/>
  <c r="N73" i="9"/>
  <c r="I98" i="2"/>
  <c r="J73" i="9"/>
  <c r="E98" i="2"/>
  <c r="F73" i="9"/>
  <c r="AD98" i="2"/>
  <c r="N98" i="2"/>
  <c r="AH63" i="9"/>
  <c r="AD63" i="9"/>
  <c r="Z63" i="9"/>
  <c r="V63" i="9"/>
  <c r="R63" i="9"/>
  <c r="N63" i="9"/>
  <c r="J63" i="9"/>
  <c r="F63" i="9"/>
  <c r="P31" i="9"/>
  <c r="Z16" i="9"/>
  <c r="Z18" i="9"/>
  <c r="R16" i="9"/>
  <c r="R18" i="9"/>
  <c r="F16" i="9"/>
  <c r="F18" i="9"/>
  <c r="AI16" i="9"/>
  <c r="AI18" i="9"/>
  <c r="AE16" i="9"/>
  <c r="AE18" i="9"/>
  <c r="AA16" i="9"/>
  <c r="AA18" i="9"/>
  <c r="W16" i="9"/>
  <c r="W18" i="9"/>
  <c r="S16" i="9"/>
  <c r="S18" i="9"/>
  <c r="O16" i="9"/>
  <c r="O18" i="9"/>
  <c r="K16" i="9"/>
  <c r="K18" i="9"/>
  <c r="G16" i="9"/>
  <c r="G18" i="9"/>
  <c r="AA31" i="9"/>
  <c r="S31" i="9"/>
  <c r="O31" i="9"/>
  <c r="O107" i="9"/>
  <c r="K31" i="9"/>
  <c r="AJ98" i="2"/>
  <c r="AF98" i="2"/>
  <c r="AB98" i="2"/>
  <c r="X98" i="2"/>
  <c r="Y73" i="9"/>
  <c r="T98" i="2"/>
  <c r="U73" i="9"/>
  <c r="P98" i="2"/>
  <c r="Q73" i="9"/>
  <c r="L98" i="2"/>
  <c r="M73" i="9"/>
  <c r="H98" i="2"/>
  <c r="I73" i="9"/>
  <c r="D98" i="2"/>
  <c r="E73" i="9"/>
  <c r="Z98" i="2"/>
  <c r="J98" i="2"/>
  <c r="AK63" i="9"/>
  <c r="AG63" i="9"/>
  <c r="AC63" i="9"/>
  <c r="Y63" i="9"/>
  <c r="U63" i="9"/>
  <c r="Q63" i="9"/>
  <c r="M63" i="9"/>
  <c r="I63" i="9"/>
  <c r="E63" i="9"/>
  <c r="D123" i="9"/>
  <c r="D70" i="9"/>
  <c r="AI123" i="9"/>
  <c r="AI70" i="9"/>
  <c r="K123" i="9"/>
  <c r="K70" i="9"/>
  <c r="AH123" i="9"/>
  <c r="AH70" i="9"/>
  <c r="R123" i="9"/>
  <c r="R70" i="9"/>
  <c r="AC123" i="9"/>
  <c r="AC70" i="9"/>
  <c r="U123" i="9"/>
  <c r="U70" i="9"/>
  <c r="E123" i="9"/>
  <c r="E70" i="9"/>
  <c r="AJ123" i="9"/>
  <c r="AJ70" i="9"/>
  <c r="AB123" i="9"/>
  <c r="AB70" i="9"/>
  <c r="T123" i="9"/>
  <c r="T70" i="9"/>
  <c r="AE123" i="9"/>
  <c r="AE70" i="9"/>
  <c r="O123" i="9"/>
  <c r="O70" i="9"/>
  <c r="V123" i="9"/>
  <c r="V70" i="9"/>
  <c r="F123" i="9"/>
  <c r="F70" i="9"/>
  <c r="AG123" i="9"/>
  <c r="AG70" i="9"/>
  <c r="Q123" i="9"/>
  <c r="Q70" i="9"/>
  <c r="AF123" i="9"/>
  <c r="AF70" i="9"/>
  <c r="X123" i="9"/>
  <c r="X70" i="9"/>
  <c r="H123" i="9"/>
  <c r="H70" i="9"/>
  <c r="C122" i="9"/>
  <c r="G72" i="3"/>
  <c r="AA67" i="3"/>
  <c r="AB79" i="9"/>
  <c r="AB67" i="3"/>
  <c r="AC79" i="9"/>
  <c r="AC67" i="3"/>
  <c r="AD79" i="9"/>
  <c r="AD67" i="3"/>
  <c r="AE79" i="9"/>
  <c r="AE67" i="3"/>
  <c r="AF79" i="9"/>
  <c r="AF67" i="3"/>
  <c r="AG79" i="9"/>
  <c r="AG67" i="3"/>
  <c r="AH79" i="9"/>
  <c r="AH67" i="3"/>
  <c r="AI79" i="9"/>
  <c r="AI67" i="3"/>
  <c r="AJ79" i="9"/>
  <c r="AJ67" i="3"/>
  <c r="AK79" i="9"/>
  <c r="B67" i="3"/>
  <c r="B121" i="2"/>
  <c r="G31" i="9"/>
  <c r="G107" i="9"/>
  <c r="P149" i="11"/>
  <c r="E31" i="9"/>
  <c r="J149" i="11"/>
  <c r="U31" i="9"/>
  <c r="BF149" i="11"/>
  <c r="M31" i="9"/>
  <c r="M107" i="9"/>
  <c r="AH149" i="11"/>
  <c r="AA107" i="9"/>
  <c r="J31" i="9"/>
  <c r="J107" i="9"/>
  <c r="K107" i="9"/>
  <c r="H31" i="9"/>
  <c r="H107" i="9"/>
  <c r="E107" i="9"/>
  <c r="U107" i="9"/>
  <c r="S107" i="9"/>
  <c r="P107" i="9"/>
  <c r="X31" i="9"/>
  <c r="X107" i="9"/>
  <c r="R31" i="9"/>
  <c r="R107" i="9"/>
  <c r="F107" i="9"/>
  <c r="V107" i="9"/>
  <c r="W107" i="9"/>
  <c r="K115" i="9"/>
  <c r="K72" i="9"/>
  <c r="F115" i="9"/>
  <c r="F72" i="9"/>
  <c r="N115" i="9"/>
  <c r="N72" i="9"/>
  <c r="V115" i="9"/>
  <c r="V72" i="9"/>
  <c r="S115" i="9"/>
  <c r="S72" i="9"/>
  <c r="W115" i="9"/>
  <c r="W72" i="9"/>
  <c r="H115" i="9"/>
  <c r="H72" i="9"/>
  <c r="P72" i="9"/>
  <c r="P115" i="9"/>
  <c r="X115" i="9"/>
  <c r="X72" i="9"/>
  <c r="AA115" i="9"/>
  <c r="AA72" i="9"/>
  <c r="I115" i="9"/>
  <c r="I72" i="9"/>
  <c r="Q115" i="9"/>
  <c r="Q72" i="9"/>
  <c r="Y115" i="9"/>
  <c r="Y72" i="9"/>
  <c r="O115" i="9"/>
  <c r="O72" i="9"/>
  <c r="J115" i="9"/>
  <c r="J72" i="9"/>
  <c r="R115" i="9"/>
  <c r="R72" i="9"/>
  <c r="Z115" i="9"/>
  <c r="Z72" i="9"/>
  <c r="D115" i="9"/>
  <c r="D72" i="9"/>
  <c r="L115" i="9"/>
  <c r="L72" i="9"/>
  <c r="T115" i="9"/>
  <c r="T72" i="9"/>
  <c r="E115" i="9"/>
  <c r="E72" i="9"/>
  <c r="M115" i="9"/>
  <c r="M72" i="9"/>
  <c r="U115" i="9"/>
  <c r="U72" i="9"/>
  <c r="G115" i="9"/>
  <c r="G72" i="9"/>
  <c r="C123" i="9"/>
  <c r="C70" i="9"/>
  <c r="AA77" i="3"/>
  <c r="AB94" i="9"/>
  <c r="AB77" i="3"/>
  <c r="AC94" i="9"/>
  <c r="AC77" i="3"/>
  <c r="AD94" i="9"/>
  <c r="AD77" i="3"/>
  <c r="AE77" i="3"/>
  <c r="AF94" i="9"/>
  <c r="AF77" i="3"/>
  <c r="AG94" i="9"/>
  <c r="AG77" i="3"/>
  <c r="AH94" i="9"/>
  <c r="AH77" i="3"/>
  <c r="AI77" i="3"/>
  <c r="AJ94" i="9"/>
  <c r="AJ77" i="3"/>
  <c r="AK94" i="9"/>
  <c r="B77" i="3"/>
  <c r="C94" i="9"/>
  <c r="B76" i="3"/>
  <c r="C89" i="1"/>
  <c r="D89" i="1"/>
  <c r="E89" i="1"/>
  <c r="F89" i="1"/>
  <c r="G89" i="1"/>
  <c r="H89" i="1"/>
  <c r="I89" i="1"/>
  <c r="J89" i="1"/>
  <c r="K89" i="1"/>
  <c r="L89" i="1"/>
  <c r="M89" i="1"/>
  <c r="N89" i="1"/>
  <c r="O89" i="1"/>
  <c r="P89" i="1"/>
  <c r="Q89" i="1"/>
  <c r="R89" i="1"/>
  <c r="S89" i="1"/>
  <c r="T89" i="1"/>
  <c r="U89" i="1"/>
  <c r="V89" i="1"/>
  <c r="W89" i="1"/>
  <c r="X89" i="1"/>
  <c r="Y89" i="1"/>
  <c r="Z89" i="1"/>
  <c r="AA89" i="1"/>
  <c r="AB89" i="1"/>
  <c r="AC89" i="1"/>
  <c r="AF89" i="1"/>
  <c r="AG89" i="1"/>
  <c r="AJ89" i="1"/>
  <c r="AI89" i="1"/>
  <c r="AE89" i="1"/>
  <c r="AH89" i="1"/>
  <c r="AI94" i="9"/>
  <c r="AD89" i="1"/>
  <c r="AE94" i="9"/>
  <c r="B89" i="1"/>
  <c r="B94" i="2"/>
  <c r="B96" i="2"/>
  <c r="C69" i="9"/>
  <c r="B113" i="2"/>
  <c r="C88" i="9"/>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B122" i="2"/>
  <c r="B120" i="2"/>
  <c r="C93" i="9"/>
  <c r="B90" i="1"/>
  <c r="C95" i="9"/>
  <c r="B104" i="2"/>
  <c r="C79" i="9"/>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B49" i="1"/>
  <c r="C186" i="2"/>
  <c r="D186"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C187" i="2"/>
  <c r="D187"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C188" i="2"/>
  <c r="D188"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B188" i="2"/>
  <c r="B187" i="2"/>
  <c r="B186" i="2"/>
  <c r="C145" i="3"/>
  <c r="D145" i="3"/>
  <c r="E145" i="3"/>
  <c r="F145" i="3"/>
  <c r="G145" i="3"/>
  <c r="H145" i="3"/>
  <c r="I145" i="3"/>
  <c r="J145" i="3"/>
  <c r="K145" i="3"/>
  <c r="L145" i="3"/>
  <c r="M145" i="3"/>
  <c r="N145" i="3"/>
  <c r="O145" i="3"/>
  <c r="P145" i="3"/>
  <c r="Q145" i="3"/>
  <c r="R145" i="3"/>
  <c r="S145" i="3"/>
  <c r="T145" i="3"/>
  <c r="U145" i="3"/>
  <c r="V145" i="3"/>
  <c r="W145" i="3"/>
  <c r="X145" i="3"/>
  <c r="Y145" i="3"/>
  <c r="Z145" i="3"/>
  <c r="AA145" i="3"/>
  <c r="AB145" i="3"/>
  <c r="AC145" i="3"/>
  <c r="AD145" i="3"/>
  <c r="AE145" i="3"/>
  <c r="AF145" i="3"/>
  <c r="AG145" i="3"/>
  <c r="AH145" i="3"/>
  <c r="AI145" i="3"/>
  <c r="AJ145" i="3"/>
  <c r="B145" i="3"/>
  <c r="B136" i="3"/>
  <c r="C136" i="3"/>
  <c r="D136" i="3"/>
  <c r="E136" i="3"/>
  <c r="F136" i="3"/>
  <c r="G136" i="3"/>
  <c r="H136" i="3"/>
  <c r="I136" i="3"/>
  <c r="J136" i="3"/>
  <c r="K136" i="3"/>
  <c r="L136" i="3"/>
  <c r="M136" i="3"/>
  <c r="N136" i="3"/>
  <c r="O136" i="3"/>
  <c r="P136" i="3"/>
  <c r="Q136" i="3"/>
  <c r="R136" i="3"/>
  <c r="S136" i="3"/>
  <c r="T136" i="3"/>
  <c r="U136" i="3"/>
  <c r="V136" i="3"/>
  <c r="W136" i="3"/>
  <c r="X136" i="3"/>
  <c r="Y136" i="3"/>
  <c r="Z136" i="3"/>
  <c r="AA136" i="3"/>
  <c r="AB136" i="3"/>
  <c r="AC136" i="3"/>
  <c r="AD136" i="3"/>
  <c r="AE136" i="3"/>
  <c r="AF136" i="3"/>
  <c r="AG136" i="3"/>
  <c r="AH136" i="3"/>
  <c r="AI136" i="3"/>
  <c r="AJ136" i="3"/>
  <c r="C143" i="2"/>
  <c r="D143"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B143" i="2"/>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B115" i="2"/>
  <c r="C90" i="9"/>
  <c r="B118" i="2"/>
  <c r="B117" i="2"/>
  <c r="B116" i="2"/>
  <c r="B86" i="1"/>
  <c r="C91" i="9"/>
  <c r="B97" i="2"/>
  <c r="B60" i="3"/>
  <c r="C71" i="9"/>
  <c r="B66"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A25" i="3"/>
  <c r="AB31" i="9"/>
  <c r="AB107" i="9"/>
  <c r="AB25" i="3"/>
  <c r="AC31" i="9"/>
  <c r="AC107" i="9"/>
  <c r="AC25" i="3"/>
  <c r="AD31" i="9"/>
  <c r="AD107" i="9"/>
  <c r="AD25" i="3"/>
  <c r="AE31" i="9"/>
  <c r="AE107" i="9"/>
  <c r="AE25" i="3"/>
  <c r="AF31" i="9"/>
  <c r="AF107" i="9"/>
  <c r="AF25" i="3"/>
  <c r="AG31" i="9"/>
  <c r="AG107" i="9"/>
  <c r="AG25" i="3"/>
  <c r="AH31" i="9"/>
  <c r="AH107" i="9"/>
  <c r="AH25" i="3"/>
  <c r="AI31" i="9"/>
  <c r="AI107" i="9"/>
  <c r="AI25" i="3"/>
  <c r="AJ31" i="9"/>
  <c r="AJ107" i="9"/>
  <c r="AJ25" i="3"/>
  <c r="AK31" i="9"/>
  <c r="AK107" i="9"/>
  <c r="AA26" i="3"/>
  <c r="AB32" i="9"/>
  <c r="AB26" i="3"/>
  <c r="AC32" i="9"/>
  <c r="AC26" i="3"/>
  <c r="AD32" i="9"/>
  <c r="AD26" i="3"/>
  <c r="AE32" i="9"/>
  <c r="AE26" i="3"/>
  <c r="AF32" i="9"/>
  <c r="AF26" i="3"/>
  <c r="AG32" i="9"/>
  <c r="AG26" i="3"/>
  <c r="AH32" i="9"/>
  <c r="AH26" i="3"/>
  <c r="AI32" i="9"/>
  <c r="AI26" i="3"/>
  <c r="AJ32" i="9"/>
  <c r="AJ26" i="3"/>
  <c r="AK32" i="9"/>
  <c r="AA27" i="3"/>
  <c r="AB33" i="9"/>
  <c r="AB27" i="3"/>
  <c r="AC33" i="9"/>
  <c r="AC27" i="3"/>
  <c r="AD33" i="9"/>
  <c r="AD27" i="3"/>
  <c r="AE33" i="9"/>
  <c r="AE27" i="3"/>
  <c r="AF33" i="9"/>
  <c r="AF27" i="3"/>
  <c r="AG33" i="9"/>
  <c r="AG27" i="3"/>
  <c r="AH33" i="9"/>
  <c r="AH27" i="3"/>
  <c r="AI33" i="9"/>
  <c r="AI27" i="3"/>
  <c r="AJ33" i="9"/>
  <c r="AJ27" i="3"/>
  <c r="AK33" i="9"/>
  <c r="AA28" i="3"/>
  <c r="AB34" i="9"/>
  <c r="AB28" i="3"/>
  <c r="AC34" i="9"/>
  <c r="AC28" i="3"/>
  <c r="AD34" i="9"/>
  <c r="AD28" i="3"/>
  <c r="AE34" i="9"/>
  <c r="AE28" i="3"/>
  <c r="AF34" i="9"/>
  <c r="AF28" i="3"/>
  <c r="AG34" i="9"/>
  <c r="AG28" i="3"/>
  <c r="AH34" i="9"/>
  <c r="AH28" i="3"/>
  <c r="AI34" i="9"/>
  <c r="AI28" i="3"/>
  <c r="AJ34" i="9"/>
  <c r="AJ28" i="3"/>
  <c r="AK34" i="9"/>
  <c r="AA29" i="3"/>
  <c r="AB37" i="9"/>
  <c r="AB29" i="3"/>
  <c r="AC37" i="9"/>
  <c r="AC29" i="3"/>
  <c r="AD37" i="9"/>
  <c r="AD29" i="3"/>
  <c r="AE37" i="9"/>
  <c r="AE29" i="3"/>
  <c r="AF37" i="9"/>
  <c r="AF29" i="3"/>
  <c r="AG37" i="9"/>
  <c r="AG29" i="3"/>
  <c r="AH37" i="9"/>
  <c r="AH29" i="3"/>
  <c r="AI37" i="9"/>
  <c r="AI29" i="3"/>
  <c r="AJ37" i="9"/>
  <c r="AJ29" i="3"/>
  <c r="AK37" i="9"/>
  <c r="C34" i="1"/>
  <c r="D34" i="1"/>
  <c r="E34" i="1"/>
  <c r="F34" i="1"/>
  <c r="G34" i="1"/>
  <c r="H34" i="1"/>
  <c r="I34" i="1"/>
  <c r="J34" i="1"/>
  <c r="K34" i="1"/>
  <c r="L34" i="1"/>
  <c r="M34" i="1"/>
  <c r="N34" i="1"/>
  <c r="O34" i="1"/>
  <c r="P34" i="1"/>
  <c r="Q34" i="1"/>
  <c r="R34" i="1"/>
  <c r="S34" i="1"/>
  <c r="T34" i="1"/>
  <c r="U34" i="1"/>
  <c r="V34" i="1"/>
  <c r="W34" i="1"/>
  <c r="X34" i="1"/>
  <c r="Y34" i="1"/>
  <c r="Z34" i="1"/>
  <c r="AA30" i="3"/>
  <c r="AB30" i="3"/>
  <c r="AC30" i="3"/>
  <c r="AD30" i="3"/>
  <c r="AE30" i="3"/>
  <c r="AF30" i="3"/>
  <c r="AG30" i="3"/>
  <c r="AH30" i="3"/>
  <c r="AI30" i="3"/>
  <c r="AJ30" i="3"/>
  <c r="AA31" i="3"/>
  <c r="AB40" i="9"/>
  <c r="AB31" i="3"/>
  <c r="AC40" i="9"/>
  <c r="AC31" i="3"/>
  <c r="AD40" i="9"/>
  <c r="AD31" i="3"/>
  <c r="AE40" i="9"/>
  <c r="AE31" i="3"/>
  <c r="AF40" i="9"/>
  <c r="AF31" i="3"/>
  <c r="AG40" i="9"/>
  <c r="AG31" i="3"/>
  <c r="AH40" i="9"/>
  <c r="AH31" i="3"/>
  <c r="AI40" i="9"/>
  <c r="AI31" i="3"/>
  <c r="AJ40" i="9"/>
  <c r="AJ31" i="3"/>
  <c r="AK40" i="9"/>
  <c r="AA32" i="3"/>
  <c r="AB41" i="9"/>
  <c r="AB32" i="3"/>
  <c r="AC41" i="9"/>
  <c r="AC32" i="3"/>
  <c r="AD41" i="9"/>
  <c r="AD32" i="3"/>
  <c r="AE41" i="9"/>
  <c r="AE32" i="3"/>
  <c r="AF41" i="9"/>
  <c r="AF32" i="3"/>
  <c r="AG41" i="9"/>
  <c r="AG32" i="3"/>
  <c r="AH41" i="9"/>
  <c r="AH32" i="3"/>
  <c r="AI41" i="9"/>
  <c r="AI32" i="3"/>
  <c r="AJ41" i="9"/>
  <c r="AJ32" i="3"/>
  <c r="AK41" i="9"/>
  <c r="AA33" i="3"/>
  <c r="AB42" i="9"/>
  <c r="AB33" i="3"/>
  <c r="AC42" i="9"/>
  <c r="AC33" i="3"/>
  <c r="AD42" i="9"/>
  <c r="AD33" i="3"/>
  <c r="AE42" i="9"/>
  <c r="AE33" i="3"/>
  <c r="AF42" i="9"/>
  <c r="AF33" i="3"/>
  <c r="AG42" i="9"/>
  <c r="AG33" i="3"/>
  <c r="AH42" i="9"/>
  <c r="AH33" i="3"/>
  <c r="AI42" i="9"/>
  <c r="AI33" i="3"/>
  <c r="AJ42" i="9"/>
  <c r="AJ33" i="3"/>
  <c r="AK42" i="9"/>
  <c r="AA34" i="3"/>
  <c r="AB43" i="9"/>
  <c r="AB34" i="3"/>
  <c r="AC43" i="9"/>
  <c r="AC34" i="3"/>
  <c r="AD43" i="9"/>
  <c r="AD34" i="3"/>
  <c r="AE43" i="9"/>
  <c r="AE34" i="3"/>
  <c r="AF43" i="9"/>
  <c r="AF34" i="3"/>
  <c r="AG43" i="9"/>
  <c r="AG34" i="3"/>
  <c r="AH43" i="9"/>
  <c r="AH34" i="3"/>
  <c r="AI43" i="9"/>
  <c r="AI34" i="3"/>
  <c r="AJ43" i="9"/>
  <c r="AJ34" i="3"/>
  <c r="AK43" i="9"/>
  <c r="AA35" i="3"/>
  <c r="AB45" i="9"/>
  <c r="AB35" i="3"/>
  <c r="AC45" i="9"/>
  <c r="AC35" i="3"/>
  <c r="AD45" i="9"/>
  <c r="AD35" i="3"/>
  <c r="AE45" i="9"/>
  <c r="AE35" i="3"/>
  <c r="AF45" i="9"/>
  <c r="AF35" i="3"/>
  <c r="AG45" i="9"/>
  <c r="AG35" i="3"/>
  <c r="AH45" i="9"/>
  <c r="AH35" i="3"/>
  <c r="AI45" i="9"/>
  <c r="AI35" i="3"/>
  <c r="AJ45" i="9"/>
  <c r="AJ35" i="3"/>
  <c r="AK45" i="9"/>
  <c r="AA36" i="3"/>
  <c r="AB48" i="9"/>
  <c r="AB36" i="3"/>
  <c r="AC48" i="9"/>
  <c r="AC36" i="3"/>
  <c r="AD48" i="9"/>
  <c r="AD36" i="3"/>
  <c r="AE48" i="9"/>
  <c r="AE36" i="3"/>
  <c r="AF48" i="9"/>
  <c r="AF36" i="3"/>
  <c r="AG48" i="9"/>
  <c r="AG36" i="3"/>
  <c r="AH48" i="9"/>
  <c r="AH36" i="3"/>
  <c r="AI48" i="9"/>
  <c r="AI36" i="3"/>
  <c r="AJ48" i="9"/>
  <c r="AJ36" i="3"/>
  <c r="AK48" i="9"/>
  <c r="AA37" i="3"/>
  <c r="AB49" i="9"/>
  <c r="AB37" i="3"/>
  <c r="AC49" i="9"/>
  <c r="AC37" i="3"/>
  <c r="AD49" i="9"/>
  <c r="AD37" i="3"/>
  <c r="AE49" i="9"/>
  <c r="AE37" i="3"/>
  <c r="AF49" i="9"/>
  <c r="AF37" i="3"/>
  <c r="AG49" i="9"/>
  <c r="AG37" i="3"/>
  <c r="AH49" i="9"/>
  <c r="AH37" i="3"/>
  <c r="AI49" i="9"/>
  <c r="AI37" i="3"/>
  <c r="AJ49" i="9"/>
  <c r="AJ37" i="3"/>
  <c r="AK49" i="9"/>
  <c r="AA38" i="3"/>
  <c r="AB50" i="9"/>
  <c r="AB38" i="3"/>
  <c r="AC50" i="9"/>
  <c r="AC38" i="3"/>
  <c r="AD50" i="9"/>
  <c r="AD38" i="3"/>
  <c r="AE50" i="9"/>
  <c r="AE38" i="3"/>
  <c r="AF50" i="9"/>
  <c r="AF38" i="3"/>
  <c r="AG50" i="9"/>
  <c r="AG38" i="3"/>
  <c r="AH50" i="9"/>
  <c r="AH38" i="3"/>
  <c r="AI50" i="9"/>
  <c r="AI38" i="3"/>
  <c r="AJ50" i="9"/>
  <c r="AJ38" i="3"/>
  <c r="AK50" i="9"/>
  <c r="C98" i="3"/>
  <c r="C97" i="3"/>
  <c r="D98" i="3"/>
  <c r="D97" i="3"/>
  <c r="E98" i="3"/>
  <c r="E97" i="3"/>
  <c r="F98" i="3"/>
  <c r="F97" i="3"/>
  <c r="G98" i="3"/>
  <c r="G97" i="3"/>
  <c r="H98" i="3"/>
  <c r="H97" i="3"/>
  <c r="I98" i="3"/>
  <c r="I97" i="3"/>
  <c r="J98" i="3"/>
  <c r="J97" i="3"/>
  <c r="K98" i="3"/>
  <c r="K97" i="3"/>
  <c r="L98" i="3"/>
  <c r="L97" i="3"/>
  <c r="M98" i="3"/>
  <c r="M97" i="3"/>
  <c r="N98" i="3"/>
  <c r="N97" i="3"/>
  <c r="O98" i="3"/>
  <c r="O97" i="3"/>
  <c r="P98" i="3"/>
  <c r="P97" i="3"/>
  <c r="Q98" i="3"/>
  <c r="Q97" i="3"/>
  <c r="R98" i="3"/>
  <c r="R97" i="3"/>
  <c r="S98" i="3"/>
  <c r="S97" i="3"/>
  <c r="T98" i="3"/>
  <c r="T97" i="3"/>
  <c r="U98" i="3"/>
  <c r="U97" i="3"/>
  <c r="V98" i="3"/>
  <c r="V97" i="3"/>
  <c r="W98" i="3"/>
  <c r="W97" i="3"/>
  <c r="X98" i="3"/>
  <c r="X97" i="3"/>
  <c r="Y98" i="3"/>
  <c r="Y97" i="3"/>
  <c r="Z98" i="3"/>
  <c r="Z97" i="3"/>
  <c r="AA39" i="3"/>
  <c r="AA98" i="3"/>
  <c r="AA97" i="3"/>
  <c r="AB39" i="3"/>
  <c r="AB98" i="3"/>
  <c r="AB97" i="3"/>
  <c r="AC39" i="3"/>
  <c r="AC98" i="3"/>
  <c r="AC97" i="3"/>
  <c r="AD39" i="3"/>
  <c r="AD98" i="3"/>
  <c r="AD97" i="3"/>
  <c r="AE39" i="3"/>
  <c r="AE98" i="3"/>
  <c r="AE97" i="3"/>
  <c r="AF39" i="3"/>
  <c r="AF98" i="3"/>
  <c r="AF97" i="3"/>
  <c r="AG39" i="3"/>
  <c r="AG98" i="3"/>
  <c r="AG97" i="3"/>
  <c r="AH39" i="3"/>
  <c r="AH98" i="3"/>
  <c r="AH97" i="3"/>
  <c r="AI39" i="3"/>
  <c r="AI98" i="3"/>
  <c r="AI97" i="3"/>
  <c r="AJ39" i="3"/>
  <c r="AJ98" i="3"/>
  <c r="AJ97" i="3"/>
  <c r="AA40" i="3"/>
  <c r="AB40" i="3"/>
  <c r="AC40" i="3"/>
  <c r="AD40" i="3"/>
  <c r="AE40" i="3"/>
  <c r="AF40" i="3"/>
  <c r="AG40" i="3"/>
  <c r="AH40" i="3"/>
  <c r="AI40" i="3"/>
  <c r="AJ40" i="3"/>
  <c r="AA41" i="3"/>
  <c r="AB41" i="3"/>
  <c r="AC41" i="3"/>
  <c r="AD41" i="3"/>
  <c r="AE41" i="3"/>
  <c r="AF41" i="3"/>
  <c r="AG41" i="3"/>
  <c r="AH41" i="3"/>
  <c r="AI41" i="3"/>
  <c r="AJ41" i="3"/>
  <c r="AA42" i="3"/>
  <c r="AB42" i="3"/>
  <c r="AC42" i="3"/>
  <c r="AD42" i="3"/>
  <c r="AE42" i="3"/>
  <c r="AF42" i="3"/>
  <c r="AG42" i="3"/>
  <c r="AH42" i="3"/>
  <c r="AI42" i="3"/>
  <c r="AJ42" i="3"/>
  <c r="C102" i="3"/>
  <c r="C101" i="3"/>
  <c r="D102" i="3"/>
  <c r="D101" i="3"/>
  <c r="E102" i="3"/>
  <c r="E101" i="3"/>
  <c r="F102" i="3"/>
  <c r="F101" i="3"/>
  <c r="G102" i="3"/>
  <c r="G101" i="3"/>
  <c r="H102" i="3"/>
  <c r="H101" i="3"/>
  <c r="I102" i="3"/>
  <c r="I101" i="3"/>
  <c r="J102" i="3"/>
  <c r="J101" i="3"/>
  <c r="K102" i="3"/>
  <c r="K101" i="3"/>
  <c r="L102" i="3"/>
  <c r="L101" i="3"/>
  <c r="M102" i="3"/>
  <c r="M101" i="3"/>
  <c r="N102" i="3"/>
  <c r="N101" i="3"/>
  <c r="O102" i="3"/>
  <c r="O101" i="3"/>
  <c r="P102" i="3"/>
  <c r="P101" i="3"/>
  <c r="Q102" i="3"/>
  <c r="Q101" i="3"/>
  <c r="R102" i="3"/>
  <c r="R101" i="3"/>
  <c r="S102" i="3"/>
  <c r="S101" i="3"/>
  <c r="T102" i="3"/>
  <c r="T101" i="3"/>
  <c r="U102" i="3"/>
  <c r="U101" i="3"/>
  <c r="V102" i="3"/>
  <c r="V101" i="3"/>
  <c r="W102" i="3"/>
  <c r="W101" i="3"/>
  <c r="X102" i="3"/>
  <c r="X101" i="3"/>
  <c r="Y102" i="3"/>
  <c r="Y101" i="3"/>
  <c r="Z102" i="3"/>
  <c r="Z101" i="3"/>
  <c r="AA43" i="3"/>
  <c r="AA102" i="3"/>
  <c r="AA101" i="3"/>
  <c r="AB43" i="3"/>
  <c r="AB102" i="3"/>
  <c r="AB101" i="3"/>
  <c r="AC43" i="3"/>
  <c r="AC102" i="3"/>
  <c r="AC101" i="3"/>
  <c r="AD43" i="3"/>
  <c r="AD102" i="3"/>
  <c r="AD101" i="3"/>
  <c r="AE43" i="3"/>
  <c r="AE102" i="3"/>
  <c r="AE101" i="3"/>
  <c r="AF43" i="3"/>
  <c r="AF102" i="3"/>
  <c r="AF101" i="3"/>
  <c r="AG43" i="3"/>
  <c r="AG102" i="3"/>
  <c r="AG101" i="3"/>
  <c r="AH43" i="3"/>
  <c r="AH102" i="3"/>
  <c r="AH101" i="3"/>
  <c r="AI43" i="3"/>
  <c r="AI102" i="3"/>
  <c r="AI101" i="3"/>
  <c r="AJ43" i="3"/>
  <c r="AJ102" i="3"/>
  <c r="AJ101" i="3"/>
  <c r="AA44" i="3"/>
  <c r="AB44" i="3"/>
  <c r="AC44" i="3"/>
  <c r="AD44" i="3"/>
  <c r="AE44" i="3"/>
  <c r="AF44" i="3"/>
  <c r="AG44" i="3"/>
  <c r="AH44" i="3"/>
  <c r="AI44" i="3"/>
  <c r="AJ44" i="3"/>
  <c r="AA45" i="3"/>
  <c r="AB45" i="3"/>
  <c r="AC45" i="3"/>
  <c r="AD45" i="3"/>
  <c r="AE45" i="3"/>
  <c r="AF45" i="3"/>
  <c r="AG45" i="3"/>
  <c r="AH45" i="3"/>
  <c r="AI45" i="3"/>
  <c r="AJ45" i="3"/>
  <c r="AA46" i="3"/>
  <c r="AB51" i="9"/>
  <c r="AB46" i="3"/>
  <c r="AC51" i="9"/>
  <c r="AC46" i="3"/>
  <c r="AD51" i="9"/>
  <c r="AD46" i="3"/>
  <c r="AE51" i="9"/>
  <c r="AE46" i="3"/>
  <c r="AF51" i="9"/>
  <c r="AF46" i="3"/>
  <c r="AG51" i="9"/>
  <c r="AG46" i="3"/>
  <c r="AH51" i="9"/>
  <c r="AH46" i="3"/>
  <c r="AI51" i="9"/>
  <c r="AI46" i="3"/>
  <c r="AJ51" i="9"/>
  <c r="AJ46" i="3"/>
  <c r="AK51" i="9"/>
  <c r="C106" i="3"/>
  <c r="C105" i="3"/>
  <c r="D106" i="3"/>
  <c r="D105" i="3"/>
  <c r="E106" i="3"/>
  <c r="E105" i="3"/>
  <c r="F106" i="3"/>
  <c r="F105" i="3"/>
  <c r="G106" i="3"/>
  <c r="G105" i="3"/>
  <c r="H106" i="3"/>
  <c r="H105" i="3"/>
  <c r="I106" i="3"/>
  <c r="I105" i="3"/>
  <c r="J106" i="3"/>
  <c r="J105" i="3"/>
  <c r="K106" i="3"/>
  <c r="K105" i="3"/>
  <c r="L106" i="3"/>
  <c r="L105" i="3"/>
  <c r="M106" i="3"/>
  <c r="M105" i="3"/>
  <c r="N106" i="3"/>
  <c r="N105" i="3"/>
  <c r="O106" i="3"/>
  <c r="O105" i="3"/>
  <c r="P106" i="3"/>
  <c r="P105" i="3"/>
  <c r="Q106" i="3"/>
  <c r="Q105" i="3"/>
  <c r="R106" i="3"/>
  <c r="R105" i="3"/>
  <c r="S106" i="3"/>
  <c r="S105" i="3"/>
  <c r="T106" i="3"/>
  <c r="T105" i="3"/>
  <c r="U106" i="3"/>
  <c r="U105" i="3"/>
  <c r="V106" i="3"/>
  <c r="V105" i="3"/>
  <c r="W106" i="3"/>
  <c r="W105" i="3"/>
  <c r="X106" i="3"/>
  <c r="X105" i="3"/>
  <c r="Y106" i="3"/>
  <c r="Y105" i="3"/>
  <c r="Z106" i="3"/>
  <c r="Z105" i="3"/>
  <c r="AA47" i="3"/>
  <c r="AA106" i="3"/>
  <c r="AA105" i="3"/>
  <c r="AB47" i="3"/>
  <c r="AB106" i="3"/>
  <c r="AB105" i="3"/>
  <c r="AC47" i="3"/>
  <c r="AC106" i="3"/>
  <c r="AC105" i="3"/>
  <c r="AD47" i="3"/>
  <c r="AD106" i="3"/>
  <c r="AD105" i="3"/>
  <c r="AE47" i="3"/>
  <c r="AE106" i="3"/>
  <c r="AE105" i="3"/>
  <c r="AF47" i="3"/>
  <c r="AF106" i="3"/>
  <c r="AF105" i="3"/>
  <c r="AG47" i="3"/>
  <c r="AG106" i="3"/>
  <c r="AG105" i="3"/>
  <c r="AH47" i="3"/>
  <c r="AH106" i="3"/>
  <c r="AH105" i="3"/>
  <c r="AI47" i="3"/>
  <c r="AI106" i="3"/>
  <c r="AI105" i="3"/>
  <c r="AJ47" i="3"/>
  <c r="AJ106" i="3"/>
  <c r="AJ105" i="3"/>
  <c r="AA48" i="3"/>
  <c r="AB48" i="3"/>
  <c r="AC48" i="3"/>
  <c r="AD48" i="3"/>
  <c r="AE48" i="3"/>
  <c r="AF48" i="3"/>
  <c r="AG48" i="3"/>
  <c r="AH48" i="3"/>
  <c r="AI48" i="3"/>
  <c r="AJ48" i="3"/>
  <c r="C134" i="3"/>
  <c r="C133" i="3"/>
  <c r="D134" i="3"/>
  <c r="D133" i="3"/>
  <c r="E134" i="3"/>
  <c r="E133" i="3"/>
  <c r="F134" i="3"/>
  <c r="F133" i="3"/>
  <c r="G134" i="3"/>
  <c r="G133" i="3"/>
  <c r="H134" i="3"/>
  <c r="H133" i="3"/>
  <c r="I134" i="3"/>
  <c r="I133" i="3"/>
  <c r="J134" i="3"/>
  <c r="J133" i="3"/>
  <c r="K134" i="3"/>
  <c r="K133" i="3"/>
  <c r="L134" i="3"/>
  <c r="L133" i="3"/>
  <c r="M134" i="3"/>
  <c r="M133" i="3"/>
  <c r="N134" i="3"/>
  <c r="N133" i="3"/>
  <c r="O134" i="3"/>
  <c r="O133" i="3"/>
  <c r="P134" i="3"/>
  <c r="P133" i="3"/>
  <c r="Q134" i="3"/>
  <c r="Q133" i="3"/>
  <c r="R134" i="3"/>
  <c r="R133" i="3"/>
  <c r="S134" i="3"/>
  <c r="S133" i="3"/>
  <c r="T134" i="3"/>
  <c r="T133" i="3"/>
  <c r="U134" i="3"/>
  <c r="U133" i="3"/>
  <c r="V134" i="3"/>
  <c r="V133" i="3"/>
  <c r="W134" i="3"/>
  <c r="W133" i="3"/>
  <c r="X134" i="3"/>
  <c r="X133" i="3"/>
  <c r="Y134" i="3"/>
  <c r="Y133" i="3"/>
  <c r="Z134" i="3"/>
  <c r="Z133" i="3"/>
  <c r="AA49" i="3"/>
  <c r="AA134" i="3"/>
  <c r="AA133" i="3"/>
  <c r="AB49" i="3"/>
  <c r="AB134" i="3"/>
  <c r="AB133" i="3"/>
  <c r="AC49" i="3"/>
  <c r="AC134" i="3"/>
  <c r="AC133" i="3"/>
  <c r="AD49" i="3"/>
  <c r="AD134" i="3"/>
  <c r="AD133" i="3"/>
  <c r="AE49" i="3"/>
  <c r="AE134" i="3"/>
  <c r="AE133" i="3"/>
  <c r="AF49" i="3"/>
  <c r="AF134" i="3"/>
  <c r="AF133" i="3"/>
  <c r="AG49" i="3"/>
  <c r="AG134" i="3"/>
  <c r="AG133" i="3"/>
  <c r="AH49" i="3"/>
  <c r="AH134" i="3"/>
  <c r="AH133" i="3"/>
  <c r="AI49" i="3"/>
  <c r="AI134" i="3"/>
  <c r="AI133" i="3"/>
  <c r="AJ49" i="3"/>
  <c r="AJ134" i="3"/>
  <c r="AJ133" i="3"/>
  <c r="AA50" i="3"/>
  <c r="AB59" i="9"/>
  <c r="AB50" i="3"/>
  <c r="AC59" i="9"/>
  <c r="AC50" i="3"/>
  <c r="AD59" i="9"/>
  <c r="AD50" i="3"/>
  <c r="AE59" i="9"/>
  <c r="AE50" i="3"/>
  <c r="AF59" i="9"/>
  <c r="AF50" i="3"/>
  <c r="AG59" i="9"/>
  <c r="AG50" i="3"/>
  <c r="AH59" i="9"/>
  <c r="AH50" i="3"/>
  <c r="AI59" i="9"/>
  <c r="AI50" i="3"/>
  <c r="AJ59" i="9"/>
  <c r="AJ50" i="3"/>
  <c r="AK59" i="9"/>
  <c r="AA51" i="3"/>
  <c r="AB60" i="9"/>
  <c r="AB51" i="3"/>
  <c r="AC60" i="9"/>
  <c r="AC51" i="3"/>
  <c r="AD60" i="9"/>
  <c r="AD51" i="3"/>
  <c r="AE60" i="9"/>
  <c r="AE51" i="3"/>
  <c r="AF60" i="9"/>
  <c r="AF51" i="3"/>
  <c r="AG60" i="9"/>
  <c r="AG51" i="3"/>
  <c r="AH60" i="9"/>
  <c r="AH51" i="3"/>
  <c r="AI60" i="9"/>
  <c r="AI51" i="3"/>
  <c r="AJ60" i="9"/>
  <c r="AJ51" i="3"/>
  <c r="AK60" i="9"/>
  <c r="C58" i="1"/>
  <c r="D58" i="1"/>
  <c r="E58" i="1"/>
  <c r="F58" i="1"/>
  <c r="G58" i="1"/>
  <c r="H58" i="1"/>
  <c r="I58" i="1"/>
  <c r="J58" i="1"/>
  <c r="K58" i="1"/>
  <c r="L58" i="1"/>
  <c r="M58" i="1"/>
  <c r="N58" i="1"/>
  <c r="O58" i="1"/>
  <c r="P58" i="1"/>
  <c r="Q58" i="1"/>
  <c r="R58" i="1"/>
  <c r="S58" i="1"/>
  <c r="T58" i="1"/>
  <c r="U58" i="1"/>
  <c r="V58" i="1"/>
  <c r="W58" i="1"/>
  <c r="X58" i="1"/>
  <c r="Y58" i="1"/>
  <c r="Z58" i="1"/>
  <c r="AA52" i="3"/>
  <c r="AB52" i="3"/>
  <c r="AC52" i="3"/>
  <c r="AD52" i="3"/>
  <c r="AE52" i="3"/>
  <c r="AF52" i="3"/>
  <c r="AG52" i="3"/>
  <c r="AH52" i="3"/>
  <c r="AI52" i="3"/>
  <c r="AJ52" i="3"/>
  <c r="AA53" i="3"/>
  <c r="AB64" i="9"/>
  <c r="AB53" i="3"/>
  <c r="AC64" i="9"/>
  <c r="AC53" i="3"/>
  <c r="AD64" i="9"/>
  <c r="AD53" i="3"/>
  <c r="AE64" i="9"/>
  <c r="AE53" i="3"/>
  <c r="AF64" i="9"/>
  <c r="AF53" i="3"/>
  <c r="AG64" i="9"/>
  <c r="AG53" i="3"/>
  <c r="AH64" i="9"/>
  <c r="AH53" i="3"/>
  <c r="AI64" i="9"/>
  <c r="AI53" i="3"/>
  <c r="AJ64" i="9"/>
  <c r="AJ53" i="3"/>
  <c r="AK64" i="9"/>
  <c r="AA54" i="3"/>
  <c r="AB65" i="9"/>
  <c r="AB54" i="3"/>
  <c r="AC65" i="9"/>
  <c r="AC54" i="3"/>
  <c r="AD65" i="9"/>
  <c r="AD54" i="3"/>
  <c r="AE65" i="9"/>
  <c r="AE54" i="3"/>
  <c r="AF65" i="9"/>
  <c r="AF54" i="3"/>
  <c r="AG65" i="9"/>
  <c r="AG54" i="3"/>
  <c r="AH65" i="9"/>
  <c r="AH54" i="3"/>
  <c r="AI65" i="9"/>
  <c r="AI54" i="3"/>
  <c r="AJ65" i="9"/>
  <c r="AJ54" i="3"/>
  <c r="AK65" i="9"/>
  <c r="AA55" i="3"/>
  <c r="AB66" i="9"/>
  <c r="AB55" i="3"/>
  <c r="AC66" i="9"/>
  <c r="AC55" i="3"/>
  <c r="AD66" i="9"/>
  <c r="AD55" i="3"/>
  <c r="AE66" i="9"/>
  <c r="AE55" i="3"/>
  <c r="AF66" i="9"/>
  <c r="AF55" i="3"/>
  <c r="AG66" i="9"/>
  <c r="AG55" i="3"/>
  <c r="AH66" i="9"/>
  <c r="AH55" i="3"/>
  <c r="AI66" i="9"/>
  <c r="AI55" i="3"/>
  <c r="AJ66" i="9"/>
  <c r="AJ55" i="3"/>
  <c r="AK66" i="9"/>
  <c r="AA56" i="3"/>
  <c r="AB56" i="3"/>
  <c r="AC56" i="3"/>
  <c r="AD56" i="3"/>
  <c r="AE56" i="3"/>
  <c r="AF56" i="3"/>
  <c r="AG56" i="3"/>
  <c r="AH56" i="3"/>
  <c r="AI56" i="3"/>
  <c r="AJ56" i="3"/>
  <c r="AA57" i="3"/>
  <c r="AB57" i="3"/>
  <c r="AC57" i="3"/>
  <c r="AD57" i="3"/>
  <c r="AE57" i="3"/>
  <c r="AF57" i="3"/>
  <c r="AG57" i="3"/>
  <c r="AH57" i="3"/>
  <c r="AI57" i="3"/>
  <c r="AJ57" i="3"/>
  <c r="AA58" i="3"/>
  <c r="AB58" i="3"/>
  <c r="AC58" i="3"/>
  <c r="AD58" i="3"/>
  <c r="AE58" i="3"/>
  <c r="AF58" i="3"/>
  <c r="AG58" i="3"/>
  <c r="AH58" i="3"/>
  <c r="AI58" i="3"/>
  <c r="AJ58" i="3"/>
  <c r="AA59" i="3"/>
  <c r="AB67" i="9"/>
  <c r="AB59" i="3"/>
  <c r="AC67" i="9"/>
  <c r="AC59" i="3"/>
  <c r="AD67" i="9"/>
  <c r="AD59" i="3"/>
  <c r="AE67" i="9"/>
  <c r="AE59" i="3"/>
  <c r="AF67" i="9"/>
  <c r="AF59" i="3"/>
  <c r="AG67" i="9"/>
  <c r="AG59" i="3"/>
  <c r="AH67" i="9"/>
  <c r="AH59" i="3"/>
  <c r="AI67" i="9"/>
  <c r="AI59" i="3"/>
  <c r="AJ67" i="9"/>
  <c r="AJ59" i="3"/>
  <c r="AK67" i="9"/>
  <c r="AA60" i="3"/>
  <c r="AB71" i="9"/>
  <c r="AB60" i="3"/>
  <c r="AC71" i="9"/>
  <c r="AC60" i="3"/>
  <c r="AD71" i="9"/>
  <c r="AD60" i="3"/>
  <c r="AE71" i="9"/>
  <c r="AE60" i="3"/>
  <c r="AF71" i="9"/>
  <c r="AF60" i="3"/>
  <c r="AG71" i="9"/>
  <c r="AG60" i="3"/>
  <c r="AH71" i="9"/>
  <c r="AH60" i="3"/>
  <c r="AI71" i="9"/>
  <c r="AI60" i="3"/>
  <c r="AJ71" i="9"/>
  <c r="AJ60" i="3"/>
  <c r="AK71" i="9"/>
  <c r="AA61" i="3"/>
  <c r="AB61" i="3"/>
  <c r="AC61" i="3"/>
  <c r="AD61" i="3"/>
  <c r="AE61" i="3"/>
  <c r="AF61" i="3"/>
  <c r="AG61" i="3"/>
  <c r="AH61" i="3"/>
  <c r="AI61" i="3"/>
  <c r="AJ61" i="3"/>
  <c r="AA62" i="3"/>
  <c r="AB73" i="9"/>
  <c r="AB62" i="3"/>
  <c r="AC73" i="9"/>
  <c r="AC62" i="3"/>
  <c r="AD73" i="9"/>
  <c r="AD62" i="3"/>
  <c r="AE73" i="9"/>
  <c r="AE62" i="3"/>
  <c r="AF73" i="9"/>
  <c r="AF62" i="3"/>
  <c r="AG73" i="9"/>
  <c r="AG62" i="3"/>
  <c r="AH73" i="9"/>
  <c r="AH62" i="3"/>
  <c r="AI73" i="9"/>
  <c r="AI62" i="3"/>
  <c r="AJ73" i="9"/>
  <c r="AJ62" i="3"/>
  <c r="AK73" i="9"/>
  <c r="AA63" i="3"/>
  <c r="AB74" i="9"/>
  <c r="AB63" i="3"/>
  <c r="AC74" i="9"/>
  <c r="AC63" i="3"/>
  <c r="AD74" i="9"/>
  <c r="AD63" i="3"/>
  <c r="AE74" i="9"/>
  <c r="AE63" i="3"/>
  <c r="AF74" i="9"/>
  <c r="AF63" i="3"/>
  <c r="AG74" i="9"/>
  <c r="AG63" i="3"/>
  <c r="AH74" i="9"/>
  <c r="AH63" i="3"/>
  <c r="AI74" i="9"/>
  <c r="AI63" i="3"/>
  <c r="AJ74" i="9"/>
  <c r="AJ63" i="3"/>
  <c r="AK74" i="9"/>
  <c r="AA64" i="3"/>
  <c r="AB75" i="9"/>
  <c r="AB64" i="3"/>
  <c r="AC75" i="9"/>
  <c r="AC64" i="3"/>
  <c r="AD75" i="9"/>
  <c r="AD64" i="3"/>
  <c r="AE75" i="9"/>
  <c r="AE64" i="3"/>
  <c r="AF75" i="9"/>
  <c r="AF64" i="3"/>
  <c r="AG75" i="9"/>
  <c r="AG64" i="3"/>
  <c r="AH75" i="9"/>
  <c r="AH64" i="3"/>
  <c r="AI75" i="9"/>
  <c r="AI64" i="3"/>
  <c r="AJ75" i="9"/>
  <c r="AJ64" i="3"/>
  <c r="AK75" i="9"/>
  <c r="C72" i="1"/>
  <c r="D72" i="1"/>
  <c r="E72" i="1"/>
  <c r="F72" i="1"/>
  <c r="G72" i="1"/>
  <c r="H72" i="1"/>
  <c r="I72" i="1"/>
  <c r="J72" i="1"/>
  <c r="K72" i="1"/>
  <c r="L72" i="1"/>
  <c r="M72" i="1"/>
  <c r="N72" i="1"/>
  <c r="O72" i="1"/>
  <c r="P72" i="1"/>
  <c r="Q72" i="1"/>
  <c r="R72" i="1"/>
  <c r="S72" i="1"/>
  <c r="T72" i="1"/>
  <c r="U72" i="1"/>
  <c r="V72" i="1"/>
  <c r="W72" i="1"/>
  <c r="X72" i="1"/>
  <c r="Y72" i="1"/>
  <c r="Z72" i="1"/>
  <c r="AA65" i="3"/>
  <c r="AB65" i="3"/>
  <c r="AC65" i="3"/>
  <c r="AD65" i="3"/>
  <c r="AE65" i="3"/>
  <c r="AF65" i="3"/>
  <c r="AG65" i="3"/>
  <c r="AH65" i="3"/>
  <c r="AI65" i="3"/>
  <c r="AJ65" i="3"/>
  <c r="AA66" i="3"/>
  <c r="AB78" i="9"/>
  <c r="AB66" i="3"/>
  <c r="AC78" i="9"/>
  <c r="AC66" i="3"/>
  <c r="AD78" i="9"/>
  <c r="AD66" i="3"/>
  <c r="AE78" i="9"/>
  <c r="AE66" i="3"/>
  <c r="AF78" i="9"/>
  <c r="AF66" i="3"/>
  <c r="AG78" i="9"/>
  <c r="AG66" i="3"/>
  <c r="AH78" i="9"/>
  <c r="AH66" i="3"/>
  <c r="AI78" i="9"/>
  <c r="AI66" i="3"/>
  <c r="AJ78" i="9"/>
  <c r="AJ66" i="3"/>
  <c r="AK78" i="9"/>
  <c r="AA68" i="3"/>
  <c r="AB80" i="9"/>
  <c r="AB68" i="3"/>
  <c r="AC80" i="9"/>
  <c r="AC68" i="3"/>
  <c r="AD80" i="9"/>
  <c r="AD68" i="3"/>
  <c r="AE80" i="9"/>
  <c r="AE68" i="3"/>
  <c r="AF80" i="9"/>
  <c r="AF68" i="3"/>
  <c r="AG80" i="9"/>
  <c r="AG68" i="3"/>
  <c r="AH80" i="9"/>
  <c r="AH68" i="3"/>
  <c r="AI80" i="9"/>
  <c r="AI68" i="3"/>
  <c r="AJ80" i="9"/>
  <c r="AJ68" i="3"/>
  <c r="AK80" i="9"/>
  <c r="AA69" i="3"/>
  <c r="AB81" i="9"/>
  <c r="AB69" i="3"/>
  <c r="AC81" i="9"/>
  <c r="AC69" i="3"/>
  <c r="AD81" i="9"/>
  <c r="AD69" i="3"/>
  <c r="AE81" i="9"/>
  <c r="AE69" i="3"/>
  <c r="AF81" i="9"/>
  <c r="AF69" i="3"/>
  <c r="AG81" i="9"/>
  <c r="AG69" i="3"/>
  <c r="AH81" i="9"/>
  <c r="AH69" i="3"/>
  <c r="AI81" i="9"/>
  <c r="AI69" i="3"/>
  <c r="AJ81" i="9"/>
  <c r="AJ69" i="3"/>
  <c r="AK81" i="9"/>
  <c r="AA70" i="3"/>
  <c r="AB70" i="3"/>
  <c r="AC70" i="3"/>
  <c r="AD70" i="3"/>
  <c r="AE70" i="3"/>
  <c r="AF70" i="3"/>
  <c r="AG70" i="3"/>
  <c r="AH70" i="3"/>
  <c r="AI70" i="3"/>
  <c r="AJ70" i="3"/>
  <c r="C130" i="3"/>
  <c r="C129" i="3"/>
  <c r="D130" i="3"/>
  <c r="D129" i="3"/>
  <c r="E130" i="3"/>
  <c r="E129" i="3"/>
  <c r="F130" i="3"/>
  <c r="F129" i="3"/>
  <c r="G130" i="3"/>
  <c r="G129" i="3"/>
  <c r="H130" i="3"/>
  <c r="H129" i="3"/>
  <c r="I130" i="3"/>
  <c r="I129" i="3"/>
  <c r="J130" i="3"/>
  <c r="J129" i="3"/>
  <c r="K130" i="3"/>
  <c r="K129" i="3"/>
  <c r="L130" i="3"/>
  <c r="L129" i="3"/>
  <c r="M130" i="3"/>
  <c r="M129" i="3"/>
  <c r="N130" i="3"/>
  <c r="N129" i="3"/>
  <c r="O130" i="3"/>
  <c r="O129" i="3"/>
  <c r="P130" i="3"/>
  <c r="P129" i="3"/>
  <c r="Q130" i="3"/>
  <c r="Q129" i="3"/>
  <c r="R130" i="3"/>
  <c r="R129" i="3"/>
  <c r="S130" i="3"/>
  <c r="S129" i="3"/>
  <c r="T130" i="3"/>
  <c r="T129" i="3"/>
  <c r="U130" i="3"/>
  <c r="U129" i="3"/>
  <c r="V130" i="3"/>
  <c r="V129" i="3"/>
  <c r="W130" i="3"/>
  <c r="W129" i="3"/>
  <c r="X130" i="3"/>
  <c r="X129" i="3"/>
  <c r="Y130" i="3"/>
  <c r="Y129" i="3"/>
  <c r="Z130" i="3"/>
  <c r="Z129" i="3"/>
  <c r="AA71" i="3"/>
  <c r="AA130" i="3"/>
  <c r="AA129" i="3"/>
  <c r="AB71" i="3"/>
  <c r="AB130" i="3"/>
  <c r="AB129" i="3"/>
  <c r="AC71" i="3"/>
  <c r="AC130" i="3"/>
  <c r="AC129" i="3"/>
  <c r="AD71" i="3"/>
  <c r="AD130" i="3"/>
  <c r="AD129" i="3"/>
  <c r="AE71" i="3"/>
  <c r="AE130" i="3"/>
  <c r="AE129" i="3"/>
  <c r="AF71" i="3"/>
  <c r="AF130" i="3"/>
  <c r="AF129" i="3"/>
  <c r="AG71" i="3"/>
  <c r="AG130" i="3"/>
  <c r="AG129" i="3"/>
  <c r="AH71" i="3"/>
  <c r="AH130" i="3"/>
  <c r="AH129" i="3"/>
  <c r="AI71" i="3"/>
  <c r="AI130" i="3"/>
  <c r="AI129" i="3"/>
  <c r="AJ71" i="3"/>
  <c r="AJ130" i="3"/>
  <c r="AJ129" i="3"/>
  <c r="AJ73" i="3"/>
  <c r="AK82" i="9"/>
  <c r="AA74" i="3"/>
  <c r="AB83" i="9"/>
  <c r="AB74" i="3"/>
  <c r="AC83" i="9"/>
  <c r="AC74" i="3"/>
  <c r="AD83" i="9"/>
  <c r="AD74" i="3"/>
  <c r="AE83" i="9"/>
  <c r="AE74" i="3"/>
  <c r="AF83" i="9"/>
  <c r="AF74" i="3"/>
  <c r="AG83" i="9"/>
  <c r="AG74" i="3"/>
  <c r="AH83" i="9"/>
  <c r="AH74" i="3"/>
  <c r="AI83" i="9"/>
  <c r="AI74" i="3"/>
  <c r="AJ83" i="9"/>
  <c r="AJ74" i="3"/>
  <c r="AK83" i="9"/>
  <c r="AA75" i="3"/>
  <c r="AB92" i="9"/>
  <c r="AB75" i="3"/>
  <c r="AC92" i="9"/>
  <c r="AC75" i="3"/>
  <c r="AD92" i="9"/>
  <c r="AD75" i="3"/>
  <c r="AE92" i="9"/>
  <c r="AE75" i="3"/>
  <c r="AF92" i="9"/>
  <c r="AF75" i="3"/>
  <c r="AG92" i="9"/>
  <c r="AG75" i="3"/>
  <c r="AH92" i="9"/>
  <c r="AH75" i="3"/>
  <c r="AI92" i="9"/>
  <c r="AI75" i="3"/>
  <c r="AJ92" i="9"/>
  <c r="AJ75" i="3"/>
  <c r="AK92" i="9"/>
  <c r="C88" i="1"/>
  <c r="D88" i="1"/>
  <c r="E88" i="1"/>
  <c r="F88" i="1"/>
  <c r="G88" i="1"/>
  <c r="H88" i="1"/>
  <c r="I88" i="1"/>
  <c r="J88" i="1"/>
  <c r="K88" i="1"/>
  <c r="L88" i="1"/>
  <c r="M88" i="1"/>
  <c r="N88" i="1"/>
  <c r="O88" i="1"/>
  <c r="P88" i="1"/>
  <c r="Q88" i="1"/>
  <c r="R88" i="1"/>
  <c r="S88" i="1"/>
  <c r="T88" i="1"/>
  <c r="U88" i="1"/>
  <c r="V88" i="1"/>
  <c r="W88" i="1"/>
  <c r="X88" i="1"/>
  <c r="Y88" i="1"/>
  <c r="Z88" i="1"/>
  <c r="AA76" i="3"/>
  <c r="AB76" i="3"/>
  <c r="AC76" i="3"/>
  <c r="AD76" i="3"/>
  <c r="AE76" i="3"/>
  <c r="AF76" i="3"/>
  <c r="AG76" i="3"/>
  <c r="AH76" i="3"/>
  <c r="AI76" i="3"/>
  <c r="AJ76" i="3"/>
  <c r="AA78" i="3"/>
  <c r="AB96" i="9"/>
  <c r="AB78" i="3"/>
  <c r="AC96" i="9"/>
  <c r="AC78" i="3"/>
  <c r="AD96" i="9"/>
  <c r="AD78" i="3"/>
  <c r="AE96" i="9"/>
  <c r="AE78" i="3"/>
  <c r="AF96" i="9"/>
  <c r="AF78" i="3"/>
  <c r="AG96" i="9"/>
  <c r="AG78" i="3"/>
  <c r="AH96" i="9"/>
  <c r="AH78" i="3"/>
  <c r="AI96" i="9"/>
  <c r="AI78" i="3"/>
  <c r="AJ96" i="9"/>
  <c r="AJ78" i="3"/>
  <c r="AK96" i="9"/>
  <c r="AA79" i="3"/>
  <c r="AB101" i="9"/>
  <c r="AB79" i="3"/>
  <c r="AC101" i="9"/>
  <c r="AC79" i="3"/>
  <c r="AD101" i="9"/>
  <c r="AD79" i="3"/>
  <c r="AE101" i="9"/>
  <c r="AE79" i="3"/>
  <c r="AF101" i="9"/>
  <c r="AF79" i="3"/>
  <c r="AG101" i="9"/>
  <c r="AG79" i="3"/>
  <c r="AH101" i="9"/>
  <c r="AH79" i="3"/>
  <c r="AI101" i="9"/>
  <c r="AI79" i="3"/>
  <c r="AJ101" i="9"/>
  <c r="AJ79" i="3"/>
  <c r="AK101" i="9"/>
  <c r="B79" i="3"/>
  <c r="B78" i="3"/>
  <c r="B88" i="1"/>
  <c r="B75" i="3"/>
  <c r="B74" i="3"/>
  <c r="B73" i="3"/>
  <c r="B71" i="3"/>
  <c r="B130" i="3"/>
  <c r="B129" i="3"/>
  <c r="B70" i="3"/>
  <c r="B126" i="3"/>
  <c r="B125" i="3"/>
  <c r="B69" i="3"/>
  <c r="B68" i="3"/>
  <c r="B122" i="3"/>
  <c r="B121" i="3"/>
  <c r="B66" i="3"/>
  <c r="B65" i="3"/>
  <c r="B64" i="3"/>
  <c r="B63" i="3"/>
  <c r="B62" i="3"/>
  <c r="B61" i="3"/>
  <c r="B59" i="3"/>
  <c r="C67" i="9"/>
  <c r="B58" i="3"/>
  <c r="B57" i="3"/>
  <c r="B56" i="3"/>
  <c r="B55" i="3"/>
  <c r="B54" i="3"/>
  <c r="B53" i="3"/>
  <c r="B52" i="3"/>
  <c r="C62" i="9"/>
  <c r="B51" i="3"/>
  <c r="B50" i="3"/>
  <c r="B49" i="3"/>
  <c r="B134" i="3"/>
  <c r="B133" i="3"/>
  <c r="B48" i="3"/>
  <c r="B114" i="3"/>
  <c r="B113" i="3"/>
  <c r="B47" i="3"/>
  <c r="B110" i="3"/>
  <c r="B109" i="3"/>
  <c r="B46" i="3"/>
  <c r="B45" i="3"/>
  <c r="B106" i="3"/>
  <c r="B105" i="3"/>
  <c r="B44" i="3"/>
  <c r="B102" i="3"/>
  <c r="B101" i="3"/>
  <c r="B43" i="3"/>
  <c r="B98" i="3"/>
  <c r="B97" i="3"/>
  <c r="B42" i="3"/>
  <c r="B94" i="3"/>
  <c r="B93" i="3"/>
  <c r="B41" i="3"/>
  <c r="B40" i="3"/>
  <c r="B39" i="3"/>
  <c r="B90" i="3"/>
  <c r="B38" i="3"/>
  <c r="B37" i="3"/>
  <c r="B36" i="3"/>
  <c r="B35" i="3"/>
  <c r="B34" i="3"/>
  <c r="B33" i="3"/>
  <c r="B32" i="3"/>
  <c r="B31" i="3"/>
  <c r="B30" i="3"/>
  <c r="B29" i="3"/>
  <c r="B28" i="3"/>
  <c r="B27" i="3"/>
  <c r="B26" i="3"/>
  <c r="B25" i="3"/>
  <c r="B23" i="3"/>
  <c r="B22" i="3"/>
  <c r="B21" i="3"/>
  <c r="B20" i="3"/>
  <c r="B19" i="3"/>
  <c r="B18" i="3"/>
  <c r="B17" i="3"/>
  <c r="B16" i="3"/>
  <c r="B15" i="3"/>
  <c r="B14" i="3"/>
  <c r="B13" i="3"/>
  <c r="B12" i="3"/>
  <c r="B11" i="3"/>
  <c r="B10" i="3"/>
  <c r="B9" i="3"/>
  <c r="B8" i="3"/>
  <c r="B7" i="3"/>
  <c r="B6" i="3"/>
  <c r="B5" i="3"/>
  <c r="B4" i="3"/>
  <c r="B3" i="3"/>
  <c r="C6"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C8"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C50" i="1"/>
  <c r="D50" i="1"/>
  <c r="E50" i="1"/>
  <c r="F50"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C51" i="1"/>
  <c r="D51"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C52" i="1"/>
  <c r="D52"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C53" i="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AH79" i="1"/>
  <c r="AI79" i="1"/>
  <c r="AJ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AH80" i="1"/>
  <c r="AI80" i="1"/>
  <c r="AJ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AH81" i="1"/>
  <c r="AI81" i="1"/>
  <c r="AJ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AI82" i="1"/>
  <c r="AJ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AH83" i="1"/>
  <c r="AI83" i="1"/>
  <c r="AJ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C134" i="2"/>
  <c r="D134"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C135" i="2"/>
  <c r="D135"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C136" i="2"/>
  <c r="D136"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C137" i="2"/>
  <c r="D137"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C138" i="2"/>
  <c r="D138"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C139" i="2"/>
  <c r="D139"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C140" i="2"/>
  <c r="D140"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C141" i="2"/>
  <c r="D141"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C142" i="2"/>
  <c r="D142"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C144" i="2"/>
  <c r="D144"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B144" i="2"/>
  <c r="B142" i="2"/>
  <c r="B141" i="2"/>
  <c r="B140" i="2"/>
  <c r="B139" i="2"/>
  <c r="B138" i="2"/>
  <c r="B137" i="2"/>
  <c r="B136" i="2"/>
  <c r="B135" i="2"/>
  <c r="B134" i="2"/>
  <c r="B126" i="2"/>
  <c r="B125" i="2"/>
  <c r="B124" i="2"/>
  <c r="B123" i="2"/>
  <c r="C96" i="9"/>
  <c r="B119" i="2"/>
  <c r="B114" i="2"/>
  <c r="B83" i="1"/>
  <c r="B112" i="2"/>
  <c r="B111" i="2"/>
  <c r="B110" i="2"/>
  <c r="B109" i="2"/>
  <c r="B108" i="2"/>
  <c r="B85" i="1"/>
  <c r="B107" i="2"/>
  <c r="C82" i="9"/>
  <c r="B106" i="2"/>
  <c r="B105" i="2"/>
  <c r="C80" i="9"/>
  <c r="B103" i="2"/>
  <c r="B102" i="2"/>
  <c r="B101" i="2"/>
  <c r="B100" i="2"/>
  <c r="C74" i="9"/>
  <c r="B99" i="2"/>
  <c r="B65" i="1"/>
  <c r="B95" i="2"/>
  <c r="B93" i="2"/>
  <c r="B92" i="2"/>
  <c r="B91" i="2"/>
  <c r="B90" i="2"/>
  <c r="B89" i="2"/>
  <c r="B88" i="2"/>
  <c r="B87" i="2"/>
  <c r="B86" i="2"/>
  <c r="B85" i="2"/>
  <c r="B84" i="2"/>
  <c r="B83" i="2"/>
  <c r="B82" i="2"/>
  <c r="B81" i="2"/>
  <c r="B80" i="2"/>
  <c r="B79" i="2"/>
  <c r="C65" i="9"/>
  <c r="B78" i="2"/>
  <c r="C64" i="9"/>
  <c r="B77" i="2"/>
  <c r="B76" i="2"/>
  <c r="B75" i="2"/>
  <c r="B74" i="2"/>
  <c r="B73" i="2"/>
  <c r="C59" i="9"/>
  <c r="B72" i="2"/>
  <c r="B71" i="2"/>
  <c r="B70" i="2"/>
  <c r="B69" i="2"/>
  <c r="B68" i="2"/>
  <c r="B66" i="2"/>
  <c r="B65" i="2"/>
  <c r="B64" i="2"/>
  <c r="B63" i="2"/>
  <c r="C51" i="9"/>
  <c r="B62" i="2"/>
  <c r="B61" i="2"/>
  <c r="B60" i="2"/>
  <c r="B59" i="2"/>
  <c r="B58" i="2"/>
  <c r="B57" i="2"/>
  <c r="B56" i="2"/>
  <c r="C50" i="9"/>
  <c r="B55" i="2"/>
  <c r="B54" i="2"/>
  <c r="B53" i="2"/>
  <c r="B52" i="2"/>
  <c r="B51" i="2"/>
  <c r="B50" i="2"/>
  <c r="B49" i="2"/>
  <c r="B48" i="2"/>
  <c r="B47" i="2"/>
  <c r="B46" i="2"/>
  <c r="B45" i="2"/>
  <c r="B44" i="2"/>
  <c r="B43" i="2"/>
  <c r="C45" i="9"/>
  <c r="B42" i="2"/>
  <c r="B41" i="2"/>
  <c r="C43" i="9"/>
  <c r="B40" i="2"/>
  <c r="B39" i="2"/>
  <c r="B38" i="2"/>
  <c r="B37" i="2"/>
  <c r="B36" i="2"/>
  <c r="B35" i="2"/>
  <c r="B34" i="2"/>
  <c r="B33" i="2"/>
  <c r="B32" i="2"/>
  <c r="B31" i="2"/>
  <c r="B30" i="2"/>
  <c r="B29" i="2"/>
  <c r="C32" i="9"/>
  <c r="B28" i="2"/>
  <c r="B27" i="2"/>
  <c r="B25" i="2"/>
  <c r="B24" i="2"/>
  <c r="B23" i="2"/>
  <c r="B22" i="2"/>
  <c r="B21" i="2"/>
  <c r="B20" i="2"/>
  <c r="C26" i="9"/>
  <c r="B19" i="2"/>
  <c r="C25" i="9"/>
  <c r="B18" i="2"/>
  <c r="C24" i="9"/>
  <c r="B17" i="2"/>
  <c r="B16" i="2"/>
  <c r="B15" i="2"/>
  <c r="B14" i="2"/>
  <c r="B13" i="2"/>
  <c r="B12" i="2"/>
  <c r="B11" i="2"/>
  <c r="B10" i="2"/>
  <c r="B9" i="2"/>
  <c r="B8" i="2"/>
  <c r="B7" i="2"/>
  <c r="B5" i="2"/>
  <c r="C7" i="9"/>
  <c r="B4" i="2"/>
  <c r="B3" i="2"/>
  <c r="C20" i="9"/>
  <c r="C34" i="9"/>
  <c r="C41" i="9"/>
  <c r="C92" i="9"/>
  <c r="C105" i="9"/>
  <c r="D149" i="11"/>
  <c r="C48" i="9"/>
  <c r="C83" i="9"/>
  <c r="C60" i="9"/>
  <c r="C66" i="9"/>
  <c r="C81" i="9"/>
  <c r="C75" i="9"/>
  <c r="C101" i="9"/>
  <c r="C73" i="9"/>
  <c r="C49" i="9"/>
  <c r="C78" i="9"/>
  <c r="C37" i="9"/>
  <c r="C42" i="9"/>
  <c r="C6" i="9"/>
  <c r="C15" i="9"/>
  <c r="B17" i="1"/>
  <c r="C19" i="9"/>
  <c r="AG88" i="1"/>
  <c r="AH93" i="9"/>
  <c r="AC88" i="1"/>
  <c r="AD93" i="9"/>
  <c r="AH72" i="1"/>
  <c r="AI77" i="9"/>
  <c r="AD72" i="1"/>
  <c r="AE77" i="9"/>
  <c r="AI115" i="9"/>
  <c r="AI72" i="9"/>
  <c r="AE115" i="9"/>
  <c r="AE72" i="9"/>
  <c r="AJ58" i="1"/>
  <c r="AK62" i="9"/>
  <c r="AK61" i="9"/>
  <c r="AF58" i="1"/>
  <c r="AG62" i="9"/>
  <c r="AG61" i="9"/>
  <c r="AB58" i="1"/>
  <c r="AC62" i="9"/>
  <c r="AC61" i="9"/>
  <c r="AJ34" i="1"/>
  <c r="AK38" i="9"/>
  <c r="AF34" i="1"/>
  <c r="AG38" i="9"/>
  <c r="AB34" i="1"/>
  <c r="AC38" i="9"/>
  <c r="B72" i="1"/>
  <c r="C77" i="9"/>
  <c r="AJ88" i="1"/>
  <c r="AK93" i="9"/>
  <c r="AF88" i="1"/>
  <c r="AG93" i="9"/>
  <c r="AB88" i="1"/>
  <c r="AC93" i="9"/>
  <c r="AG72" i="1"/>
  <c r="AH77" i="9"/>
  <c r="AC72" i="1"/>
  <c r="AD77" i="9"/>
  <c r="AH115" i="9"/>
  <c r="AH72" i="9"/>
  <c r="AD115" i="9"/>
  <c r="AD72" i="9"/>
  <c r="AI58" i="1"/>
  <c r="AJ62" i="9"/>
  <c r="AJ61" i="9"/>
  <c r="AE58" i="1"/>
  <c r="AF62" i="9"/>
  <c r="AF61" i="9"/>
  <c r="AA58" i="1"/>
  <c r="AB62" i="9"/>
  <c r="AB61" i="9"/>
  <c r="AI34" i="1"/>
  <c r="AJ38" i="9"/>
  <c r="AE34" i="1"/>
  <c r="AF38" i="9"/>
  <c r="AA34" i="1"/>
  <c r="AB38" i="9"/>
  <c r="C5" i="9"/>
  <c r="C31" i="9"/>
  <c r="C107" i="9"/>
  <c r="B15" i="1"/>
  <c r="C17" i="9"/>
  <c r="B19" i="1"/>
  <c r="C21" i="9"/>
  <c r="AI88" i="1"/>
  <c r="AJ93" i="9"/>
  <c r="AE88" i="1"/>
  <c r="AF93" i="9"/>
  <c r="AA88" i="1"/>
  <c r="AB93" i="9"/>
  <c r="AJ72" i="1"/>
  <c r="AK77" i="9"/>
  <c r="AF72" i="1"/>
  <c r="AG77" i="9"/>
  <c r="AB72" i="1"/>
  <c r="AC77" i="9"/>
  <c r="AK115" i="9"/>
  <c r="AK72" i="9"/>
  <c r="AG115" i="9"/>
  <c r="AG72" i="9"/>
  <c r="AC115" i="9"/>
  <c r="AC72" i="9"/>
  <c r="AH58" i="1"/>
  <c r="AI62" i="9"/>
  <c r="AI61" i="9"/>
  <c r="AD58" i="1"/>
  <c r="AE62" i="9"/>
  <c r="AE61" i="9"/>
  <c r="AH34" i="1"/>
  <c r="AI38" i="9"/>
  <c r="AD34" i="1"/>
  <c r="AE38" i="9"/>
  <c r="C29" i="9"/>
  <c r="C33" i="9"/>
  <c r="C40" i="9"/>
  <c r="B21" i="1"/>
  <c r="C23" i="9"/>
  <c r="B26" i="1"/>
  <c r="C28" i="9"/>
  <c r="B34" i="1"/>
  <c r="C38" i="9"/>
  <c r="AH88" i="1"/>
  <c r="AI93" i="9"/>
  <c r="AD88" i="1"/>
  <c r="AE93" i="9"/>
  <c r="AI72" i="1"/>
  <c r="AJ77" i="9"/>
  <c r="AE72" i="1"/>
  <c r="AF77" i="9"/>
  <c r="AA72" i="1"/>
  <c r="AB77" i="9"/>
  <c r="AJ115" i="9"/>
  <c r="AJ72" i="9"/>
  <c r="AF72" i="9"/>
  <c r="AF115" i="9"/>
  <c r="AB115" i="9"/>
  <c r="AB72" i="9"/>
  <c r="AG58" i="1"/>
  <c r="AH62" i="9"/>
  <c r="AH61" i="9"/>
  <c r="AC58" i="1"/>
  <c r="AD62" i="9"/>
  <c r="AD61" i="9"/>
  <c r="AG34" i="1"/>
  <c r="AH38" i="9"/>
  <c r="AC34" i="1"/>
  <c r="AD38" i="9"/>
  <c r="C63" i="9"/>
  <c r="B8" i="1"/>
  <c r="C10" i="9"/>
  <c r="B12" i="1"/>
  <c r="C14" i="9"/>
  <c r="B20" i="1"/>
  <c r="C22" i="9"/>
  <c r="B40" i="1"/>
  <c r="C44" i="9"/>
  <c r="B53" i="1"/>
  <c r="C57" i="9"/>
  <c r="B57" i="1"/>
  <c r="C61" i="9"/>
  <c r="B71" i="1"/>
  <c r="C76" i="9"/>
  <c r="B80" i="1"/>
  <c r="C85" i="9"/>
  <c r="B84" i="1"/>
  <c r="C89" i="9"/>
  <c r="B93" i="1"/>
  <c r="C103" i="9"/>
  <c r="B50" i="1"/>
  <c r="C54" i="9"/>
  <c r="B54" i="1"/>
  <c r="C58" i="9"/>
  <c r="B81" i="1"/>
  <c r="C86" i="9"/>
  <c r="B6" i="1"/>
  <c r="C8" i="9"/>
  <c r="B10" i="1"/>
  <c r="C12" i="9"/>
  <c r="C16" i="9"/>
  <c r="C18" i="9"/>
  <c r="B48" i="1"/>
  <c r="C52" i="9"/>
  <c r="B51" i="1"/>
  <c r="C55" i="9"/>
  <c r="B82" i="1"/>
  <c r="C87" i="9"/>
  <c r="B9" i="1"/>
  <c r="C11" i="9"/>
  <c r="B7" i="1"/>
  <c r="C9" i="9"/>
  <c r="B11" i="1"/>
  <c r="C13" i="9"/>
  <c r="B25" i="1"/>
  <c r="C27" i="9"/>
  <c r="B35" i="1"/>
  <c r="C39" i="9"/>
  <c r="B42" i="1"/>
  <c r="C46" i="9"/>
  <c r="B43" i="1"/>
  <c r="C47" i="9"/>
  <c r="B52" i="1"/>
  <c r="C56" i="9"/>
  <c r="B64" i="1"/>
  <c r="C68" i="9"/>
  <c r="B79" i="1"/>
  <c r="C84" i="9"/>
  <c r="AI72" i="3"/>
  <c r="AE72" i="3"/>
  <c r="AA72" i="3"/>
  <c r="AH72" i="3"/>
  <c r="AD72" i="3"/>
  <c r="AG72" i="3"/>
  <c r="AC72" i="3"/>
  <c r="AF72" i="3"/>
  <c r="AB72" i="3"/>
  <c r="B118" i="3"/>
  <c r="B117" i="3"/>
  <c r="B58" i="1"/>
  <c r="B46" i="1"/>
  <c r="B55" i="1"/>
  <c r="AC81" i="3"/>
  <c r="Q81" i="3"/>
  <c r="M81" i="3"/>
  <c r="AJ81" i="3"/>
  <c r="AF81" i="3"/>
  <c r="AB81" i="3"/>
  <c r="X81" i="3"/>
  <c r="T81" i="3"/>
  <c r="P81" i="3"/>
  <c r="L81" i="3"/>
  <c r="H81" i="3"/>
  <c r="D81" i="3"/>
  <c r="AG81" i="3"/>
  <c r="U81" i="3"/>
  <c r="E81" i="3"/>
  <c r="AI81" i="3"/>
  <c r="AE81" i="3"/>
  <c r="AA81" i="3"/>
  <c r="W81" i="3"/>
  <c r="S81" i="3"/>
  <c r="O81" i="3"/>
  <c r="K81" i="3"/>
  <c r="G81" i="3"/>
  <c r="C81" i="3"/>
  <c r="Y81" i="3"/>
  <c r="I81" i="3"/>
  <c r="B81" i="3"/>
  <c r="AH81" i="3"/>
  <c r="AD81" i="3"/>
  <c r="Z81" i="3"/>
  <c r="V81" i="3"/>
  <c r="R81" i="3"/>
  <c r="N81" i="3"/>
  <c r="J81" i="3"/>
  <c r="F81" i="3"/>
  <c r="AI104" i="1"/>
  <c r="AE104" i="1"/>
  <c r="AA104" i="1"/>
  <c r="W104" i="1"/>
  <c r="S104" i="1"/>
  <c r="O104" i="1"/>
  <c r="K104" i="1"/>
  <c r="G104" i="1"/>
  <c r="C104" i="1"/>
  <c r="AI59" i="1"/>
  <c r="AE59" i="1"/>
  <c r="AA59" i="1"/>
  <c r="W59" i="1"/>
  <c r="S59" i="1"/>
  <c r="O59" i="1"/>
  <c r="K59" i="1"/>
  <c r="G59" i="1"/>
  <c r="C59" i="1"/>
  <c r="AG16" i="1"/>
  <c r="AC16" i="1"/>
  <c r="Y16" i="1"/>
  <c r="U16" i="1"/>
  <c r="Q16" i="1"/>
  <c r="M16" i="1"/>
  <c r="I16" i="1"/>
  <c r="E16" i="1"/>
  <c r="AG14" i="1"/>
  <c r="AC14" i="1"/>
  <c r="Y14" i="1"/>
  <c r="U14" i="1"/>
  <c r="Q14" i="1"/>
  <c r="M14" i="1"/>
  <c r="I14" i="1"/>
  <c r="E14" i="1"/>
  <c r="AI13" i="1"/>
  <c r="AE13" i="1"/>
  <c r="AA13" i="1"/>
  <c r="W13" i="1"/>
  <c r="S13" i="1"/>
  <c r="O13" i="1"/>
  <c r="K13" i="1"/>
  <c r="G13" i="1"/>
  <c r="C13" i="1"/>
  <c r="AH104" i="1"/>
  <c r="AD104" i="1"/>
  <c r="Z104" i="1"/>
  <c r="V104" i="1"/>
  <c r="R104" i="1"/>
  <c r="N104" i="1"/>
  <c r="J104" i="1"/>
  <c r="F104" i="1"/>
  <c r="AH59" i="1"/>
  <c r="AD59" i="1"/>
  <c r="Z59" i="1"/>
  <c r="V59" i="1"/>
  <c r="R59" i="1"/>
  <c r="N59" i="1"/>
  <c r="J59" i="1"/>
  <c r="F59" i="1"/>
  <c r="AI24" i="1"/>
  <c r="AE24" i="1"/>
  <c r="AA24" i="1"/>
  <c r="W24" i="1"/>
  <c r="S24" i="1"/>
  <c r="O24" i="1"/>
  <c r="K24" i="1"/>
  <c r="G24" i="1"/>
  <c r="C24" i="1"/>
  <c r="AG23" i="1"/>
  <c r="AC23" i="1"/>
  <c r="Y23" i="1"/>
  <c r="U23" i="1"/>
  <c r="Q23" i="1"/>
  <c r="M23" i="1"/>
  <c r="I23" i="1"/>
  <c r="E23" i="1"/>
  <c r="AI22" i="1"/>
  <c r="AE22" i="1"/>
  <c r="AA22" i="1"/>
  <c r="W22" i="1"/>
  <c r="S22" i="1"/>
  <c r="O22" i="1"/>
  <c r="K22" i="1"/>
  <c r="G22" i="1"/>
  <c r="C22" i="1"/>
  <c r="AG92" i="1"/>
  <c r="AC92" i="1"/>
  <c r="Y92" i="1"/>
  <c r="U92" i="1"/>
  <c r="Q92" i="1"/>
  <c r="M92" i="1"/>
  <c r="I92" i="1"/>
  <c r="E92" i="1"/>
  <c r="AI91" i="1"/>
  <c r="AE91" i="1"/>
  <c r="AA91" i="1"/>
  <c r="W91" i="1"/>
  <c r="S91" i="1"/>
  <c r="O91" i="1"/>
  <c r="K91" i="1"/>
  <c r="G91" i="1"/>
  <c r="C91" i="1"/>
  <c r="AI87" i="1"/>
  <c r="AE87" i="1"/>
  <c r="AA87" i="1"/>
  <c r="W87" i="1"/>
  <c r="S87" i="1"/>
  <c r="O87" i="1"/>
  <c r="K87" i="1"/>
  <c r="G87" i="1"/>
  <c r="C87" i="1"/>
  <c r="AG78" i="1"/>
  <c r="AC78" i="1"/>
  <c r="Y78" i="1"/>
  <c r="U78" i="1"/>
  <c r="Q78" i="1"/>
  <c r="M78" i="1"/>
  <c r="I78" i="1"/>
  <c r="E78" i="1"/>
  <c r="AI77" i="1"/>
  <c r="AE77" i="1"/>
  <c r="AA77" i="1"/>
  <c r="W77" i="1"/>
  <c r="S77" i="1"/>
  <c r="O77" i="1"/>
  <c r="K77" i="1"/>
  <c r="G77" i="1"/>
  <c r="C77" i="1"/>
  <c r="AG76" i="1"/>
  <c r="AC76" i="1"/>
  <c r="Y76" i="1"/>
  <c r="U76" i="1"/>
  <c r="Q76" i="1"/>
  <c r="M76" i="1"/>
  <c r="I76" i="1"/>
  <c r="E76" i="1"/>
  <c r="AI75" i="1"/>
  <c r="AE75" i="1"/>
  <c r="AA75" i="1"/>
  <c r="W75" i="1"/>
  <c r="S75" i="1"/>
  <c r="O75" i="1"/>
  <c r="K75" i="1"/>
  <c r="G75" i="1"/>
  <c r="C75" i="1"/>
  <c r="AI73" i="1"/>
  <c r="AE73" i="1"/>
  <c r="AA73" i="1"/>
  <c r="W73" i="1"/>
  <c r="S73" i="1"/>
  <c r="O73" i="1"/>
  <c r="K73" i="1"/>
  <c r="G73" i="1"/>
  <c r="C73" i="1"/>
  <c r="AI70" i="1"/>
  <c r="AE70" i="1"/>
  <c r="AA70" i="1"/>
  <c r="W70" i="1"/>
  <c r="S70" i="1"/>
  <c r="O70" i="1"/>
  <c r="K70" i="1"/>
  <c r="G70" i="1"/>
  <c r="C70" i="1"/>
  <c r="AI68" i="1"/>
  <c r="AE68" i="1"/>
  <c r="AA68" i="1"/>
  <c r="W68" i="1"/>
  <c r="S68" i="1"/>
  <c r="O68" i="1"/>
  <c r="K68" i="1"/>
  <c r="G68" i="1"/>
  <c r="C68" i="1"/>
  <c r="AG67" i="1"/>
  <c r="AC67" i="1"/>
  <c r="Y67" i="1"/>
  <c r="U67" i="1"/>
  <c r="Q67" i="1"/>
  <c r="M67" i="1"/>
  <c r="I67" i="1"/>
  <c r="E67" i="1"/>
  <c r="AI66" i="1"/>
  <c r="AE66" i="1"/>
  <c r="AA66" i="1"/>
  <c r="W66" i="1"/>
  <c r="S66" i="1"/>
  <c r="O66" i="1"/>
  <c r="K66" i="1"/>
  <c r="G66" i="1"/>
  <c r="C66" i="1"/>
  <c r="AI61" i="1"/>
  <c r="AG104" i="1"/>
  <c r="AC104" i="1"/>
  <c r="Y104" i="1"/>
  <c r="U104" i="1"/>
  <c r="Q104" i="1"/>
  <c r="M104" i="1"/>
  <c r="I104" i="1"/>
  <c r="E104" i="1"/>
  <c r="AG59" i="1"/>
  <c r="AC59" i="1"/>
  <c r="Y59" i="1"/>
  <c r="U59" i="1"/>
  <c r="Q59" i="1"/>
  <c r="M59" i="1"/>
  <c r="I59" i="1"/>
  <c r="E59" i="1"/>
  <c r="B128" i="2"/>
  <c r="AJ104" i="1"/>
  <c r="AF104" i="1"/>
  <c r="AB104" i="1"/>
  <c r="X104" i="1"/>
  <c r="T104" i="1"/>
  <c r="P104" i="1"/>
  <c r="L104" i="1"/>
  <c r="H104" i="1"/>
  <c r="D104" i="1"/>
  <c r="AJ59" i="1"/>
  <c r="AF59" i="1"/>
  <c r="AB59" i="1"/>
  <c r="X59" i="1"/>
  <c r="T59" i="1"/>
  <c r="P59" i="1"/>
  <c r="L59" i="1"/>
  <c r="H59" i="1"/>
  <c r="D59" i="1"/>
  <c r="AE61" i="1"/>
  <c r="AA61" i="1"/>
  <c r="W61" i="1"/>
  <c r="S61" i="1"/>
  <c r="O61" i="1"/>
  <c r="K61" i="1"/>
  <c r="G61" i="1"/>
  <c r="C61" i="1"/>
  <c r="AG60" i="1"/>
  <c r="AC60" i="1"/>
  <c r="Y60" i="1"/>
  <c r="U60" i="1"/>
  <c r="Q60" i="1"/>
  <c r="M60" i="1"/>
  <c r="I60" i="1"/>
  <c r="E60" i="1"/>
  <c r="AI57" i="1"/>
  <c r="AE57" i="1"/>
  <c r="AA57" i="1"/>
  <c r="W57" i="1"/>
  <c r="S57" i="1"/>
  <c r="O57" i="1"/>
  <c r="K57" i="1"/>
  <c r="G57" i="1"/>
  <c r="C57" i="1"/>
  <c r="AI47" i="1"/>
  <c r="AE47" i="1"/>
  <c r="AA47" i="1"/>
  <c r="W47" i="1"/>
  <c r="S47" i="1"/>
  <c r="O47" i="1"/>
  <c r="K47" i="1"/>
  <c r="G47" i="1"/>
  <c r="C47" i="1"/>
  <c r="AI46" i="1"/>
  <c r="AE46" i="1"/>
  <c r="AA46" i="1"/>
  <c r="W46" i="1"/>
  <c r="S46" i="1"/>
  <c r="O46" i="1"/>
  <c r="K46" i="1"/>
  <c r="G46" i="1"/>
  <c r="C46" i="1"/>
  <c r="AG45" i="1"/>
  <c r="AC45" i="1"/>
  <c r="Y45" i="1"/>
  <c r="U45" i="1"/>
  <c r="Q45" i="1"/>
  <c r="M45" i="1"/>
  <c r="I45" i="1"/>
  <c r="E45" i="1"/>
  <c r="AI44" i="1"/>
  <c r="AE44" i="1"/>
  <c r="AA44" i="1"/>
  <c r="W44" i="1"/>
  <c r="S44" i="1"/>
  <c r="O44" i="1"/>
  <c r="K44" i="1"/>
  <c r="G44" i="1"/>
  <c r="C44" i="1"/>
  <c r="AI39" i="1"/>
  <c r="AE39" i="1"/>
  <c r="AA39" i="1"/>
  <c r="W39" i="1"/>
  <c r="S39" i="1"/>
  <c r="O39" i="1"/>
  <c r="K39" i="1"/>
  <c r="G39" i="1"/>
  <c r="C39" i="1"/>
  <c r="AG38" i="1"/>
  <c r="AC38" i="1"/>
  <c r="Y38" i="1"/>
  <c r="U38" i="1"/>
  <c r="Q38" i="1"/>
  <c r="M38" i="1"/>
  <c r="I38" i="1"/>
  <c r="E38" i="1"/>
  <c r="AI37" i="1"/>
  <c r="AE37" i="1"/>
  <c r="AA37" i="1"/>
  <c r="W37" i="1"/>
  <c r="S37" i="1"/>
  <c r="O37" i="1"/>
  <c r="K37" i="1"/>
  <c r="G37" i="1"/>
  <c r="C37" i="1"/>
  <c r="AG33" i="1"/>
  <c r="AC33" i="1"/>
  <c r="Y33" i="1"/>
  <c r="U33" i="1"/>
  <c r="Q33" i="1"/>
  <c r="M33" i="1"/>
  <c r="I33" i="1"/>
  <c r="E33" i="1"/>
  <c r="AI32" i="1"/>
  <c r="AE32" i="1"/>
  <c r="AA32" i="1"/>
  <c r="W32" i="1"/>
  <c r="S32" i="1"/>
  <c r="O32" i="1"/>
  <c r="K32" i="1"/>
  <c r="G32" i="1"/>
  <c r="C32" i="1"/>
  <c r="AG31" i="1"/>
  <c r="AC31" i="1"/>
  <c r="Y31" i="1"/>
  <c r="U31" i="1"/>
  <c r="Q31" i="1"/>
  <c r="M31" i="1"/>
  <c r="I31" i="1"/>
  <c r="E31" i="1"/>
  <c r="AI30" i="1"/>
  <c r="AE30" i="1"/>
  <c r="AA30" i="1"/>
  <c r="W30" i="1"/>
  <c r="S30" i="1"/>
  <c r="O30" i="1"/>
  <c r="K30" i="1"/>
  <c r="G30" i="1"/>
  <c r="C30" i="1"/>
  <c r="AI94" i="1"/>
  <c r="AI29" i="1"/>
  <c r="AE94" i="1"/>
  <c r="AE29" i="1"/>
  <c r="AA94" i="1"/>
  <c r="AA29" i="1"/>
  <c r="W94" i="1"/>
  <c r="W29" i="1"/>
  <c r="S94" i="1"/>
  <c r="S29" i="1"/>
  <c r="O94" i="1"/>
  <c r="O29" i="1"/>
  <c r="K94" i="1"/>
  <c r="K29" i="1"/>
  <c r="G94" i="1"/>
  <c r="G29" i="1"/>
  <c r="C94" i="1"/>
  <c r="C29" i="1"/>
  <c r="AG27" i="1"/>
  <c r="AC27" i="1"/>
  <c r="Y27" i="1"/>
  <c r="U27" i="1"/>
  <c r="Q27" i="1"/>
  <c r="M27" i="1"/>
  <c r="I27" i="1"/>
  <c r="E27" i="1"/>
  <c r="AG18" i="1"/>
  <c r="AC18" i="1"/>
  <c r="Y18" i="1"/>
  <c r="U18" i="1"/>
  <c r="Q18" i="1"/>
  <c r="M18" i="1"/>
  <c r="I18" i="1"/>
  <c r="E18" i="1"/>
  <c r="AG5" i="1"/>
  <c r="AC5" i="1"/>
  <c r="Y5" i="1"/>
  <c r="U5" i="1"/>
  <c r="Q5" i="1"/>
  <c r="M5" i="1"/>
  <c r="I5" i="1"/>
  <c r="E5" i="1"/>
  <c r="AI4" i="1"/>
  <c r="AE4" i="1"/>
  <c r="AA4" i="1"/>
  <c r="W4" i="1"/>
  <c r="S4" i="1"/>
  <c r="O4" i="1"/>
  <c r="K4" i="1"/>
  <c r="G4" i="1"/>
  <c r="C4" i="1"/>
  <c r="AG3" i="1"/>
  <c r="AC3" i="1"/>
  <c r="Y3" i="1"/>
  <c r="U3" i="1"/>
  <c r="Q3" i="1"/>
  <c r="M3" i="1"/>
  <c r="I3" i="1"/>
  <c r="E3" i="1"/>
  <c r="AJ92" i="1"/>
  <c r="AF92" i="1"/>
  <c r="AB92" i="1"/>
  <c r="X92" i="1"/>
  <c r="T92" i="1"/>
  <c r="P92" i="1"/>
  <c r="L92" i="1"/>
  <c r="H92" i="1"/>
  <c r="D92" i="1"/>
  <c r="AH91" i="1"/>
  <c r="AD91" i="1"/>
  <c r="Z91" i="1"/>
  <c r="V91" i="1"/>
  <c r="R91" i="1"/>
  <c r="N91" i="1"/>
  <c r="J91" i="1"/>
  <c r="F91" i="1"/>
  <c r="AH87" i="1"/>
  <c r="AD87" i="1"/>
  <c r="Z87" i="1"/>
  <c r="V87" i="1"/>
  <c r="R87" i="1"/>
  <c r="N87" i="1"/>
  <c r="J87" i="1"/>
  <c r="F87" i="1"/>
  <c r="AJ78" i="1"/>
  <c r="AF78" i="1"/>
  <c r="AB78" i="1"/>
  <c r="X78" i="1"/>
  <c r="T78" i="1"/>
  <c r="P78" i="1"/>
  <c r="L78" i="1"/>
  <c r="H78" i="1"/>
  <c r="D78" i="1"/>
  <c r="AH77" i="1"/>
  <c r="AD77" i="1"/>
  <c r="Z77" i="1"/>
  <c r="V77" i="1"/>
  <c r="R77" i="1"/>
  <c r="N77" i="1"/>
  <c r="J77" i="1"/>
  <c r="F77" i="1"/>
  <c r="AJ76" i="1"/>
  <c r="AF76" i="1"/>
  <c r="AB76" i="1"/>
  <c r="X76" i="1"/>
  <c r="T76" i="1"/>
  <c r="P76" i="1"/>
  <c r="L76" i="1"/>
  <c r="H76" i="1"/>
  <c r="D76" i="1"/>
  <c r="AH75" i="1"/>
  <c r="AD75" i="1"/>
  <c r="Z75" i="1"/>
  <c r="V75" i="1"/>
  <c r="R75" i="1"/>
  <c r="N75" i="1"/>
  <c r="J75" i="1"/>
  <c r="F75" i="1"/>
  <c r="AH73" i="1"/>
  <c r="AD73" i="1"/>
  <c r="Z73" i="1"/>
  <c r="V73" i="1"/>
  <c r="R73" i="1"/>
  <c r="N73" i="1"/>
  <c r="J73" i="1"/>
  <c r="F73" i="1"/>
  <c r="AH70" i="1"/>
  <c r="AD70" i="1"/>
  <c r="Z70" i="1"/>
  <c r="V70" i="1"/>
  <c r="R70" i="1"/>
  <c r="N70" i="1"/>
  <c r="J70" i="1"/>
  <c r="F70" i="1"/>
  <c r="AH68" i="1"/>
  <c r="AD68" i="1"/>
  <c r="Z68" i="1"/>
  <c r="V68" i="1"/>
  <c r="R68" i="1"/>
  <c r="N68" i="1"/>
  <c r="J68" i="1"/>
  <c r="F68" i="1"/>
  <c r="AJ67" i="1"/>
  <c r="AF67" i="1"/>
  <c r="AB67" i="1"/>
  <c r="X67" i="1"/>
  <c r="T67" i="1"/>
  <c r="P67" i="1"/>
  <c r="L67" i="1"/>
  <c r="H67" i="1"/>
  <c r="D67" i="1"/>
  <c r="AH66" i="1"/>
  <c r="AD66" i="1"/>
  <c r="Z66" i="1"/>
  <c r="V66" i="1"/>
  <c r="R66" i="1"/>
  <c r="N66" i="1"/>
  <c r="J66" i="1"/>
  <c r="F66" i="1"/>
  <c r="AH61" i="1"/>
  <c r="AD61" i="1"/>
  <c r="Z61" i="1"/>
  <c r="V61" i="1"/>
  <c r="R61" i="1"/>
  <c r="N61" i="1"/>
  <c r="J61" i="1"/>
  <c r="F61" i="1"/>
  <c r="AJ60" i="1"/>
  <c r="AF60" i="1"/>
  <c r="AB60" i="1"/>
  <c r="X60" i="1"/>
  <c r="T60" i="1"/>
  <c r="P60" i="1"/>
  <c r="L60" i="1"/>
  <c r="H60" i="1"/>
  <c r="D60" i="1"/>
  <c r="AH57" i="1"/>
  <c r="AD57" i="1"/>
  <c r="Z57" i="1"/>
  <c r="V57" i="1"/>
  <c r="R57" i="1"/>
  <c r="N57" i="1"/>
  <c r="J57" i="1"/>
  <c r="F57" i="1"/>
  <c r="AH47" i="1"/>
  <c r="AD47" i="1"/>
  <c r="Z47" i="1"/>
  <c r="V47" i="1"/>
  <c r="R47" i="1"/>
  <c r="N47" i="1"/>
  <c r="J47" i="1"/>
  <c r="F47" i="1"/>
  <c r="AH46" i="1"/>
  <c r="AD46" i="1"/>
  <c r="Z46" i="1"/>
  <c r="V46" i="1"/>
  <c r="R46" i="1"/>
  <c r="N46" i="1"/>
  <c r="J46" i="1"/>
  <c r="F46" i="1"/>
  <c r="AI92" i="1"/>
  <c r="AE92" i="1"/>
  <c r="AA92" i="1"/>
  <c r="W92" i="1"/>
  <c r="S92" i="1"/>
  <c r="O92" i="1"/>
  <c r="K92" i="1"/>
  <c r="G92" i="1"/>
  <c r="C92" i="1"/>
  <c r="AG91" i="1"/>
  <c r="AC91" i="1"/>
  <c r="Y91" i="1"/>
  <c r="U91" i="1"/>
  <c r="Q91" i="1"/>
  <c r="M91" i="1"/>
  <c r="I91" i="1"/>
  <c r="E91" i="1"/>
  <c r="AG87" i="1"/>
  <c r="AC87" i="1"/>
  <c r="Y87" i="1"/>
  <c r="U87" i="1"/>
  <c r="Q87" i="1"/>
  <c r="M87" i="1"/>
  <c r="I87" i="1"/>
  <c r="E87" i="1"/>
  <c r="AI78" i="1"/>
  <c r="AE78" i="1"/>
  <c r="AA78" i="1"/>
  <c r="W78" i="1"/>
  <c r="S78" i="1"/>
  <c r="O78" i="1"/>
  <c r="K78" i="1"/>
  <c r="G78" i="1"/>
  <c r="C78" i="1"/>
  <c r="AG77" i="1"/>
  <c r="AC77" i="1"/>
  <c r="Y77" i="1"/>
  <c r="U77" i="1"/>
  <c r="Q77" i="1"/>
  <c r="M77" i="1"/>
  <c r="I77" i="1"/>
  <c r="E77" i="1"/>
  <c r="AI76" i="1"/>
  <c r="AE76" i="1"/>
  <c r="AA76" i="1"/>
  <c r="W76" i="1"/>
  <c r="S76" i="1"/>
  <c r="O76" i="1"/>
  <c r="K76" i="1"/>
  <c r="G76" i="1"/>
  <c r="C76" i="1"/>
  <c r="AG75" i="1"/>
  <c r="AC75" i="1"/>
  <c r="Y75" i="1"/>
  <c r="U75" i="1"/>
  <c r="Q75" i="1"/>
  <c r="M75" i="1"/>
  <c r="I75" i="1"/>
  <c r="E75" i="1"/>
  <c r="AG73" i="1"/>
  <c r="AC73" i="1"/>
  <c r="Y73" i="1"/>
  <c r="U73" i="1"/>
  <c r="Q73" i="1"/>
  <c r="M73" i="1"/>
  <c r="I73" i="1"/>
  <c r="E73" i="1"/>
  <c r="AG70" i="1"/>
  <c r="AC70" i="1"/>
  <c r="Y70" i="1"/>
  <c r="U70" i="1"/>
  <c r="Q70" i="1"/>
  <c r="M70" i="1"/>
  <c r="I70" i="1"/>
  <c r="E70" i="1"/>
  <c r="AG68" i="1"/>
  <c r="AC68" i="1"/>
  <c r="Y68" i="1"/>
  <c r="U68" i="1"/>
  <c r="Q68" i="1"/>
  <c r="M68" i="1"/>
  <c r="I68" i="1"/>
  <c r="E68" i="1"/>
  <c r="AI67" i="1"/>
  <c r="AE67" i="1"/>
  <c r="AA67" i="1"/>
  <c r="W67" i="1"/>
  <c r="S67" i="1"/>
  <c r="O67" i="1"/>
  <c r="K67" i="1"/>
  <c r="G67" i="1"/>
  <c r="C67" i="1"/>
  <c r="AG66" i="1"/>
  <c r="AC66" i="1"/>
  <c r="Y66" i="1"/>
  <c r="U66" i="1"/>
  <c r="Q66" i="1"/>
  <c r="M66" i="1"/>
  <c r="I66" i="1"/>
  <c r="E66" i="1"/>
  <c r="AG61" i="1"/>
  <c r="AC61" i="1"/>
  <c r="Y61" i="1"/>
  <c r="U61" i="1"/>
  <c r="Q61" i="1"/>
  <c r="M61" i="1"/>
  <c r="I61" i="1"/>
  <c r="E61" i="1"/>
  <c r="AI60" i="1"/>
  <c r="AE60" i="1"/>
  <c r="AA60" i="1"/>
  <c r="W60" i="1"/>
  <c r="S60" i="1"/>
  <c r="O60" i="1"/>
  <c r="K60" i="1"/>
  <c r="G60" i="1"/>
  <c r="C60" i="1"/>
  <c r="AG57" i="1"/>
  <c r="AC57" i="1"/>
  <c r="Y57" i="1"/>
  <c r="U57" i="1"/>
  <c r="Q57" i="1"/>
  <c r="M57" i="1"/>
  <c r="I57" i="1"/>
  <c r="E57" i="1"/>
  <c r="AG47" i="1"/>
  <c r="AC47" i="1"/>
  <c r="Y47" i="1"/>
  <c r="U47" i="1"/>
  <c r="Q47" i="1"/>
  <c r="M47" i="1"/>
  <c r="I47" i="1"/>
  <c r="E47" i="1"/>
  <c r="AG46" i="1"/>
  <c r="AC46" i="1"/>
  <c r="Y46" i="1"/>
  <c r="U46" i="1"/>
  <c r="Q46" i="1"/>
  <c r="M46" i="1"/>
  <c r="I46" i="1"/>
  <c r="E46" i="1"/>
  <c r="AH92" i="1"/>
  <c r="AD92" i="1"/>
  <c r="Z92" i="1"/>
  <c r="V92" i="1"/>
  <c r="R92" i="1"/>
  <c r="N92" i="1"/>
  <c r="J92" i="1"/>
  <c r="F92" i="1"/>
  <c r="AJ91" i="1"/>
  <c r="AF91" i="1"/>
  <c r="AB91" i="1"/>
  <c r="X91" i="1"/>
  <c r="T91" i="1"/>
  <c r="P91" i="1"/>
  <c r="L91" i="1"/>
  <c r="H91" i="1"/>
  <c r="D91" i="1"/>
  <c r="AJ87" i="1"/>
  <c r="AF87" i="1"/>
  <c r="AB87" i="1"/>
  <c r="X87" i="1"/>
  <c r="T87" i="1"/>
  <c r="P87" i="1"/>
  <c r="L87" i="1"/>
  <c r="H87" i="1"/>
  <c r="D87" i="1"/>
  <c r="AH78" i="1"/>
  <c r="AD78" i="1"/>
  <c r="Z78" i="1"/>
  <c r="V78" i="1"/>
  <c r="R78" i="1"/>
  <c r="N78" i="1"/>
  <c r="J78" i="1"/>
  <c r="F78" i="1"/>
  <c r="AJ77" i="1"/>
  <c r="AF77" i="1"/>
  <c r="AB77" i="1"/>
  <c r="X77" i="1"/>
  <c r="T77" i="1"/>
  <c r="P77" i="1"/>
  <c r="L77" i="1"/>
  <c r="H77" i="1"/>
  <c r="D77" i="1"/>
  <c r="AH76" i="1"/>
  <c r="AD76" i="1"/>
  <c r="Z76" i="1"/>
  <c r="V76" i="1"/>
  <c r="R76" i="1"/>
  <c r="N76" i="1"/>
  <c r="J76" i="1"/>
  <c r="F76" i="1"/>
  <c r="AJ75" i="1"/>
  <c r="AF75" i="1"/>
  <c r="AB75" i="1"/>
  <c r="X75" i="1"/>
  <c r="T75" i="1"/>
  <c r="P75" i="1"/>
  <c r="L75" i="1"/>
  <c r="H75" i="1"/>
  <c r="D75" i="1"/>
  <c r="AJ73" i="1"/>
  <c r="AF73" i="1"/>
  <c r="AB73" i="1"/>
  <c r="X73" i="1"/>
  <c r="T73" i="1"/>
  <c r="P73" i="1"/>
  <c r="L73" i="1"/>
  <c r="H73" i="1"/>
  <c r="D73" i="1"/>
  <c r="AJ70" i="1"/>
  <c r="AF70" i="1"/>
  <c r="AB70" i="1"/>
  <c r="X70" i="1"/>
  <c r="T70" i="1"/>
  <c r="P70" i="1"/>
  <c r="L70" i="1"/>
  <c r="H70" i="1"/>
  <c r="D70" i="1"/>
  <c r="AJ68" i="1"/>
  <c r="AF68" i="1"/>
  <c r="AB68" i="1"/>
  <c r="X68" i="1"/>
  <c r="T68" i="1"/>
  <c r="P68" i="1"/>
  <c r="L68" i="1"/>
  <c r="H68" i="1"/>
  <c r="D68" i="1"/>
  <c r="AH67" i="1"/>
  <c r="AD67" i="1"/>
  <c r="Z67" i="1"/>
  <c r="V67" i="1"/>
  <c r="R67" i="1"/>
  <c r="N67" i="1"/>
  <c r="J67" i="1"/>
  <c r="F67" i="1"/>
  <c r="AJ66" i="1"/>
  <c r="AF66" i="1"/>
  <c r="AB66" i="1"/>
  <c r="X66" i="1"/>
  <c r="T66" i="1"/>
  <c r="P66" i="1"/>
  <c r="L66" i="1"/>
  <c r="H66" i="1"/>
  <c r="D66" i="1"/>
  <c r="AJ61" i="1"/>
  <c r="AF61" i="1"/>
  <c r="AB61" i="1"/>
  <c r="X61" i="1"/>
  <c r="T61" i="1"/>
  <c r="P61" i="1"/>
  <c r="L61" i="1"/>
  <c r="H61" i="1"/>
  <c r="D61" i="1"/>
  <c r="AH60" i="1"/>
  <c r="AD60" i="1"/>
  <c r="Z60" i="1"/>
  <c r="V60" i="1"/>
  <c r="R60" i="1"/>
  <c r="N60" i="1"/>
  <c r="J60" i="1"/>
  <c r="F60" i="1"/>
  <c r="AJ57" i="1"/>
  <c r="AF57" i="1"/>
  <c r="AB57" i="1"/>
  <c r="X57" i="1"/>
  <c r="T57" i="1"/>
  <c r="P57" i="1"/>
  <c r="L57" i="1"/>
  <c r="H57" i="1"/>
  <c r="D57" i="1"/>
  <c r="AJ47" i="1"/>
  <c r="AF47" i="1"/>
  <c r="AB47" i="1"/>
  <c r="X47" i="1"/>
  <c r="T47" i="1"/>
  <c r="P47" i="1"/>
  <c r="L47" i="1"/>
  <c r="H47" i="1"/>
  <c r="D47" i="1"/>
  <c r="AJ46" i="1"/>
  <c r="AF46" i="1"/>
  <c r="AB46" i="1"/>
  <c r="X46" i="1"/>
  <c r="T46" i="1"/>
  <c r="P46" i="1"/>
  <c r="L46" i="1"/>
  <c r="H46" i="1"/>
  <c r="D46" i="1"/>
  <c r="AJ45" i="1"/>
  <c r="AF45" i="1"/>
  <c r="AB45" i="1"/>
  <c r="X45" i="1"/>
  <c r="T45" i="1"/>
  <c r="P45" i="1"/>
  <c r="L45" i="1"/>
  <c r="H45" i="1"/>
  <c r="D45" i="1"/>
  <c r="AH44" i="1"/>
  <c r="AD44" i="1"/>
  <c r="Z44" i="1"/>
  <c r="V44" i="1"/>
  <c r="R44" i="1"/>
  <c r="N44" i="1"/>
  <c r="J44" i="1"/>
  <c r="F44" i="1"/>
  <c r="AH39" i="1"/>
  <c r="AD39" i="1"/>
  <c r="Z39" i="1"/>
  <c r="V39" i="1"/>
  <c r="R39" i="1"/>
  <c r="N39" i="1"/>
  <c r="J39" i="1"/>
  <c r="F39" i="1"/>
  <c r="AJ38" i="1"/>
  <c r="AF38" i="1"/>
  <c r="AB38" i="1"/>
  <c r="X38" i="1"/>
  <c r="T38" i="1"/>
  <c r="P38" i="1"/>
  <c r="L38" i="1"/>
  <c r="H38" i="1"/>
  <c r="D38" i="1"/>
  <c r="AH37" i="1"/>
  <c r="AD37" i="1"/>
  <c r="Z37" i="1"/>
  <c r="V37" i="1"/>
  <c r="R37" i="1"/>
  <c r="N37" i="1"/>
  <c r="J37" i="1"/>
  <c r="F37" i="1"/>
  <c r="AJ33" i="1"/>
  <c r="AF33" i="1"/>
  <c r="AB33" i="1"/>
  <c r="X33" i="1"/>
  <c r="T33" i="1"/>
  <c r="P33" i="1"/>
  <c r="L33" i="1"/>
  <c r="H33" i="1"/>
  <c r="D33" i="1"/>
  <c r="AH32" i="1"/>
  <c r="AD32" i="1"/>
  <c r="Z32" i="1"/>
  <c r="V32" i="1"/>
  <c r="R32" i="1"/>
  <c r="N32" i="1"/>
  <c r="J32" i="1"/>
  <c r="F32" i="1"/>
  <c r="AJ31" i="1"/>
  <c r="AF31" i="1"/>
  <c r="AB31" i="1"/>
  <c r="X31" i="1"/>
  <c r="T31" i="1"/>
  <c r="P31" i="1"/>
  <c r="L31" i="1"/>
  <c r="H31" i="1"/>
  <c r="D31" i="1"/>
  <c r="AH30" i="1"/>
  <c r="AD30" i="1"/>
  <c r="Z30" i="1"/>
  <c r="V30" i="1"/>
  <c r="R30" i="1"/>
  <c r="N30" i="1"/>
  <c r="J30" i="1"/>
  <c r="F30" i="1"/>
  <c r="AH94" i="1"/>
  <c r="AH29" i="1"/>
  <c r="AD94" i="1"/>
  <c r="AD29" i="1"/>
  <c r="Z94" i="1"/>
  <c r="Z29" i="1"/>
  <c r="V94" i="1"/>
  <c r="V29" i="1"/>
  <c r="R94" i="1"/>
  <c r="R29" i="1"/>
  <c r="N94" i="1"/>
  <c r="N29" i="1"/>
  <c r="J94" i="1"/>
  <c r="J29" i="1"/>
  <c r="F94" i="1"/>
  <c r="F29" i="1"/>
  <c r="AJ27" i="1"/>
  <c r="AF27" i="1"/>
  <c r="AB27" i="1"/>
  <c r="X27" i="1"/>
  <c r="T27" i="1"/>
  <c r="P27" i="1"/>
  <c r="L27" i="1"/>
  <c r="H27" i="1"/>
  <c r="D27" i="1"/>
  <c r="AH24" i="1"/>
  <c r="AD24" i="1"/>
  <c r="Z24" i="1"/>
  <c r="V24" i="1"/>
  <c r="R24" i="1"/>
  <c r="N24" i="1"/>
  <c r="J24" i="1"/>
  <c r="F24" i="1"/>
  <c r="AH22" i="1"/>
  <c r="AD22" i="1"/>
  <c r="Z22" i="1"/>
  <c r="V22" i="1"/>
  <c r="R22" i="1"/>
  <c r="N22" i="1"/>
  <c r="J22" i="1"/>
  <c r="F22" i="1"/>
  <c r="AJ18" i="1"/>
  <c r="AF18" i="1"/>
  <c r="AB18" i="1"/>
  <c r="X18" i="1"/>
  <c r="T18" i="1"/>
  <c r="P18" i="1"/>
  <c r="L18" i="1"/>
  <c r="H18" i="1"/>
  <c r="D18" i="1"/>
  <c r="AJ16" i="1"/>
  <c r="AF16" i="1"/>
  <c r="AB16" i="1"/>
  <c r="X16" i="1"/>
  <c r="T16" i="1"/>
  <c r="P16" i="1"/>
  <c r="L16" i="1"/>
  <c r="H16" i="1"/>
  <c r="D16" i="1"/>
  <c r="AJ14" i="1"/>
  <c r="AF14" i="1"/>
  <c r="AB14" i="1"/>
  <c r="X14" i="1"/>
  <c r="T14" i="1"/>
  <c r="P14" i="1"/>
  <c r="L14" i="1"/>
  <c r="H14" i="1"/>
  <c r="D14" i="1"/>
  <c r="AH13" i="1"/>
  <c r="AD13" i="1"/>
  <c r="Z13" i="1"/>
  <c r="V13" i="1"/>
  <c r="R13" i="1"/>
  <c r="N13" i="1"/>
  <c r="J13" i="1"/>
  <c r="F13" i="1"/>
  <c r="AJ5" i="1"/>
  <c r="AF5" i="1"/>
  <c r="AB5" i="1"/>
  <c r="X5" i="1"/>
  <c r="T5" i="1"/>
  <c r="P5" i="1"/>
  <c r="L5" i="1"/>
  <c r="H5" i="1"/>
  <c r="D5" i="1"/>
  <c r="AH4" i="1"/>
  <c r="AD4" i="1"/>
  <c r="Z4" i="1"/>
  <c r="V4" i="1"/>
  <c r="R4" i="1"/>
  <c r="N4" i="1"/>
  <c r="J4" i="1"/>
  <c r="F4" i="1"/>
  <c r="AI45" i="1"/>
  <c r="AE45" i="1"/>
  <c r="AA45" i="1"/>
  <c r="W45" i="1"/>
  <c r="S45" i="1"/>
  <c r="O45" i="1"/>
  <c r="K45" i="1"/>
  <c r="G45" i="1"/>
  <c r="C45" i="1"/>
  <c r="AG44" i="1"/>
  <c r="AC44" i="1"/>
  <c r="Y44" i="1"/>
  <c r="U44" i="1"/>
  <c r="Q44" i="1"/>
  <c r="M44" i="1"/>
  <c r="I44" i="1"/>
  <c r="E44" i="1"/>
  <c r="AG39" i="1"/>
  <c r="AC39" i="1"/>
  <c r="Y39" i="1"/>
  <c r="U39" i="1"/>
  <c r="Q39" i="1"/>
  <c r="M39" i="1"/>
  <c r="I39" i="1"/>
  <c r="E39" i="1"/>
  <c r="AI38" i="1"/>
  <c r="AE38" i="1"/>
  <c r="AA38" i="1"/>
  <c r="W38" i="1"/>
  <c r="S38" i="1"/>
  <c r="O38" i="1"/>
  <c r="K38" i="1"/>
  <c r="G38" i="1"/>
  <c r="C38" i="1"/>
  <c r="AG37" i="1"/>
  <c r="AC37" i="1"/>
  <c r="Y37" i="1"/>
  <c r="U37" i="1"/>
  <c r="Q37" i="1"/>
  <c r="M37" i="1"/>
  <c r="I37" i="1"/>
  <c r="E37" i="1"/>
  <c r="AI33" i="1"/>
  <c r="AE33" i="1"/>
  <c r="AA33" i="1"/>
  <c r="W33" i="1"/>
  <c r="S33" i="1"/>
  <c r="O33" i="1"/>
  <c r="K33" i="1"/>
  <c r="G33" i="1"/>
  <c r="C33" i="1"/>
  <c r="AG32" i="1"/>
  <c r="AC32" i="1"/>
  <c r="Y32" i="1"/>
  <c r="U32" i="1"/>
  <c r="Q32" i="1"/>
  <c r="M32" i="1"/>
  <c r="I32" i="1"/>
  <c r="E32" i="1"/>
  <c r="AI31" i="1"/>
  <c r="AE31" i="1"/>
  <c r="AA31" i="1"/>
  <c r="W31" i="1"/>
  <c r="S31" i="1"/>
  <c r="O31" i="1"/>
  <c r="K31" i="1"/>
  <c r="G31" i="1"/>
  <c r="C31" i="1"/>
  <c r="AG30" i="1"/>
  <c r="AC30" i="1"/>
  <c r="Y30" i="1"/>
  <c r="U30" i="1"/>
  <c r="Q30" i="1"/>
  <c r="M30" i="1"/>
  <c r="I30" i="1"/>
  <c r="E30" i="1"/>
  <c r="AG94" i="1"/>
  <c r="AG29" i="1"/>
  <c r="AC94" i="1"/>
  <c r="AC29" i="1"/>
  <c r="Y94" i="1"/>
  <c r="Y29" i="1"/>
  <c r="U94" i="1"/>
  <c r="U29" i="1"/>
  <c r="Q94" i="1"/>
  <c r="Q29" i="1"/>
  <c r="M94" i="1"/>
  <c r="M29" i="1"/>
  <c r="I94" i="1"/>
  <c r="I29" i="1"/>
  <c r="E94" i="1"/>
  <c r="E29" i="1"/>
  <c r="AI27" i="1"/>
  <c r="AE27" i="1"/>
  <c r="AA27" i="1"/>
  <c r="W27" i="1"/>
  <c r="S27" i="1"/>
  <c r="O27" i="1"/>
  <c r="K27" i="1"/>
  <c r="G27" i="1"/>
  <c r="C27" i="1"/>
  <c r="AG24" i="1"/>
  <c r="AC24" i="1"/>
  <c r="Y24" i="1"/>
  <c r="U24" i="1"/>
  <c r="Q24" i="1"/>
  <c r="M24" i="1"/>
  <c r="I24" i="1"/>
  <c r="E24" i="1"/>
  <c r="AG22" i="1"/>
  <c r="AC22" i="1"/>
  <c r="Y22" i="1"/>
  <c r="U22" i="1"/>
  <c r="Q22" i="1"/>
  <c r="M22" i="1"/>
  <c r="I22" i="1"/>
  <c r="E22" i="1"/>
  <c r="AI18" i="1"/>
  <c r="AE18" i="1"/>
  <c r="AA18" i="1"/>
  <c r="W18" i="1"/>
  <c r="S18" i="1"/>
  <c r="O18" i="1"/>
  <c r="K18" i="1"/>
  <c r="G18" i="1"/>
  <c r="C18" i="1"/>
  <c r="AI16" i="1"/>
  <c r="AE16" i="1"/>
  <c r="AA16" i="1"/>
  <c r="W16" i="1"/>
  <c r="S16" i="1"/>
  <c r="O16" i="1"/>
  <c r="K16" i="1"/>
  <c r="G16" i="1"/>
  <c r="C16" i="1"/>
  <c r="AI14" i="1"/>
  <c r="AE14" i="1"/>
  <c r="AA14" i="1"/>
  <c r="W14" i="1"/>
  <c r="S14" i="1"/>
  <c r="O14" i="1"/>
  <c r="K14" i="1"/>
  <c r="G14" i="1"/>
  <c r="C14" i="1"/>
  <c r="AG13" i="1"/>
  <c r="AC13" i="1"/>
  <c r="Y13" i="1"/>
  <c r="U13" i="1"/>
  <c r="Q13" i="1"/>
  <c r="M13" i="1"/>
  <c r="I13" i="1"/>
  <c r="E13" i="1"/>
  <c r="AI5" i="1"/>
  <c r="AE5" i="1"/>
  <c r="AA5" i="1"/>
  <c r="W5" i="1"/>
  <c r="S5" i="1"/>
  <c r="O5" i="1"/>
  <c r="K5" i="1"/>
  <c r="G5" i="1"/>
  <c r="C5" i="1"/>
  <c r="AG4" i="1"/>
  <c r="AC4" i="1"/>
  <c r="Y4" i="1"/>
  <c r="U4" i="1"/>
  <c r="Q4" i="1"/>
  <c r="M4" i="1"/>
  <c r="I4" i="1"/>
  <c r="E4" i="1"/>
  <c r="AH45" i="1"/>
  <c r="AD45" i="1"/>
  <c r="Z45" i="1"/>
  <c r="V45" i="1"/>
  <c r="R45" i="1"/>
  <c r="N45" i="1"/>
  <c r="J45" i="1"/>
  <c r="F45" i="1"/>
  <c r="AJ44" i="1"/>
  <c r="AF44" i="1"/>
  <c r="AB44" i="1"/>
  <c r="X44" i="1"/>
  <c r="T44" i="1"/>
  <c r="P44" i="1"/>
  <c r="L44" i="1"/>
  <c r="H44" i="1"/>
  <c r="D44" i="1"/>
  <c r="AJ39" i="1"/>
  <c r="AF39" i="1"/>
  <c r="AB39" i="1"/>
  <c r="X39" i="1"/>
  <c r="T39" i="1"/>
  <c r="P39" i="1"/>
  <c r="L39" i="1"/>
  <c r="H39" i="1"/>
  <c r="D39" i="1"/>
  <c r="AH38" i="1"/>
  <c r="AD38" i="1"/>
  <c r="Z38" i="1"/>
  <c r="V38" i="1"/>
  <c r="R38" i="1"/>
  <c r="N38" i="1"/>
  <c r="J38" i="1"/>
  <c r="F38" i="1"/>
  <c r="AJ37" i="1"/>
  <c r="AF37" i="1"/>
  <c r="AB37" i="1"/>
  <c r="X37" i="1"/>
  <c r="T37" i="1"/>
  <c r="P37" i="1"/>
  <c r="L37" i="1"/>
  <c r="H37" i="1"/>
  <c r="D37" i="1"/>
  <c r="AH33" i="1"/>
  <c r="AD33" i="1"/>
  <c r="Z33" i="1"/>
  <c r="V33" i="1"/>
  <c r="R33" i="1"/>
  <c r="N33" i="1"/>
  <c r="J33" i="1"/>
  <c r="F33" i="1"/>
  <c r="AJ32" i="1"/>
  <c r="AF32" i="1"/>
  <c r="AB32" i="1"/>
  <c r="X32" i="1"/>
  <c r="T32" i="1"/>
  <c r="P32" i="1"/>
  <c r="L32" i="1"/>
  <c r="H32" i="1"/>
  <c r="D32" i="1"/>
  <c r="AH31" i="1"/>
  <c r="AD31" i="1"/>
  <c r="Z31" i="1"/>
  <c r="V31" i="1"/>
  <c r="R31" i="1"/>
  <c r="N31" i="1"/>
  <c r="J31" i="1"/>
  <c r="F31" i="1"/>
  <c r="AJ30" i="1"/>
  <c r="AF30" i="1"/>
  <c r="AB30" i="1"/>
  <c r="X30" i="1"/>
  <c r="T30" i="1"/>
  <c r="P30" i="1"/>
  <c r="L30" i="1"/>
  <c r="H30" i="1"/>
  <c r="D30" i="1"/>
  <c r="AJ94" i="1"/>
  <c r="AJ29" i="1"/>
  <c r="AF94" i="1"/>
  <c r="AF29" i="1"/>
  <c r="AB94" i="1"/>
  <c r="AB29" i="1"/>
  <c r="X94" i="1"/>
  <c r="X29" i="1"/>
  <c r="T94" i="1"/>
  <c r="T29" i="1"/>
  <c r="P94" i="1"/>
  <c r="P29" i="1"/>
  <c r="L94" i="1"/>
  <c r="L29" i="1"/>
  <c r="H94" i="1"/>
  <c r="H29" i="1"/>
  <c r="D94" i="1"/>
  <c r="D29" i="1"/>
  <c r="AH27" i="1"/>
  <c r="AD27" i="1"/>
  <c r="Z27" i="1"/>
  <c r="V27" i="1"/>
  <c r="R27" i="1"/>
  <c r="N27" i="1"/>
  <c r="J27" i="1"/>
  <c r="F27" i="1"/>
  <c r="AJ24" i="1"/>
  <c r="AF24" i="1"/>
  <c r="AB24" i="1"/>
  <c r="X24" i="1"/>
  <c r="T24" i="1"/>
  <c r="P24" i="1"/>
  <c r="L24" i="1"/>
  <c r="H24" i="1"/>
  <c r="D24" i="1"/>
  <c r="AJ22" i="1"/>
  <c r="AF22" i="1"/>
  <c r="AB22" i="1"/>
  <c r="X22" i="1"/>
  <c r="T22" i="1"/>
  <c r="P22" i="1"/>
  <c r="L22" i="1"/>
  <c r="H22" i="1"/>
  <c r="D22" i="1"/>
  <c r="AH18" i="1"/>
  <c r="AD18" i="1"/>
  <c r="Z18" i="1"/>
  <c r="V18" i="1"/>
  <c r="R18" i="1"/>
  <c r="N18" i="1"/>
  <c r="J18" i="1"/>
  <c r="F18" i="1"/>
  <c r="AH16" i="1"/>
  <c r="AD16" i="1"/>
  <c r="Z16" i="1"/>
  <c r="V16" i="1"/>
  <c r="R16" i="1"/>
  <c r="N16" i="1"/>
  <c r="J16" i="1"/>
  <c r="F16" i="1"/>
  <c r="AH14" i="1"/>
  <c r="AD14" i="1"/>
  <c r="Z14" i="1"/>
  <c r="V14" i="1"/>
  <c r="R14" i="1"/>
  <c r="N14" i="1"/>
  <c r="J14" i="1"/>
  <c r="F14" i="1"/>
  <c r="AJ13" i="1"/>
  <c r="AF13" i="1"/>
  <c r="AB13" i="1"/>
  <c r="X13" i="1"/>
  <c r="T13" i="1"/>
  <c r="P13" i="1"/>
  <c r="L13" i="1"/>
  <c r="H13" i="1"/>
  <c r="D13" i="1"/>
  <c r="AH5" i="1"/>
  <c r="AD5" i="1"/>
  <c r="Z5" i="1"/>
  <c r="V5" i="1"/>
  <c r="R5" i="1"/>
  <c r="N5" i="1"/>
  <c r="J5" i="1"/>
  <c r="F5" i="1"/>
  <c r="AJ4" i="1"/>
  <c r="AF4" i="1"/>
  <c r="AB4" i="1"/>
  <c r="X4" i="1"/>
  <c r="T4" i="1"/>
  <c r="P4" i="1"/>
  <c r="L4" i="1"/>
  <c r="H4" i="1"/>
  <c r="D4" i="1"/>
  <c r="B56" i="1"/>
  <c r="B62" i="1"/>
  <c r="B91" i="1"/>
  <c r="Y74" i="1"/>
  <c r="Y126" i="3"/>
  <c r="Y125" i="3"/>
  <c r="M74" i="1"/>
  <c r="M126" i="3"/>
  <c r="M125" i="3"/>
  <c r="Y69" i="1"/>
  <c r="Y122" i="3"/>
  <c r="Y121" i="3"/>
  <c r="M69" i="1"/>
  <c r="M122" i="3"/>
  <c r="M121" i="3"/>
  <c r="AC63" i="1"/>
  <c r="AC118" i="3"/>
  <c r="AC117" i="3"/>
  <c r="Q63" i="1"/>
  <c r="Q118" i="3"/>
  <c r="Q117" i="3"/>
  <c r="I63" i="1"/>
  <c r="I118" i="3"/>
  <c r="I117" i="3"/>
  <c r="AG62" i="1"/>
  <c r="AG114" i="3"/>
  <c r="AG113" i="3"/>
  <c r="U62" i="1"/>
  <c r="U114" i="3"/>
  <c r="U113" i="3"/>
  <c r="I62" i="1"/>
  <c r="I114" i="3"/>
  <c r="I113" i="3"/>
  <c r="AG56" i="1"/>
  <c r="AG110" i="3"/>
  <c r="AG109" i="3"/>
  <c r="U56" i="1"/>
  <c r="U110" i="3"/>
  <c r="U109" i="3"/>
  <c r="I56" i="1"/>
  <c r="I110" i="3"/>
  <c r="I109" i="3"/>
  <c r="AH55" i="1"/>
  <c r="AH149" i="3"/>
  <c r="V55" i="1"/>
  <c r="V149" i="3"/>
  <c r="J55" i="1"/>
  <c r="J149" i="3"/>
  <c r="AG41" i="1"/>
  <c r="AG94" i="3"/>
  <c r="AG93" i="3"/>
  <c r="U41" i="1"/>
  <c r="U94" i="3"/>
  <c r="U93" i="3"/>
  <c r="I41" i="1"/>
  <c r="I94" i="3"/>
  <c r="I93" i="3"/>
  <c r="Y36" i="1"/>
  <c r="Y90" i="3"/>
  <c r="M36" i="1"/>
  <c r="M90" i="3"/>
  <c r="AB74" i="1"/>
  <c r="AB126" i="3"/>
  <c r="AB125" i="3"/>
  <c r="P74" i="1"/>
  <c r="P126" i="3"/>
  <c r="P125" i="3"/>
  <c r="D74" i="1"/>
  <c r="D126" i="3"/>
  <c r="D125" i="3"/>
  <c r="AB69" i="1"/>
  <c r="AB122" i="3"/>
  <c r="AB121" i="3"/>
  <c r="T69" i="1"/>
  <c r="T122" i="3"/>
  <c r="T121" i="3"/>
  <c r="H69" i="1"/>
  <c r="H122" i="3"/>
  <c r="H121" i="3"/>
  <c r="AJ63" i="1"/>
  <c r="AJ118" i="3"/>
  <c r="AJ117" i="3"/>
  <c r="X63" i="1"/>
  <c r="X118" i="3"/>
  <c r="X117" i="3"/>
  <c r="P63" i="1"/>
  <c r="P118" i="3"/>
  <c r="P117" i="3"/>
  <c r="H63" i="1"/>
  <c r="H118" i="3"/>
  <c r="H117" i="3"/>
  <c r="AJ62" i="1"/>
  <c r="AJ114" i="3"/>
  <c r="AJ113" i="3"/>
  <c r="AF62" i="1"/>
  <c r="AF114" i="3"/>
  <c r="AF113" i="3"/>
  <c r="AB62" i="1"/>
  <c r="AB114" i="3"/>
  <c r="AB113" i="3"/>
  <c r="X62" i="1"/>
  <c r="X114" i="3"/>
  <c r="X113" i="3"/>
  <c r="T62" i="1"/>
  <c r="T114" i="3"/>
  <c r="T113" i="3"/>
  <c r="P62" i="1"/>
  <c r="P114" i="3"/>
  <c r="P113" i="3"/>
  <c r="L62" i="1"/>
  <c r="L114" i="3"/>
  <c r="L113" i="3"/>
  <c r="H62" i="1"/>
  <c r="H114" i="3"/>
  <c r="H113" i="3"/>
  <c r="D62" i="1"/>
  <c r="D114" i="3"/>
  <c r="D113" i="3"/>
  <c r="AJ56" i="1"/>
  <c r="AJ110" i="3"/>
  <c r="AJ109" i="3"/>
  <c r="AF56" i="1"/>
  <c r="AF110" i="3"/>
  <c r="AF109" i="3"/>
  <c r="AB56" i="1"/>
  <c r="AB110" i="3"/>
  <c r="AB109" i="3"/>
  <c r="X56" i="1"/>
  <c r="X110" i="3"/>
  <c r="X109" i="3"/>
  <c r="T56" i="1"/>
  <c r="T110" i="3"/>
  <c r="T109" i="3"/>
  <c r="P56" i="1"/>
  <c r="P110" i="3"/>
  <c r="P109" i="3"/>
  <c r="L56" i="1"/>
  <c r="L110" i="3"/>
  <c r="L109" i="3"/>
  <c r="H56" i="1"/>
  <c r="H110" i="3"/>
  <c r="H109" i="3"/>
  <c r="D56" i="1"/>
  <c r="D110" i="3"/>
  <c r="D109" i="3"/>
  <c r="AG55" i="1"/>
  <c r="AG149" i="3"/>
  <c r="AC55" i="1"/>
  <c r="AC149" i="3"/>
  <c r="Y55" i="1"/>
  <c r="Y149" i="3"/>
  <c r="U55" i="1"/>
  <c r="U149" i="3"/>
  <c r="Q55" i="1"/>
  <c r="Q149" i="3"/>
  <c r="M55" i="1"/>
  <c r="M149" i="3"/>
  <c r="I55" i="1"/>
  <c r="I149" i="3"/>
  <c r="E55" i="1"/>
  <c r="E149" i="3"/>
  <c r="AJ41" i="1"/>
  <c r="AJ94" i="3"/>
  <c r="AJ93" i="3"/>
  <c r="AF41" i="1"/>
  <c r="AF94" i="3"/>
  <c r="AF93" i="3"/>
  <c r="AB41" i="1"/>
  <c r="AB94" i="3"/>
  <c r="AB93" i="3"/>
  <c r="X41" i="1"/>
  <c r="X94" i="3"/>
  <c r="X93" i="3"/>
  <c r="T41" i="1"/>
  <c r="T94" i="3"/>
  <c r="T93" i="3"/>
  <c r="P41" i="1"/>
  <c r="P94" i="3"/>
  <c r="P93" i="3"/>
  <c r="L41" i="1"/>
  <c r="L94" i="3"/>
  <c r="L93" i="3"/>
  <c r="H41" i="1"/>
  <c r="H94" i="3"/>
  <c r="H93" i="3"/>
  <c r="D41" i="1"/>
  <c r="D94" i="3"/>
  <c r="D93" i="3"/>
  <c r="AJ36" i="1"/>
  <c r="AJ90" i="3"/>
  <c r="AF36" i="1"/>
  <c r="AF90" i="3"/>
  <c r="AB36" i="1"/>
  <c r="AB90" i="3"/>
  <c r="X36" i="1"/>
  <c r="X90" i="3"/>
  <c r="T36" i="1"/>
  <c r="T90" i="3"/>
  <c r="P36" i="1"/>
  <c r="P90" i="3"/>
  <c r="L36" i="1"/>
  <c r="L90" i="3"/>
  <c r="H36" i="1"/>
  <c r="H90" i="3"/>
  <c r="D36" i="1"/>
  <c r="D90" i="3"/>
  <c r="AJ23" i="1"/>
  <c r="AF23" i="1"/>
  <c r="AB23" i="1"/>
  <c r="X23" i="1"/>
  <c r="T23" i="1"/>
  <c r="P23" i="1"/>
  <c r="L23" i="1"/>
  <c r="H23" i="1"/>
  <c r="D23" i="1"/>
  <c r="AJ3" i="1"/>
  <c r="AF3" i="1"/>
  <c r="AB3" i="1"/>
  <c r="X3" i="1"/>
  <c r="T3" i="1"/>
  <c r="P3" i="1"/>
  <c r="L3" i="1"/>
  <c r="H3" i="1"/>
  <c r="D3" i="1"/>
  <c r="AC74" i="1"/>
  <c r="AC126" i="3"/>
  <c r="AC125" i="3"/>
  <c r="Q74" i="1"/>
  <c r="Q126" i="3"/>
  <c r="Q125" i="3"/>
  <c r="E74" i="1"/>
  <c r="E126" i="3"/>
  <c r="E125" i="3"/>
  <c r="AG69" i="1"/>
  <c r="AG122" i="3"/>
  <c r="AG121" i="3"/>
  <c r="U69" i="1"/>
  <c r="U122" i="3"/>
  <c r="U121" i="3"/>
  <c r="I69" i="1"/>
  <c r="I122" i="3"/>
  <c r="I121" i="3"/>
  <c r="AG63" i="1"/>
  <c r="AG118" i="3"/>
  <c r="AG117" i="3"/>
  <c r="U63" i="1"/>
  <c r="U118" i="3"/>
  <c r="U117" i="3"/>
  <c r="E63" i="1"/>
  <c r="E118" i="3"/>
  <c r="E117" i="3"/>
  <c r="Y62" i="1"/>
  <c r="Y114" i="3"/>
  <c r="Y113" i="3"/>
  <c r="M62" i="1"/>
  <c r="M114" i="3"/>
  <c r="M113" i="3"/>
  <c r="AC56" i="1"/>
  <c r="AC110" i="3"/>
  <c r="AC109" i="3"/>
  <c r="Q56" i="1"/>
  <c r="Q110" i="3"/>
  <c r="Q109" i="3"/>
  <c r="E56" i="1"/>
  <c r="E110" i="3"/>
  <c r="E109" i="3"/>
  <c r="AD55" i="1"/>
  <c r="AD149" i="3"/>
  <c r="R55" i="1"/>
  <c r="R149" i="3"/>
  <c r="F55" i="1"/>
  <c r="F149" i="3"/>
  <c r="AC41" i="1"/>
  <c r="AC94" i="3"/>
  <c r="AC93" i="3"/>
  <c r="Q41" i="1"/>
  <c r="Q94" i="3"/>
  <c r="Q93" i="3"/>
  <c r="E41" i="1"/>
  <c r="E94" i="3"/>
  <c r="E93" i="3"/>
  <c r="AG36" i="1"/>
  <c r="AG90" i="3"/>
  <c r="U36" i="1"/>
  <c r="U90" i="3"/>
  <c r="E36" i="1"/>
  <c r="E90" i="3"/>
  <c r="B149" i="3"/>
  <c r="AJ74" i="1"/>
  <c r="AJ126" i="3"/>
  <c r="AJ125" i="3"/>
  <c r="X74" i="1"/>
  <c r="X126" i="3"/>
  <c r="X125" i="3"/>
  <c r="L74" i="1"/>
  <c r="L126" i="3"/>
  <c r="L125" i="3"/>
  <c r="AJ69" i="1"/>
  <c r="AJ122" i="3"/>
  <c r="AJ121" i="3"/>
  <c r="X69" i="1"/>
  <c r="X122" i="3"/>
  <c r="X121" i="3"/>
  <c r="L69" i="1"/>
  <c r="L122" i="3"/>
  <c r="L121" i="3"/>
  <c r="D69" i="1"/>
  <c r="D122" i="3"/>
  <c r="D121" i="3"/>
  <c r="AB63" i="1"/>
  <c r="AB118" i="3"/>
  <c r="AB117" i="3"/>
  <c r="T63" i="1"/>
  <c r="T118" i="3"/>
  <c r="T117" i="3"/>
  <c r="L63" i="1"/>
  <c r="L118" i="3"/>
  <c r="L117" i="3"/>
  <c r="D63" i="1"/>
  <c r="D118" i="3"/>
  <c r="D117" i="3"/>
  <c r="B44" i="1"/>
  <c r="B89" i="3"/>
  <c r="B137" i="3"/>
  <c r="AI74" i="1"/>
  <c r="AI126" i="3"/>
  <c r="AI125" i="3"/>
  <c r="AE74" i="1"/>
  <c r="AE126" i="3"/>
  <c r="AE125" i="3"/>
  <c r="AA74" i="1"/>
  <c r="AA126" i="3"/>
  <c r="AA125" i="3"/>
  <c r="W74" i="1"/>
  <c r="W126" i="3"/>
  <c r="W125" i="3"/>
  <c r="S74" i="1"/>
  <c r="S126" i="3"/>
  <c r="S125" i="3"/>
  <c r="O74" i="1"/>
  <c r="O126" i="3"/>
  <c r="O125" i="3"/>
  <c r="K74" i="1"/>
  <c r="K126" i="3"/>
  <c r="K125" i="3"/>
  <c r="G74" i="1"/>
  <c r="G126" i="3"/>
  <c r="G125" i="3"/>
  <c r="C74" i="1"/>
  <c r="C126" i="3"/>
  <c r="C125" i="3"/>
  <c r="AI69" i="1"/>
  <c r="AI122" i="3"/>
  <c r="AI121" i="3"/>
  <c r="AE69" i="1"/>
  <c r="AE122" i="3"/>
  <c r="AE121" i="3"/>
  <c r="AA69" i="1"/>
  <c r="AA122" i="3"/>
  <c r="AA121" i="3"/>
  <c r="W69" i="1"/>
  <c r="W122" i="3"/>
  <c r="W121" i="3"/>
  <c r="S69" i="1"/>
  <c r="S122" i="3"/>
  <c r="S121" i="3"/>
  <c r="O69" i="1"/>
  <c r="O122" i="3"/>
  <c r="O121" i="3"/>
  <c r="K69" i="1"/>
  <c r="K122" i="3"/>
  <c r="K121" i="3"/>
  <c r="G69" i="1"/>
  <c r="G122" i="3"/>
  <c r="G121" i="3"/>
  <c r="C69" i="1"/>
  <c r="C122" i="3"/>
  <c r="C121" i="3"/>
  <c r="AI63" i="1"/>
  <c r="AI118" i="3"/>
  <c r="AI117" i="3"/>
  <c r="AE63" i="1"/>
  <c r="AE118" i="3"/>
  <c r="AE117" i="3"/>
  <c r="AA63" i="1"/>
  <c r="AA118" i="3"/>
  <c r="AA117" i="3"/>
  <c r="W63" i="1"/>
  <c r="W118" i="3"/>
  <c r="W117" i="3"/>
  <c r="S63" i="1"/>
  <c r="S118" i="3"/>
  <c r="S117" i="3"/>
  <c r="O63" i="1"/>
  <c r="O118" i="3"/>
  <c r="O117" i="3"/>
  <c r="K63" i="1"/>
  <c r="K118" i="3"/>
  <c r="K117" i="3"/>
  <c r="G63" i="1"/>
  <c r="G118" i="3"/>
  <c r="G117" i="3"/>
  <c r="C63" i="1"/>
  <c r="C118" i="3"/>
  <c r="C117" i="3"/>
  <c r="AI62" i="1"/>
  <c r="AI114" i="3"/>
  <c r="AI113" i="3"/>
  <c r="AE62" i="1"/>
  <c r="AE114" i="3"/>
  <c r="AE113" i="3"/>
  <c r="AA62" i="1"/>
  <c r="AA114" i="3"/>
  <c r="AA113" i="3"/>
  <c r="W62" i="1"/>
  <c r="W114" i="3"/>
  <c r="W113" i="3"/>
  <c r="S62" i="1"/>
  <c r="S114" i="3"/>
  <c r="S113" i="3"/>
  <c r="O62" i="1"/>
  <c r="O114" i="3"/>
  <c r="O113" i="3"/>
  <c r="K62" i="1"/>
  <c r="K114" i="3"/>
  <c r="K113" i="3"/>
  <c r="G62" i="1"/>
  <c r="G114" i="3"/>
  <c r="G113" i="3"/>
  <c r="C62" i="1"/>
  <c r="C114" i="3"/>
  <c r="C113" i="3"/>
  <c r="AI56" i="1"/>
  <c r="AI110" i="3"/>
  <c r="AI109" i="3"/>
  <c r="AE56" i="1"/>
  <c r="AE110" i="3"/>
  <c r="AE109" i="3"/>
  <c r="AA56" i="1"/>
  <c r="AA110" i="3"/>
  <c r="AA109" i="3"/>
  <c r="W56" i="1"/>
  <c r="W110" i="3"/>
  <c r="W109" i="3"/>
  <c r="S56" i="1"/>
  <c r="S110" i="3"/>
  <c r="S109" i="3"/>
  <c r="O56" i="1"/>
  <c r="O110" i="3"/>
  <c r="O109" i="3"/>
  <c r="K56" i="1"/>
  <c r="K110" i="3"/>
  <c r="K109" i="3"/>
  <c r="G56" i="1"/>
  <c r="G110" i="3"/>
  <c r="G109" i="3"/>
  <c r="C56" i="1"/>
  <c r="C110" i="3"/>
  <c r="C109" i="3"/>
  <c r="AJ55" i="1"/>
  <c r="AJ149" i="3"/>
  <c r="AF55" i="1"/>
  <c r="AF149" i="3"/>
  <c r="AB55" i="1"/>
  <c r="AB149" i="3"/>
  <c r="X55" i="1"/>
  <c r="X149" i="3"/>
  <c r="T55" i="1"/>
  <c r="T149" i="3"/>
  <c r="P55" i="1"/>
  <c r="P149" i="3"/>
  <c r="L55" i="1"/>
  <c r="L149" i="3"/>
  <c r="H55" i="1"/>
  <c r="H149" i="3"/>
  <c r="D55" i="1"/>
  <c r="D149" i="3"/>
  <c r="AI41" i="1"/>
  <c r="AI94" i="3"/>
  <c r="AI93" i="3"/>
  <c r="AE41" i="1"/>
  <c r="AE94" i="3"/>
  <c r="AE93" i="3"/>
  <c r="AA41" i="1"/>
  <c r="AA94" i="3"/>
  <c r="AA93" i="3"/>
  <c r="W41" i="1"/>
  <c r="W94" i="3"/>
  <c r="W93" i="3"/>
  <c r="S41" i="1"/>
  <c r="S94" i="3"/>
  <c r="S93" i="3"/>
  <c r="O41" i="1"/>
  <c r="O94" i="3"/>
  <c r="O93" i="3"/>
  <c r="K41" i="1"/>
  <c r="K94" i="3"/>
  <c r="K93" i="3"/>
  <c r="G41" i="1"/>
  <c r="G94" i="3"/>
  <c r="G93" i="3"/>
  <c r="C41" i="1"/>
  <c r="C94" i="3"/>
  <c r="C93" i="3"/>
  <c r="AI36" i="1"/>
  <c r="AI90" i="3"/>
  <c r="AE36" i="1"/>
  <c r="AE90" i="3"/>
  <c r="AA36" i="1"/>
  <c r="AA90" i="3"/>
  <c r="W36" i="1"/>
  <c r="W90" i="3"/>
  <c r="S36" i="1"/>
  <c r="S90" i="3"/>
  <c r="O36" i="1"/>
  <c r="O90" i="3"/>
  <c r="K36" i="1"/>
  <c r="K90" i="3"/>
  <c r="G36" i="1"/>
  <c r="G90" i="3"/>
  <c r="C36" i="1"/>
  <c r="C90" i="3"/>
  <c r="AI23" i="1"/>
  <c r="AE23" i="1"/>
  <c r="AA23" i="1"/>
  <c r="W23" i="1"/>
  <c r="S23" i="1"/>
  <c r="O23" i="1"/>
  <c r="K23" i="1"/>
  <c r="G23" i="1"/>
  <c r="C23" i="1"/>
  <c r="AI3" i="1"/>
  <c r="AE3" i="1"/>
  <c r="AA3" i="1"/>
  <c r="W3" i="1"/>
  <c r="S3" i="1"/>
  <c r="O3" i="1"/>
  <c r="K3" i="1"/>
  <c r="G3" i="1"/>
  <c r="C3" i="1"/>
  <c r="AG74" i="1"/>
  <c r="AG126" i="3"/>
  <c r="AG125" i="3"/>
  <c r="U74" i="1"/>
  <c r="U126" i="3"/>
  <c r="U125" i="3"/>
  <c r="I74" i="1"/>
  <c r="I126" i="3"/>
  <c r="I125" i="3"/>
  <c r="AC69" i="1"/>
  <c r="AC122" i="3"/>
  <c r="AC121" i="3"/>
  <c r="Q69" i="1"/>
  <c r="Q122" i="3"/>
  <c r="Q121" i="3"/>
  <c r="E69" i="1"/>
  <c r="E122" i="3"/>
  <c r="E121" i="3"/>
  <c r="Y63" i="1"/>
  <c r="Y118" i="3"/>
  <c r="Y117" i="3"/>
  <c r="M63" i="1"/>
  <c r="M118" i="3"/>
  <c r="M117" i="3"/>
  <c r="AC62" i="1"/>
  <c r="AC114" i="3"/>
  <c r="AC113" i="3"/>
  <c r="Q62" i="1"/>
  <c r="Q114" i="3"/>
  <c r="Q113" i="3"/>
  <c r="E62" i="1"/>
  <c r="E114" i="3"/>
  <c r="E113" i="3"/>
  <c r="Y56" i="1"/>
  <c r="Y110" i="3"/>
  <c r="Y109" i="3"/>
  <c r="M56" i="1"/>
  <c r="M110" i="3"/>
  <c r="M109" i="3"/>
  <c r="Z55" i="1"/>
  <c r="Z149" i="3"/>
  <c r="N55" i="1"/>
  <c r="N149" i="3"/>
  <c r="Y41" i="1"/>
  <c r="Y94" i="3"/>
  <c r="Y93" i="3"/>
  <c r="M41" i="1"/>
  <c r="M94" i="3"/>
  <c r="M93" i="3"/>
  <c r="AC36" i="1"/>
  <c r="AC90" i="3"/>
  <c r="Q36" i="1"/>
  <c r="Q90" i="3"/>
  <c r="I36" i="1"/>
  <c r="I90" i="3"/>
  <c r="AF74" i="1"/>
  <c r="AF126" i="3"/>
  <c r="AF125" i="3"/>
  <c r="T74" i="1"/>
  <c r="T126" i="3"/>
  <c r="T125" i="3"/>
  <c r="H74" i="1"/>
  <c r="H126" i="3"/>
  <c r="H125" i="3"/>
  <c r="AF69" i="1"/>
  <c r="AF122" i="3"/>
  <c r="AF121" i="3"/>
  <c r="P69" i="1"/>
  <c r="P122" i="3"/>
  <c r="P121" i="3"/>
  <c r="AF63" i="1"/>
  <c r="AF118" i="3"/>
  <c r="AF117" i="3"/>
  <c r="B45" i="1"/>
  <c r="AH74" i="1"/>
  <c r="AH126" i="3"/>
  <c r="AH125" i="3"/>
  <c r="AD74" i="1"/>
  <c r="AD126" i="3"/>
  <c r="AD125" i="3"/>
  <c r="Z74" i="1"/>
  <c r="Z126" i="3"/>
  <c r="Z125" i="3"/>
  <c r="V74" i="1"/>
  <c r="V126" i="3"/>
  <c r="V125" i="3"/>
  <c r="R74" i="1"/>
  <c r="R126" i="3"/>
  <c r="R125" i="3"/>
  <c r="N74" i="1"/>
  <c r="N126" i="3"/>
  <c r="N125" i="3"/>
  <c r="J74" i="1"/>
  <c r="J126" i="3"/>
  <c r="J125" i="3"/>
  <c r="F74" i="1"/>
  <c r="F126" i="3"/>
  <c r="F125" i="3"/>
  <c r="AH69" i="1"/>
  <c r="AH122" i="3"/>
  <c r="AH121" i="3"/>
  <c r="AD69" i="1"/>
  <c r="AD122" i="3"/>
  <c r="AD121" i="3"/>
  <c r="Z69" i="1"/>
  <c r="Z122" i="3"/>
  <c r="Z121" i="3"/>
  <c r="V69" i="1"/>
  <c r="V122" i="3"/>
  <c r="V121" i="3"/>
  <c r="R69" i="1"/>
  <c r="R122" i="3"/>
  <c r="R121" i="3"/>
  <c r="N69" i="1"/>
  <c r="N122" i="3"/>
  <c r="N121" i="3"/>
  <c r="J69" i="1"/>
  <c r="J122" i="3"/>
  <c r="J121" i="3"/>
  <c r="F69" i="1"/>
  <c r="F122" i="3"/>
  <c r="F121" i="3"/>
  <c r="AH63" i="1"/>
  <c r="AH118" i="3"/>
  <c r="AH117" i="3"/>
  <c r="AD63" i="1"/>
  <c r="AD118" i="3"/>
  <c r="AD117" i="3"/>
  <c r="Z63" i="1"/>
  <c r="Z118" i="3"/>
  <c r="Z117" i="3"/>
  <c r="V63" i="1"/>
  <c r="V118" i="3"/>
  <c r="V117" i="3"/>
  <c r="R63" i="1"/>
  <c r="R118" i="3"/>
  <c r="R117" i="3"/>
  <c r="N63" i="1"/>
  <c r="N118" i="3"/>
  <c r="N117" i="3"/>
  <c r="J63" i="1"/>
  <c r="J118" i="3"/>
  <c r="J117" i="3"/>
  <c r="F63" i="1"/>
  <c r="F118" i="3"/>
  <c r="F117" i="3"/>
  <c r="AH62" i="1"/>
  <c r="AH114" i="3"/>
  <c r="AH113" i="3"/>
  <c r="AD62" i="1"/>
  <c r="AD114" i="3"/>
  <c r="AD113" i="3"/>
  <c r="Z62" i="1"/>
  <c r="Z114" i="3"/>
  <c r="Z113" i="3"/>
  <c r="V62" i="1"/>
  <c r="V114" i="3"/>
  <c r="V113" i="3"/>
  <c r="R62" i="1"/>
  <c r="R114" i="3"/>
  <c r="R113" i="3"/>
  <c r="N62" i="1"/>
  <c r="N114" i="3"/>
  <c r="N113" i="3"/>
  <c r="J62" i="1"/>
  <c r="J114" i="3"/>
  <c r="J113" i="3"/>
  <c r="F62" i="1"/>
  <c r="F114" i="3"/>
  <c r="F113" i="3"/>
  <c r="AH56" i="1"/>
  <c r="AH110" i="3"/>
  <c r="AH109" i="3"/>
  <c r="AD56" i="1"/>
  <c r="AD110" i="3"/>
  <c r="AD109" i="3"/>
  <c r="Z56" i="1"/>
  <c r="Z110" i="3"/>
  <c r="Z109" i="3"/>
  <c r="V56" i="1"/>
  <c r="V110" i="3"/>
  <c r="V109" i="3"/>
  <c r="R56" i="1"/>
  <c r="R110" i="3"/>
  <c r="R109" i="3"/>
  <c r="N56" i="1"/>
  <c r="N110" i="3"/>
  <c r="N109" i="3"/>
  <c r="J56" i="1"/>
  <c r="J110" i="3"/>
  <c r="J109" i="3"/>
  <c r="F56" i="1"/>
  <c r="F110" i="3"/>
  <c r="F109" i="3"/>
  <c r="AI55" i="1"/>
  <c r="AI149" i="3"/>
  <c r="AE55" i="1"/>
  <c r="AE149" i="3"/>
  <c r="AA55" i="1"/>
  <c r="AA149" i="3"/>
  <c r="W55" i="1"/>
  <c r="W149" i="3"/>
  <c r="S55" i="1"/>
  <c r="S149" i="3"/>
  <c r="O55" i="1"/>
  <c r="O149" i="3"/>
  <c r="K55" i="1"/>
  <c r="K149" i="3"/>
  <c r="G55" i="1"/>
  <c r="G149" i="3"/>
  <c r="C55" i="1"/>
  <c r="C149" i="3"/>
  <c r="AH41" i="1"/>
  <c r="AH94" i="3"/>
  <c r="AH93" i="3"/>
  <c r="AD41" i="1"/>
  <c r="AD94" i="3"/>
  <c r="AD93" i="3"/>
  <c r="Z41" i="1"/>
  <c r="Z94" i="3"/>
  <c r="Z93" i="3"/>
  <c r="V41" i="1"/>
  <c r="V94" i="3"/>
  <c r="V93" i="3"/>
  <c r="R41" i="1"/>
  <c r="R94" i="3"/>
  <c r="R93" i="3"/>
  <c r="N41" i="1"/>
  <c r="N94" i="3"/>
  <c r="N93" i="3"/>
  <c r="J41" i="1"/>
  <c r="J94" i="3"/>
  <c r="J93" i="3"/>
  <c r="F41" i="1"/>
  <c r="F94" i="3"/>
  <c r="F93" i="3"/>
  <c r="AH36" i="1"/>
  <c r="AH90" i="3"/>
  <c r="AD36" i="1"/>
  <c r="AD90" i="3"/>
  <c r="Z36" i="1"/>
  <c r="Z90" i="3"/>
  <c r="V36" i="1"/>
  <c r="V90" i="3"/>
  <c r="R36" i="1"/>
  <c r="R90" i="3"/>
  <c r="N36" i="1"/>
  <c r="N90" i="3"/>
  <c r="J36" i="1"/>
  <c r="J90" i="3"/>
  <c r="F36" i="1"/>
  <c r="F90" i="3"/>
  <c r="AH23" i="1"/>
  <c r="AD23" i="1"/>
  <c r="Z23" i="1"/>
  <c r="V23" i="1"/>
  <c r="R23" i="1"/>
  <c r="N23" i="1"/>
  <c r="J23" i="1"/>
  <c r="F23" i="1"/>
  <c r="AH3" i="1"/>
  <c r="AD3" i="1"/>
  <c r="Z3" i="1"/>
  <c r="V3" i="1"/>
  <c r="R3" i="1"/>
  <c r="N3" i="1"/>
  <c r="J3" i="1"/>
  <c r="F3" i="1"/>
  <c r="AJ128" i="2"/>
  <c r="AF128" i="2"/>
  <c r="AB128" i="2"/>
  <c r="X128" i="2"/>
  <c r="T128" i="2"/>
  <c r="P128" i="2"/>
  <c r="L128" i="2"/>
  <c r="H128" i="2"/>
  <c r="D128" i="2"/>
  <c r="AI128" i="2"/>
  <c r="AE128" i="2"/>
  <c r="AA128" i="2"/>
  <c r="W128" i="2"/>
  <c r="S128" i="2"/>
  <c r="O128" i="2"/>
  <c r="K128" i="2"/>
  <c r="G128" i="2"/>
  <c r="C128" i="2"/>
  <c r="AH128" i="2"/>
  <c r="AD128" i="2"/>
  <c r="Z128" i="2"/>
  <c r="V128" i="2"/>
  <c r="R128" i="2"/>
  <c r="N128" i="2"/>
  <c r="J128" i="2"/>
  <c r="F128" i="2"/>
  <c r="AG128" i="2"/>
  <c r="AC128" i="2"/>
  <c r="Y128" i="2"/>
  <c r="U128" i="2"/>
  <c r="Q128" i="2"/>
  <c r="M128" i="2"/>
  <c r="I128" i="2"/>
  <c r="E128" i="2"/>
  <c r="B18" i="1"/>
  <c r="B77" i="1"/>
  <c r="B33" i="1"/>
  <c r="B38" i="1"/>
  <c r="B73" i="1"/>
  <c r="B72" i="3"/>
  <c r="AJ72" i="3"/>
  <c r="B5" i="1"/>
  <c r="B32" i="1"/>
  <c r="B76" i="1"/>
  <c r="B3" i="1"/>
  <c r="B37" i="1"/>
  <c r="B94" i="1"/>
  <c r="B29" i="1"/>
  <c r="B24" i="1"/>
  <c r="B4" i="1"/>
  <c r="B60" i="1"/>
  <c r="B78" i="1"/>
  <c r="B87" i="1"/>
  <c r="B92" i="1"/>
  <c r="B30" i="1"/>
  <c r="B69" i="1"/>
  <c r="B27" i="1"/>
  <c r="B36" i="1"/>
  <c r="B61" i="1"/>
  <c r="B70" i="1"/>
  <c r="B75" i="1"/>
  <c r="B39" i="1"/>
  <c r="B74" i="1"/>
  <c r="B13" i="1"/>
  <c r="B22" i="1"/>
  <c r="B31" i="1"/>
  <c r="B23" i="1"/>
  <c r="B41" i="1"/>
  <c r="B47" i="1"/>
  <c r="B14" i="1"/>
  <c r="B16" i="1"/>
  <c r="B59" i="1"/>
  <c r="B68" i="1"/>
  <c r="B98" i="2"/>
  <c r="Z103" i="1"/>
  <c r="AA114" i="9"/>
  <c r="H103" i="1"/>
  <c r="I114" i="9"/>
  <c r="P103" i="1"/>
  <c r="Q114" i="9"/>
  <c r="X103" i="1"/>
  <c r="Y114" i="9"/>
  <c r="AF103" i="1"/>
  <c r="AG114" i="9"/>
  <c r="C103" i="1"/>
  <c r="D114" i="9"/>
  <c r="K103" i="1"/>
  <c r="L114" i="9"/>
  <c r="S103" i="1"/>
  <c r="T114" i="9"/>
  <c r="AA103" i="1"/>
  <c r="AB114" i="9"/>
  <c r="AI103" i="1"/>
  <c r="AJ114" i="9"/>
  <c r="R103" i="1"/>
  <c r="S114" i="9"/>
  <c r="I103" i="1"/>
  <c r="J114" i="9"/>
  <c r="Q103" i="1"/>
  <c r="R114" i="9"/>
  <c r="Y103" i="1"/>
  <c r="Z114" i="9"/>
  <c r="AG103" i="1"/>
  <c r="AH114" i="9"/>
  <c r="J103" i="1"/>
  <c r="K114" i="9"/>
  <c r="AH103" i="1"/>
  <c r="AI114" i="9"/>
  <c r="N103" i="1"/>
  <c r="O114" i="9"/>
  <c r="D103" i="1"/>
  <c r="E114" i="9"/>
  <c r="L103" i="1"/>
  <c r="M114" i="9"/>
  <c r="T103" i="1"/>
  <c r="U114" i="9"/>
  <c r="AB103" i="1"/>
  <c r="AC114" i="9"/>
  <c r="AJ103" i="1"/>
  <c r="AK114" i="9"/>
  <c r="B103" i="1"/>
  <c r="C114" i="9"/>
  <c r="G103" i="1"/>
  <c r="H114" i="9"/>
  <c r="O103" i="1"/>
  <c r="P114" i="9"/>
  <c r="W103" i="1"/>
  <c r="X114" i="9"/>
  <c r="AE103" i="1"/>
  <c r="AF114" i="9"/>
  <c r="F103" i="1"/>
  <c r="G114" i="9"/>
  <c r="AD103" i="1"/>
  <c r="AE114" i="9"/>
  <c r="E103" i="1"/>
  <c r="F114" i="9"/>
  <c r="M103" i="1"/>
  <c r="N114" i="9"/>
  <c r="U103" i="1"/>
  <c r="V114" i="9"/>
  <c r="AC103" i="1"/>
  <c r="AD114" i="9"/>
  <c r="V103" i="1"/>
  <c r="W114" i="9"/>
  <c r="B67" i="1"/>
  <c r="C115" i="9"/>
  <c r="C72" i="9"/>
  <c r="B138" i="3"/>
  <c r="Q96" i="1"/>
  <c r="AG96" i="1"/>
  <c r="Y96" i="1"/>
  <c r="I96" i="1"/>
  <c r="M96" i="1"/>
  <c r="AC96" i="1"/>
  <c r="E96" i="1"/>
  <c r="U96" i="1"/>
  <c r="O96" i="1"/>
  <c r="AE96" i="1"/>
  <c r="C96" i="1"/>
  <c r="S96" i="1"/>
  <c r="AI96" i="1"/>
  <c r="F138" i="3"/>
  <c r="N138" i="3"/>
  <c r="V138" i="3"/>
  <c r="AD138" i="3"/>
  <c r="Q138" i="3"/>
  <c r="C138" i="3"/>
  <c r="K138" i="3"/>
  <c r="S138" i="3"/>
  <c r="AA138" i="3"/>
  <c r="AI138" i="3"/>
  <c r="J138" i="3"/>
  <c r="R138" i="3"/>
  <c r="Z138" i="3"/>
  <c r="AH138" i="3"/>
  <c r="I138" i="3"/>
  <c r="AC138" i="3"/>
  <c r="G138" i="3"/>
  <c r="O138" i="3"/>
  <c r="W138" i="3"/>
  <c r="AE138" i="3"/>
  <c r="E138" i="3"/>
  <c r="AG138" i="3"/>
  <c r="D138" i="3"/>
  <c r="L138" i="3"/>
  <c r="T138" i="3"/>
  <c r="AB138" i="3"/>
  <c r="AJ138" i="3"/>
  <c r="M138" i="3"/>
  <c r="U138" i="3"/>
  <c r="H138" i="3"/>
  <c r="P138" i="3"/>
  <c r="X138" i="3"/>
  <c r="AF138" i="3"/>
  <c r="Y138" i="3"/>
  <c r="K96" i="1"/>
  <c r="AA96" i="1"/>
  <c r="G96" i="1"/>
  <c r="W96" i="1"/>
  <c r="F96" i="1"/>
  <c r="V96" i="1"/>
  <c r="AD96" i="1"/>
  <c r="R96" i="1"/>
  <c r="AH96" i="1"/>
  <c r="H96" i="1"/>
  <c r="N96" i="1"/>
  <c r="X96" i="1"/>
  <c r="L96" i="1"/>
  <c r="AB96" i="1"/>
  <c r="J96" i="1"/>
  <c r="Z96" i="1"/>
  <c r="P96" i="1"/>
  <c r="AF96" i="1"/>
  <c r="B96" i="1"/>
  <c r="D96" i="1"/>
  <c r="T96" i="1"/>
  <c r="AJ96" i="1"/>
  <c r="R89" i="3"/>
  <c r="R137" i="3"/>
  <c r="AH89" i="3"/>
  <c r="AH137" i="3"/>
  <c r="X89" i="3"/>
  <c r="X137" i="3"/>
  <c r="AF89" i="3"/>
  <c r="AF137" i="3"/>
  <c r="Y89" i="3"/>
  <c r="Y137" i="3"/>
  <c r="I89" i="3"/>
  <c r="I137" i="3"/>
  <c r="AC89" i="3"/>
  <c r="AC137" i="3"/>
  <c r="G89" i="3"/>
  <c r="G137" i="3"/>
  <c r="O89" i="3"/>
  <c r="O137" i="3"/>
  <c r="W89" i="3"/>
  <c r="W137" i="3"/>
  <c r="AE89" i="3"/>
  <c r="AE137" i="3"/>
  <c r="E89" i="3"/>
  <c r="E137" i="3"/>
  <c r="AG89" i="3"/>
  <c r="AG137" i="3"/>
  <c r="P89" i="3"/>
  <c r="P137" i="3"/>
  <c r="F89" i="3"/>
  <c r="F137" i="3"/>
  <c r="N89" i="3"/>
  <c r="N137" i="3"/>
  <c r="V89" i="3"/>
  <c r="V137" i="3"/>
  <c r="AD89" i="3"/>
  <c r="AD137" i="3"/>
  <c r="D89" i="3"/>
  <c r="D137" i="3"/>
  <c r="L89" i="3"/>
  <c r="L137" i="3"/>
  <c r="T89" i="3"/>
  <c r="T137" i="3"/>
  <c r="AB89" i="3"/>
  <c r="AB137" i="3"/>
  <c r="AJ89" i="3"/>
  <c r="AJ137" i="3"/>
  <c r="M89" i="3"/>
  <c r="M137" i="3"/>
  <c r="J89" i="3"/>
  <c r="J137" i="3"/>
  <c r="Z89" i="3"/>
  <c r="Z137" i="3"/>
  <c r="H89" i="3"/>
  <c r="H137" i="3"/>
  <c r="Q89" i="3"/>
  <c r="Q137" i="3"/>
  <c r="C89" i="3"/>
  <c r="C137" i="3"/>
  <c r="K89" i="3"/>
  <c r="K137" i="3"/>
  <c r="S89" i="3"/>
  <c r="S137" i="3"/>
  <c r="AA89" i="3"/>
  <c r="AA137" i="3"/>
  <c r="AI89" i="3"/>
  <c r="AI137" i="3"/>
  <c r="U89" i="3"/>
  <c r="U137" i="3"/>
  <c r="B104" i="1"/>
  <c r="B63" i="1"/>
</calcChain>
</file>

<file path=xl/sharedStrings.xml><?xml version="1.0" encoding="utf-8"?>
<sst xmlns="http://schemas.openxmlformats.org/spreadsheetml/2006/main" count="13522" uniqueCount="506">
  <si>
    <t>Revenue</t>
  </si>
  <si>
    <t>Tax Revenue</t>
  </si>
  <si>
    <t>Non-Tax Revenue</t>
  </si>
  <si>
    <t>Individual Income Taxes</t>
  </si>
  <si>
    <t>Corporate Income Taxes</t>
  </si>
  <si>
    <t>Sales and Excise Taxes</t>
  </si>
  <si>
    <t>Payroll Taxes</t>
  </si>
  <si>
    <t>Property Taxes</t>
  </si>
  <si>
    <t>Estate and Gift Taxes</t>
  </si>
  <si>
    <t>Severance Taxes</t>
  </si>
  <si>
    <t>Customs Duties</t>
  </si>
  <si>
    <t>Licenses</t>
  </si>
  <si>
    <t>Other Taxes</t>
  </si>
  <si>
    <t>Sales of Government Resources</t>
  </si>
  <si>
    <t>Federal Reserve earnings</t>
  </si>
  <si>
    <t>Employee Contributions for Retirement and Disability</t>
  </si>
  <si>
    <t>Earnings on Investments</t>
  </si>
  <si>
    <t>Other Non-Tax Revenues</t>
  </si>
  <si>
    <t>Spending</t>
  </si>
  <si>
    <t>Medicare</t>
  </si>
  <si>
    <t>Unemployment Insurance</t>
  </si>
  <si>
    <t>General Sales</t>
  </si>
  <si>
    <t>Selective Sales (Excise)</t>
  </si>
  <si>
    <t>National Defense and Support for Veterans</t>
  </si>
  <si>
    <t>National Defense</t>
  </si>
  <si>
    <t>Support for Veterans</t>
  </si>
  <si>
    <t>Foreign Affairs</t>
  </si>
  <si>
    <t>Immigration and Border Security</t>
  </si>
  <si>
    <t>Crime and Disaster</t>
  </si>
  <si>
    <t>Law Enforcement and Corrections</t>
  </si>
  <si>
    <t>Justice System</t>
  </si>
  <si>
    <t>Fire Protection</t>
  </si>
  <si>
    <t>Disaster Relief</t>
  </si>
  <si>
    <t>General Business Regulation</t>
  </si>
  <si>
    <t>Child and Social Services</t>
  </si>
  <si>
    <t>Provide for the Common Defense</t>
  </si>
  <si>
    <t>Promote the General Welfare</t>
  </si>
  <si>
    <t>Economic Growth, GDP, and Jobs</t>
  </si>
  <si>
    <t>Health</t>
  </si>
  <si>
    <t>Standard of Living and Aid to the Disadvantaged</t>
  </si>
  <si>
    <t>General Government</t>
  </si>
  <si>
    <t>Obligations</t>
  </si>
  <si>
    <t>Employee Retirement and Disability Benefits</t>
  </si>
  <si>
    <t>Net Interest on Debt</t>
  </si>
  <si>
    <t>Education Inside the Classroom</t>
  </si>
  <si>
    <t>Elementary and Secondary Education</t>
  </si>
  <si>
    <t>Higher Education</t>
  </si>
  <si>
    <t>Vocational Education</t>
  </si>
  <si>
    <t>Education Unallocable between K-12 and Higher</t>
  </si>
  <si>
    <t>Energy</t>
  </si>
  <si>
    <t>Agriculture</t>
  </si>
  <si>
    <t>Environment and Natural Resources</t>
  </si>
  <si>
    <t>Housing Support</t>
  </si>
  <si>
    <t>Savings</t>
  </si>
  <si>
    <t>Social Security</t>
  </si>
  <si>
    <t>General Retirement Programs (excl. Social Security)</t>
  </si>
  <si>
    <t>Public Health</t>
  </si>
  <si>
    <t>Other Medical Assistance to Persons</t>
  </si>
  <si>
    <t>Other Health</t>
  </si>
  <si>
    <t>Other Health Expenditures</t>
  </si>
  <si>
    <t>Cash Programs for Aid to the Disadvantaged</t>
  </si>
  <si>
    <t>Non-Cash Programs for Aid to the Disadvantaged</t>
  </si>
  <si>
    <t>Employment and Training</t>
  </si>
  <si>
    <t>Other Tax Credits</t>
  </si>
  <si>
    <t>Transportation</t>
  </si>
  <si>
    <t>General Commerce</t>
  </si>
  <si>
    <t>Banking and Finance</t>
  </si>
  <si>
    <t>Space</t>
  </si>
  <si>
    <t>Technology Infrastructure</t>
  </si>
  <si>
    <t>Postal Service</t>
  </si>
  <si>
    <t>Community and Regional Development</t>
  </si>
  <si>
    <t>Railroad Retirement</t>
  </si>
  <si>
    <t>Retirement</t>
  </si>
  <si>
    <t>Disability</t>
  </si>
  <si>
    <t>Excise Taxes</t>
  </si>
  <si>
    <t>Alcoholic Beverages</t>
  </si>
  <si>
    <t>Motor Fuel</t>
  </si>
  <si>
    <t>Tobacco Products</t>
  </si>
  <si>
    <t>Other Selective Sales</t>
  </si>
  <si>
    <t>Rents and Royalties from Outer-Continental Shelf</t>
  </si>
  <si>
    <t>Spectrum Auctions and Licensing</t>
  </si>
  <si>
    <t>Sales of Major Assets</t>
  </si>
  <si>
    <t>Federal Reserve Earnings</t>
  </si>
  <si>
    <t>Veterans Medical Care</t>
  </si>
  <si>
    <t>Veterans Housing</t>
  </si>
  <si>
    <t>Veterans Readjustment Benefits</t>
  </si>
  <si>
    <t>Veterans Pension and Disability Benefits</t>
  </si>
  <si>
    <t>Other Veterans Services</t>
  </si>
  <si>
    <t>International Development and Humanitarian Assistance</t>
  </si>
  <si>
    <t>International Security Assistance</t>
  </si>
  <si>
    <t>Other Foreign Affairs</t>
  </si>
  <si>
    <t>Consumer Protection</t>
  </si>
  <si>
    <t>Employee Protection</t>
  </si>
  <si>
    <t>Other Business Regulation</t>
  </si>
  <si>
    <t>Air Transportation</t>
  </si>
  <si>
    <t>Highway Transportation</t>
  </si>
  <si>
    <t>Railroad Transportation</t>
  </si>
  <si>
    <t>Ground Transportation (unallocable)</t>
  </si>
  <si>
    <t>General and Other Transportation</t>
  </si>
  <si>
    <t>Water Transportation</t>
  </si>
  <si>
    <t>Deposit Insurance</t>
  </si>
  <si>
    <t>Other Banking and Finance</t>
  </si>
  <si>
    <t>Medicare and Medicaid Unallocable</t>
  </si>
  <si>
    <t>SSI</t>
  </si>
  <si>
    <t>TANF</t>
  </si>
  <si>
    <t>Refugee Assistance</t>
  </si>
  <si>
    <t>Other Cash Programs</t>
  </si>
  <si>
    <t>Child Tax Credit (refundable portion)</t>
  </si>
  <si>
    <t>EITC (refundable portion)</t>
  </si>
  <si>
    <t>Direct Expenditures (Non-Grants)</t>
  </si>
  <si>
    <t>Child Care Assistance</t>
  </si>
  <si>
    <t>Housing Assistance</t>
  </si>
  <si>
    <t>Medicaid and CHIP</t>
  </si>
  <si>
    <t>Pell Grants</t>
  </si>
  <si>
    <t>SNAP</t>
  </si>
  <si>
    <t>Other Non-Cash Programs</t>
  </si>
  <si>
    <t>General Housing Support</t>
  </si>
  <si>
    <t>Retirement (FOASI)</t>
  </si>
  <si>
    <t>Disability (FDI)</t>
  </si>
  <si>
    <t>Other Social Security (includes unallocable)</t>
  </si>
  <si>
    <t>Patents and Copyrights</t>
  </si>
  <si>
    <t>Non-Grant Assistance to Territories and S&amp;L Governments</t>
  </si>
  <si>
    <t>Grants to State and Local Governments and Territories</t>
  </si>
  <si>
    <t>Regular Highways</t>
  </si>
  <si>
    <t>Toll Highways (Govt. Business)</t>
  </si>
  <si>
    <t>Parking Facilities (Govt. Business)</t>
  </si>
  <si>
    <t>Liquor Stores (Govt. Business)</t>
  </si>
  <si>
    <t>Lotteries (Govt. Business)</t>
  </si>
  <si>
    <t>Medical Assistance to Poor (includes Medicaid)</t>
  </si>
  <si>
    <t>Education Outside the Classrooom - Libraries</t>
  </si>
  <si>
    <t>Sewerage and Waste Management</t>
  </si>
  <si>
    <t>Sewerage and Waste Management (Govt. Business)</t>
  </si>
  <si>
    <t>Water Utilities (Govt. Business)</t>
  </si>
  <si>
    <t>Other Environmental and Natural Resources</t>
  </si>
  <si>
    <t>Other Non-Cash Aid to the Disadvantaged</t>
  </si>
  <si>
    <t>Memo:</t>
  </si>
  <si>
    <t>Grants to State and Local Governments and Territories by Key Area:</t>
  </si>
  <si>
    <t>Key Federal Government Business-Like Operations:</t>
  </si>
  <si>
    <t>USPS</t>
  </si>
  <si>
    <t>All Health Expenditures</t>
  </si>
  <si>
    <t>All Expenditures on Indian Programs</t>
  </si>
  <si>
    <t>Alternative Categorization Totals:</t>
  </si>
  <si>
    <t>Key State and Local Government Business-Like Operations:</t>
  </si>
  <si>
    <t>Airports</t>
  </si>
  <si>
    <t>Toll Highways</t>
  </si>
  <si>
    <t>Parking Facilities</t>
  </si>
  <si>
    <t>Public Hospitals</t>
  </si>
  <si>
    <t>Transit Systems</t>
  </si>
  <si>
    <t>Sea and Inland Port Facilities</t>
  </si>
  <si>
    <t>Liquor Stores</t>
  </si>
  <si>
    <t>Lotteries</t>
  </si>
  <si>
    <t>Gas and Electric Utilities</t>
  </si>
  <si>
    <t>Water Utilities</t>
  </si>
  <si>
    <t>All Education Expenditures</t>
  </si>
  <si>
    <t>Gross Revenue</t>
  </si>
  <si>
    <t>Gross Expenditure</t>
  </si>
  <si>
    <t>Net Expenditure</t>
  </si>
  <si>
    <t>Wealth and Savings</t>
  </si>
  <si>
    <t>Education</t>
  </si>
  <si>
    <t>Sustainability and Self-Sufficiency</t>
  </si>
  <si>
    <t>Foreign Affairs and Foreign Aid</t>
  </si>
  <si>
    <t>All Government-Run Business-Like Operations</t>
  </si>
  <si>
    <t>Government Business-Like Operations:</t>
  </si>
  <si>
    <t>Item #</t>
  </si>
  <si>
    <t>Ballmer Classification</t>
  </si>
  <si>
    <t>Ballmer LOB 1</t>
  </si>
  <si>
    <t>Ballmer LOB 2</t>
  </si>
  <si>
    <t>Ballmer LOB 3</t>
  </si>
  <si>
    <t>Ballmer LOB 4</t>
  </si>
  <si>
    <t>Ballmer LOB 5</t>
  </si>
  <si>
    <t>Ballmer Memo 1</t>
  </si>
  <si>
    <t>Ballmer Memo 2</t>
  </si>
  <si>
    <t>Ballmer Memo 3</t>
  </si>
  <si>
    <t>General Welfare</t>
  </si>
  <si>
    <t>Non-Cash Programs</t>
  </si>
  <si>
    <t>Other</t>
  </si>
  <si>
    <t>Airports (Govt. Business)</t>
  </si>
  <si>
    <t>Government Business</t>
  </si>
  <si>
    <t>Other Govt. Businesses</t>
  </si>
  <si>
    <t>Secure the Blessings</t>
  </si>
  <si>
    <t>Education unallocable</t>
  </si>
  <si>
    <t>Establish Justice</t>
  </si>
  <si>
    <t>Health (All)</t>
  </si>
  <si>
    <t>Hospitals (Govt. Business)</t>
  </si>
  <si>
    <t>Education Outside the Classroom</t>
  </si>
  <si>
    <t>Libraries</t>
  </si>
  <si>
    <t>Sea and Inland Port Facilities (Govt. Business)</t>
  </si>
  <si>
    <t>Gas and Electric Utilities (Govt. Business)</t>
  </si>
  <si>
    <t>Transit (Govt. Business)</t>
  </si>
  <si>
    <t>Cash Programs</t>
  </si>
  <si>
    <t>Common Defense</t>
  </si>
  <si>
    <t>General Sales Taxes</t>
  </si>
  <si>
    <t>Selective Sales Taxes</t>
  </si>
  <si>
    <t>Other Selective Sales Taxes</t>
  </si>
  <si>
    <t>Other Non-Tax Revenue</t>
  </si>
  <si>
    <t>Payments from Federal Government (Net)</t>
  </si>
  <si>
    <t>Medical Assistance to Poor</t>
  </si>
  <si>
    <t>Repeat</t>
  </si>
  <si>
    <t>Grant or Nongrant</t>
  </si>
  <si>
    <t>Grant</t>
  </si>
  <si>
    <t>Nongrant</t>
  </si>
  <si>
    <t>International security assistance</t>
  </si>
  <si>
    <t>General science and basic research</t>
  </si>
  <si>
    <t>Rural Housing</t>
  </si>
  <si>
    <t>GSE</t>
  </si>
  <si>
    <t>Bailouts</t>
  </si>
  <si>
    <t>Highway &amp; Railroad Transportation Unallocable</t>
  </si>
  <si>
    <t>AMTRAK</t>
  </si>
  <si>
    <t>TVA</t>
  </si>
  <si>
    <t>Education inside the classroom</t>
  </si>
  <si>
    <t>Indian Programs</t>
  </si>
  <si>
    <t>Education outside the classroom</t>
  </si>
  <si>
    <t>Medicare &amp; Medicaid Unallocable</t>
  </si>
  <si>
    <t>SNAP (and other nutritional programs)</t>
  </si>
  <si>
    <t>FOASI</t>
  </si>
  <si>
    <t>FDI</t>
  </si>
  <si>
    <t>Other Social Security</t>
  </si>
  <si>
    <t>Veterans Pension &amp; Disability Benefits</t>
  </si>
  <si>
    <t>Federal Financing Bank</t>
  </si>
  <si>
    <t>General Purpose Fiscal Assistance to S&amp;L Governments</t>
  </si>
  <si>
    <t>General Assistance to Territories</t>
  </si>
  <si>
    <t>Overseas Private Investment Corporation</t>
  </si>
  <si>
    <t>Export-Import Bank</t>
  </si>
  <si>
    <t>XXXX</t>
  </si>
  <si>
    <t>Tax Revenues</t>
  </si>
  <si>
    <t>Medicare Taxes</t>
  </si>
  <si>
    <t>Social Security Taxes</t>
  </si>
  <si>
    <t>Contributions to Government Retirement and Disability Fund</t>
  </si>
  <si>
    <t>Non-Tax Revenues</t>
  </si>
  <si>
    <t>Rents and Royalties OCS</t>
  </si>
  <si>
    <t>X</t>
  </si>
  <si>
    <t>Railroad Retirement Taxes</t>
  </si>
  <si>
    <t>Unemployment Taxes</t>
  </si>
  <si>
    <t>Spending (Net Expenditures)</t>
  </si>
  <si>
    <t>Health (excludes Medicaid/Medicare)</t>
  </si>
  <si>
    <t>Health (excludes Medicare/Medicaid)</t>
  </si>
  <si>
    <t>Intergovernmental Revenue from Federal Government (Net)</t>
  </si>
  <si>
    <t>Other Government-Run Business-Like Operations</t>
  </si>
  <si>
    <t>All Higher Education Expenditures</t>
  </si>
  <si>
    <r>
      <t xml:space="preserve">USPS </t>
    </r>
    <r>
      <rPr>
        <sz val="11"/>
        <color theme="1"/>
        <rFont val="Calibri"/>
        <family val="2"/>
        <scheme val="minor"/>
      </rPr>
      <t>(in Postal Service)</t>
    </r>
  </si>
  <si>
    <r>
      <t>Tennessee Valley Authority</t>
    </r>
    <r>
      <rPr>
        <sz val="11"/>
        <color theme="1"/>
        <rFont val="Calibri"/>
        <family val="2"/>
        <scheme val="minor"/>
      </rPr>
      <t xml:space="preserve"> (in Energy)</t>
    </r>
  </si>
  <si>
    <r>
      <t>Federal Deposit Insurance Corporation</t>
    </r>
    <r>
      <rPr>
        <sz val="11"/>
        <color theme="1"/>
        <rFont val="Calibri"/>
        <family val="2"/>
        <scheme val="minor"/>
      </rPr>
      <t xml:space="preserve"> (in Deposit Insurance)</t>
    </r>
  </si>
  <si>
    <t>State and Local P&amp;L</t>
  </si>
  <si>
    <t>Federal P&amp;L</t>
  </si>
  <si>
    <t>Combined P&amp;L</t>
  </si>
  <si>
    <t>Other Medical Assistance to Persons (includes net spending by public hospitals)</t>
  </si>
  <si>
    <t>Higher Education (net of tuition revenue)</t>
  </si>
  <si>
    <t>Medicare (net of premiums)</t>
  </si>
  <si>
    <t>Child Safety and Miscellaneous Social Services</t>
  </si>
  <si>
    <t>Other Banking and Finance (includes financial market bailouts)</t>
  </si>
  <si>
    <t>Banking and Finance (deposit insurance, financial market bailouts, etc.)</t>
  </si>
  <si>
    <t>Transportation and Transportation Safety</t>
  </si>
  <si>
    <t>Breakdown of Federal Government Employee Retirement and Disability:</t>
  </si>
  <si>
    <t>Contributions from agencies to retirement and disability funds</t>
  </si>
  <si>
    <t>Contributions from employees to retirement and disability funds</t>
  </si>
  <si>
    <t>Benefits paid out of retirement and disability funds</t>
  </si>
  <si>
    <t>Higher Education:</t>
  </si>
  <si>
    <t>Gross Revenue from Tuition</t>
  </si>
  <si>
    <t>Gross Revenue from Auxiliary Sources (room and board, bookstores, etc.)</t>
  </si>
  <si>
    <t>Gross Expenditure on Instruction, Academic Services, Research, etc.</t>
  </si>
  <si>
    <t>Gross Expenditure on Auxiliary Sources</t>
  </si>
  <si>
    <t>Net Total Expenditure</t>
  </si>
  <si>
    <t>Safeguarding Consumers and Employees</t>
  </si>
  <si>
    <t>Secure the Blessings of Liberty to Ourselves and Our Posterity</t>
  </si>
  <si>
    <t>Trust Funds</t>
  </si>
  <si>
    <t>OASI Trust Fund</t>
  </si>
  <si>
    <t>Cash Income</t>
  </si>
  <si>
    <t>Cash Outgo</t>
  </si>
  <si>
    <t>Surplus or Deficit</t>
  </si>
  <si>
    <t>DI Trust Fund</t>
  </si>
  <si>
    <t>HI and SMI Trust Funds (Combined)</t>
  </si>
  <si>
    <t>Portion from long-term capital gains (estimate from Treasury - adjusted FY)</t>
  </si>
  <si>
    <r>
      <t>Other Government-Run Business-Like Operations</t>
    </r>
    <r>
      <rPr>
        <sz val="11"/>
        <color theme="1"/>
        <rFont val="Calibri"/>
        <family val="2"/>
        <scheme val="minor"/>
      </rPr>
      <t xml:space="preserve"> (in various segments)</t>
    </r>
  </si>
  <si>
    <r>
      <t>Export-Import Bank</t>
    </r>
    <r>
      <rPr>
        <sz val="11"/>
        <color theme="1"/>
        <rFont val="Calibri"/>
        <family val="2"/>
        <scheme val="minor"/>
      </rPr>
      <t xml:space="preserve">  (in Foreign Affairs)</t>
    </r>
  </si>
  <si>
    <t>General Housing Support (Net of loan repayments)</t>
  </si>
  <si>
    <t>Rural Housing Programs (Net of loan repayments)</t>
  </si>
  <si>
    <t>Higher Education (excludes Pell Grants; net of loan repayments)</t>
  </si>
  <si>
    <t>Air Transportation - Airports (Govt. Business - net of revenues)</t>
  </si>
  <si>
    <t>Railroad Transportation - Mass Transit (Govt. Business - net of revenues)</t>
  </si>
  <si>
    <t>Toll Highways (Govt. Business - net of revenues)</t>
  </si>
  <si>
    <t>Parking Facilities (Govt. Business - net of revenues)</t>
  </si>
  <si>
    <t>Water Transportation - Sea and Inland Port Facilities (Govt. Business - net of revenues)</t>
  </si>
  <si>
    <t>Liquor Stores (Govt. Business - net of revenues)</t>
  </si>
  <si>
    <t>Lotteries (Govt. Business - net of revenues)</t>
  </si>
  <si>
    <t>Other Medical Assistance to Persons - Public Hospitals (Govt. Business - net of revenues)</t>
  </si>
  <si>
    <t>Energy - Gas and Electric Utilities (Govt. Business - net of revenues)</t>
  </si>
  <si>
    <t>Sewerage and Waste Management (Govt. Business - net of revenues)</t>
  </si>
  <si>
    <t>Water Utilities (Govt. Business - net of revenues)</t>
  </si>
  <si>
    <t>Higher Education (Net of tuition revenues)</t>
  </si>
  <si>
    <t>Elementary and Secondary Education (Net of charges such as lunches)</t>
  </si>
  <si>
    <t>Other Government Businesses (net of revenues)</t>
  </si>
  <si>
    <t>Housing Assistance (Net of charges)</t>
  </si>
  <si>
    <t>Elementary and Secondary Education (net of charges such as school lunches)</t>
  </si>
  <si>
    <t>Postal Service (net of revenues from stamps, etc.)</t>
  </si>
  <si>
    <t>Note: Net expenditures for Bailouts in Banking and Finance</t>
  </si>
  <si>
    <t>Energy (includes net expenditures of energy utilities)</t>
  </si>
  <si>
    <t>Note: Net expenditures for Fannie Mae/Freddie Mac assistance</t>
  </si>
  <si>
    <t>Energy (includes net expenditures of energy utilities, e.g., TVA)</t>
  </si>
  <si>
    <t>Housing-Related GSE expenditures (Fannie Mae, Freddie Mac assistance)</t>
  </si>
  <si>
    <t>Earnings (Losses) on Investments</t>
  </si>
  <si>
    <t>Disaster Relief (net of insurance premiums)</t>
  </si>
  <si>
    <t>Immigration and Border Security (net of visa fees, etc.)</t>
  </si>
  <si>
    <t>Economy and Infrastructure</t>
  </si>
  <si>
    <t>Transportation and Transportation Safety (net of receipts such as tolls)</t>
  </si>
  <si>
    <t>General Science and Basic Research (includes NSF)</t>
  </si>
  <si>
    <t>Technology Infrastructure (includes FCC and NTIS)</t>
  </si>
  <si>
    <t>Unemployment Insurance (UI)</t>
  </si>
  <si>
    <t>Education Outside the Classrooom (includes libraries and museums)</t>
  </si>
  <si>
    <t>General Retirement Programs (includes Railroad Retirement and PBGC)</t>
  </si>
  <si>
    <t>Offset for Federal Government Employer Contributions for Retirement and Disability</t>
  </si>
  <si>
    <t>Interest on Debt (net of interest on investments)</t>
  </si>
  <si>
    <t>Non-Grant Assistance from Federal Government to Territories and State and Local Governments</t>
  </si>
  <si>
    <t>Discrepancy Between State and Local Receipts and Federal Government Transfers to State and Local Governments</t>
  </si>
  <si>
    <t>Offset for Government Employer Contributions for Retirement and Disability</t>
  </si>
  <si>
    <t>Offset for Government Employee Contributions for Retirement and Disability</t>
  </si>
  <si>
    <t>Unemployment Insurance (U.I.)</t>
  </si>
  <si>
    <t>Veterans Housing (net of loan repayments)</t>
  </si>
  <si>
    <t>Higher Education (Instruction)</t>
  </si>
  <si>
    <t>Energy, Environment, and Agriculture</t>
  </si>
  <si>
    <t>Note: Net expenditures for bailouts in Banking and Finance</t>
  </si>
  <si>
    <t>Net Surplus (Deficit)</t>
  </si>
  <si>
    <t>For Posterity: The American Dream</t>
  </si>
  <si>
    <t>Civil Rights Expenditures</t>
  </si>
  <si>
    <t>Elections</t>
  </si>
  <si>
    <t>Civic Participation</t>
  </si>
  <si>
    <t>Establish Justice and Ensure Domestic Tranquility</t>
  </si>
  <si>
    <t>General Commerce (includes Small Business Administration and net expenditures of lotteries and liquor stores)</t>
  </si>
  <si>
    <t>General Commerce (includes Small Business Administration)</t>
  </si>
  <si>
    <t>Note: Net Expenditures for Hospitals in Other Medical Assistance to Persons</t>
  </si>
  <si>
    <t>Billions of Dollars, Not Adjusted for Inflation</t>
  </si>
  <si>
    <r>
      <t xml:space="preserve">USPS </t>
    </r>
    <r>
      <rPr>
        <sz val="10"/>
        <color theme="1"/>
        <rFont val="Segoe UI"/>
        <family val="2"/>
      </rPr>
      <t>(in Postal Service)</t>
    </r>
  </si>
  <si>
    <r>
      <t>Tennessee Valley Authority</t>
    </r>
    <r>
      <rPr>
        <sz val="10"/>
        <color theme="1"/>
        <rFont val="Segoe UI"/>
        <family val="2"/>
      </rPr>
      <t xml:space="preserve"> (in Energy)</t>
    </r>
  </si>
  <si>
    <r>
      <t>Federal Deposit Insurance Corporation</t>
    </r>
    <r>
      <rPr>
        <sz val="10"/>
        <color theme="1"/>
        <rFont val="Segoe UI"/>
        <family val="2"/>
      </rPr>
      <t xml:space="preserve"> (in Deposit Insurance)</t>
    </r>
  </si>
  <si>
    <r>
      <t>Export-Import Bank</t>
    </r>
    <r>
      <rPr>
        <sz val="10"/>
        <color theme="1"/>
        <rFont val="Segoe UI"/>
        <family val="2"/>
      </rPr>
      <t xml:space="preserve">  (in Foreign Affairs)</t>
    </r>
  </si>
  <si>
    <r>
      <t>Other Government-Run Business-Like Operations</t>
    </r>
    <r>
      <rPr>
        <sz val="10"/>
        <color theme="1"/>
        <rFont val="Segoe UI"/>
        <family val="2"/>
      </rPr>
      <t xml:space="preserve"> (in various segments)</t>
    </r>
  </si>
  <si>
    <t>Note: Government-run Businesses (net expenditures)</t>
  </si>
  <si>
    <t>Table 13.1—CASH INCOME, OUTGO, AND BALANCES OF THE SOCIAL SECURITY AND MEDICARE TRUST FUNDS: 1936–2021</t>
  </si>
  <si>
    <t>(in millions of dollars)</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</si>
  <si>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</si>
  <si>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</si>
  <si>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</si>
  <si>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</si>
  <si>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</si>
  <si>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</si>
  <si>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</si>
  <si>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</si>
  <si>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</si>
  <si>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</si>
  <si>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</si>
  <si>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</si>
  <si>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</si>
  <si>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</si>
  <si>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</si>
  <si>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</si>
  <si>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</si>
  <si>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</si>
  <si>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</si>
  <si>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</si>
  <si>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</si>
  <si>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</si>
  <si>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</si>
  <si>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</si>
  <si>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</si>
  <si>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</si>
  <si>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</si>
  <si>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</si>
  <si>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</si>
  <si>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</si>
  <si>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</si>
  <si>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</si>
  <si>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</si>
  <si>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</si>
  <si>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</si>
  <si>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</si>
  <si>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</si>
  <si>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</si>
  <si>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</si>
  <si>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</si>
  <si>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</si>
  <si>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TQ</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</si>
  <si>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</si>
  <si>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</si>
  <si>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</si>
  <si>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</si>
  <si>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</si>
  <si>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</si>
  <si>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</si>
  <si>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</si>
  <si>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</si>
  <si>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</si>
  <si>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</si>
  <si>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</si>
  <si>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</si>
  <si>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</si>
  <si>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</si>
  <si>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</si>
  <si>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</si>
  <si>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</si>
  <si>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</si>
  <si>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</si>
  <si>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</si>
  <si>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</si>
  <si>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</si>
  <si>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</si>
  <si>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</si>
  <si>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</si>
  <si>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</si>
  <si>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</si>
  <si>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</si>
  <si>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</si>
  <si>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</si>
  <si>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</si>
  <si>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</si>
  <si>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</si>
  <si>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</si>
  <si>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</si>
  <si>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</si>
  <si>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</si>
  <si>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</si>
  <si>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 estimate</t>
  </si>
  <si>
    <t>2017 estimate</t>
  </si>
  <si>
    <t>2018 estimate</t>
  </si>
  <si>
    <t>2019 estimate</t>
  </si>
  <si>
    <t>2020 estimate</t>
  </si>
  <si>
    <t>2021 estimate</t>
  </si>
  <si>
    <t>Old age and survivors insurance fund:</t>
  </si>
  <si>
    <t>Cash income:</t>
  </si>
  <si>
    <t>Social insurance and retirement receipts</t>
  </si>
  <si>
    <t>..........</t>
  </si>
  <si>
    <t>Intragovernmental receipts:</t>
  </si>
  <si>
    <t>Employer share, employee retirement (952)</t>
  </si>
  <si>
    <t>Interest (903)</t>
  </si>
  <si>
    <t>*</t>
  </si>
  <si>
    <t>Total intragovernmental receipts</t>
  </si>
  <si>
    <t>Other cash income</t>
  </si>
  <si>
    <t>Total cash income</t>
  </si>
  <si>
    <t>Cash outgo:</t>
  </si>
  <si>
    <r>
      <t xml:space="preserve">Benefit payments </t>
    </r>
    <r>
      <rPr>
        <vertAlign val="superscript"/>
        <sz val="11"/>
        <rFont val="Arial"/>
        <family val="2"/>
      </rPr>
      <t>1</t>
    </r>
  </si>
  <si>
    <t>Payments to the railroad retirement account</t>
  </si>
  <si>
    <t>Interest payments</t>
  </si>
  <si>
    <t>−*</t>
  </si>
  <si>
    <t>Administrative expenses</t>
  </si>
  <si>
    <t>Military service credit adjustment</t>
  </si>
  <si>
    <r>
      <t xml:space="preserve">Beneficiary services and other </t>
    </r>
    <r>
      <rPr>
        <vertAlign val="superscript"/>
        <sz val="11"/>
        <rFont val="Arial"/>
        <family val="2"/>
      </rPr>
      <t>1</t>
    </r>
    <r>
      <rPr>
        <sz val="11"/>
        <rFont val="Arial"/>
        <family val="2"/>
      </rPr>
      <t xml:space="preserve"> </t>
    </r>
    <r>
      <rPr>
        <vertAlign val="superscript"/>
        <sz val="11"/>
        <rFont val="Arial"/>
        <family val="2"/>
      </rPr>
      <t>2</t>
    </r>
  </si>
  <si>
    <t>Total cash outgo</t>
  </si>
  <si>
    <t>Surplus or deficit (-)</t>
  </si>
  <si>
    <t>Borrowing or repayment (-) of borrowing from other trust funds</t>
  </si>
  <si>
    <t>Adjustment to balances</t>
  </si>
  <si>
    <t>Fund balance, end of year</t>
  </si>
  <si>
    <t>Invested balance</t>
  </si>
  <si>
    <t>Uninvested balance</t>
  </si>
  <si>
    <t>Disability insurance trust fund:</t>
  </si>
  <si>
    <r>
      <t xml:space="preserve">Beneficiary services and other </t>
    </r>
    <r>
      <rPr>
        <vertAlign val="superscript"/>
        <sz val="11"/>
        <rFont val="Arial"/>
        <family val="2"/>
      </rPr>
      <t>1</t>
    </r>
  </si>
  <si>
    <t>Lending (-) or repayment of loans to OASI fund</t>
  </si>
  <si>
    <t>Hospital insurance trust fund:</t>
  </si>
  <si>
    <r>
      <t xml:space="preserve">Employer share, employee retirement (951) </t>
    </r>
    <r>
      <rPr>
        <vertAlign val="superscript"/>
        <sz val="11"/>
        <rFont val="Arial"/>
        <family val="2"/>
      </rPr>
      <t>3</t>
    </r>
  </si>
  <si>
    <t>Interest (902)</t>
  </si>
  <si>
    <t>Interest from OASI</t>
  </si>
  <si>
    <t>Federal Payment (OASDI taxes)</t>
  </si>
  <si>
    <t>Net investment income tax</t>
  </si>
  <si>
    <t>Other (mainly proprietary) receipts:</t>
  </si>
  <si>
    <t>Premium income</t>
  </si>
  <si>
    <r>
      <t xml:space="preserve">Other </t>
    </r>
    <r>
      <rPr>
        <vertAlign val="superscript"/>
        <sz val="11"/>
        <rFont val="Arial"/>
        <family val="2"/>
      </rPr>
      <t>4</t>
    </r>
  </si>
  <si>
    <t>Total other (mainly proprietary) receipts</t>
  </si>
  <si>
    <r>
      <t xml:space="preserve">Benefit payments </t>
    </r>
    <r>
      <rPr>
        <vertAlign val="superscript"/>
        <sz val="11"/>
        <rFont val="Arial"/>
        <family val="2"/>
      </rPr>
      <t>5</t>
    </r>
  </si>
  <si>
    <t>Interest on normalized transfers</t>
  </si>
  <si>
    <t>Payments to the Patient-Centered Outcomes Research Trust Fund</t>
  </si>
  <si>
    <r>
      <t xml:space="preserve">Other </t>
    </r>
    <r>
      <rPr>
        <vertAlign val="superscript"/>
        <sz val="11"/>
        <rFont val="Arial"/>
        <family val="2"/>
      </rPr>
      <t>5</t>
    </r>
  </si>
  <si>
    <t>Transfer of CHI balances</t>
  </si>
  <si>
    <t>Supplementary medical insurance trust fund:</t>
  </si>
  <si>
    <r>
      <t xml:space="preserve">Individual income taxes </t>
    </r>
    <r>
      <rPr>
        <vertAlign val="superscript"/>
        <sz val="11"/>
        <rFont val="Arial"/>
        <family val="2"/>
      </rPr>
      <t>6</t>
    </r>
  </si>
  <si>
    <r>
      <t xml:space="preserve">Interest (902) </t>
    </r>
    <r>
      <rPr>
        <vertAlign val="superscript"/>
        <sz val="11"/>
        <rFont val="Arial"/>
        <family val="2"/>
      </rPr>
      <t>6</t>
    </r>
  </si>
  <si>
    <t>Federal contributions and other</t>
  </si>
  <si>
    <t>Premium income:</t>
  </si>
  <si>
    <t>From aged participants</t>
  </si>
  <si>
    <t>For prescription drugs</t>
  </si>
  <si>
    <t>From States and other participants</t>
  </si>
  <si>
    <t>Total premium income</t>
  </si>
  <si>
    <r>
      <t xml:space="preserve">Administrative expenses </t>
    </r>
    <r>
      <rPr>
        <vertAlign val="superscript"/>
        <sz val="11"/>
        <rFont val="Arial"/>
        <family val="2"/>
      </rPr>
      <t>6</t>
    </r>
  </si>
  <si>
    <r>
      <t>1</t>
    </r>
    <r>
      <rPr>
        <sz val="11"/>
        <rFont val="Arial"/>
        <family val="2"/>
      </rPr>
      <t xml:space="preserve"> For years after 2017, outlays for "Beneficiary Services and other" are included in the "Benefit Payments" line.</t>
    </r>
  </si>
  <si>
    <r>
      <t>2</t>
    </r>
    <r>
      <rPr>
        <sz val="11"/>
        <rFont val="Arial"/>
        <family val="2"/>
      </rPr>
      <t xml:space="preserve"> In 1983, includes $329.3 million loss on sale of securities.</t>
    </r>
  </si>
  <si>
    <r>
      <t>3</t>
    </r>
    <r>
      <rPr>
        <sz val="11"/>
        <rFont val="Arial"/>
        <family val="2"/>
      </rPr>
      <t xml:space="preserve"> Starting in 1983, includes amounts from Postal Service.</t>
    </r>
  </si>
  <si>
    <r>
      <t>4</t>
    </r>
    <r>
      <rPr>
        <sz val="11"/>
        <rFont val="Arial"/>
        <family val="2"/>
      </rPr>
      <t xml:space="preserve"> For years after 1986, SMI receipts for kidney dialysis. For years after 2004, includes Medicare refunds, which were shown as offsets to cash outgo in years prior to 2005.</t>
    </r>
  </si>
  <si>
    <r>
      <t>5</t>
    </r>
    <r>
      <rPr>
        <sz val="11"/>
        <rFont val="Arial"/>
        <family val="2"/>
      </rPr>
      <t xml:space="preserve"> For years after 2017, outlays in the "Other" line are included in the "Benefit Payments" line.</t>
    </r>
  </si>
  <si>
    <r>
      <t>6</t>
    </r>
    <r>
      <rPr>
        <sz val="11"/>
        <rFont val="Arial"/>
        <family val="2"/>
      </rPr>
      <t xml:space="preserve"> For 1989 and 1990, includes transactions and balances of the HI and SMI Catastrophic Insurance trust funds, which began in 1989 and were abolished in 1990.</t>
    </r>
  </si>
  <si>
    <t>* $500 thousand or less.</t>
  </si>
  <si>
    <t>Note: Offsetting collections from Federal sources that are credited to the Old Age and Survivors insurance (OASI) account and to the Supplementary Medical insurance (SMI) account are treated as offsets to cash outgo rather than as cash income. As a result, the partial transfer to SMI of Hospital Insurance (HI) home health is shown as benefit payments under HI rather than SMI. Similarly, transfers to Medicaid for payment of SMI premiums, which began in 2001, are shown as benefits under SMI.</t>
  </si>
  <si>
    <t>na</t>
  </si>
  <si>
    <t>Note: Grants to State and Local Governments and Territories</t>
  </si>
  <si>
    <t>Total</t>
  </si>
  <si>
    <t>State &amp; Local</t>
  </si>
  <si>
    <t>Federal</t>
  </si>
  <si>
    <t>Other Non-Cash Aid</t>
  </si>
  <si>
    <t>Note: The American Dream</t>
  </si>
  <si>
    <t>Other Cash-Aid</t>
  </si>
  <si>
    <t>Note: The American Dream (Federal)</t>
  </si>
  <si>
    <t>Gross Revenue (offsetting collections in budget)</t>
  </si>
  <si>
    <t>Gross Revenue (offsetting collections in budget for certain entities)</t>
  </si>
  <si>
    <t>Law Enforcement</t>
  </si>
  <si>
    <t>Corrections</t>
  </si>
  <si>
    <t>parent</t>
  </si>
  <si>
    <t>name</t>
  </si>
  <si>
    <t>Total Revenue</t>
  </si>
  <si>
    <t>Spending By Mission</t>
  </si>
  <si>
    <t>Total Spending (Net Expenditures)</t>
  </si>
  <si>
    <t>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</si>
</sst>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
    <numFmt numFmtId="166" formatCode="#,##0.0,,;\(#,##0.0,,\)"/>
  </numFmts>
  <fonts count="13"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Segoe UI"/>
      <family val="2"/>
    </font>
    <font>
      <b/>
      <sz val="10"/>
      <color theme="1"/>
      <name val="Segoe UI"/>
      <family val="2"/>
    </font>
    <font>
      <i/>
      <sz val="10"/>
      <color theme="1"/>
      <name val="Segoe UI"/>
      <family val="2"/>
    </font>
    <font>
      <b/>
      <sz val="11"/>
      <name val="Arial"/>
      <family val="2"/>
    </font>
    <font>
      <sz val="11"/>
      <name val="Arial"/>
      <family val="2"/>
    </font>
    <font>
      <i/>
      <sz val="11"/>
      <name val="Arial"/>
      <family val="2"/>
    </font>
    <font>
      <vertAlign val="superscript"/>
      <sz val="11"/>
      <name val="Arial"/>
      <family val="2"/>
    </font>
    <font>
      <b/>
      <i/>
      <sz val="10"/>
      <color theme="1"/>
      <name val="Segoe U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dotted">
        <color auto="1"/>
      </bottom>
      <diagonal/>
    </border>
    <border>
      <left/>
      <right/>
      <top/>
      <bottom style="dotted">
        <color auto="1"/>
      </bottom>
      <diagonal/>
    </border>
    <border>
      <left/>
      <right/>
      <top style="dotted">
        <color auto="1"/>
      </top>
      <bottom style="dott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double">
        <color rgb="FF000000"/>
      </top>
      <bottom/>
      <diagonal/>
    </border>
    <border>
      <left style="thin">
        <color rgb="FF000000"/>
      </left>
      <right/>
      <top/>
      <bottom style="thin">
        <color rgb="FF000000"/>
      </bottom>
      <diagonal/>
    </border>
    <border>
      <left/>
      <right/>
      <top style="thin">
        <color rgb="FF000000"/>
      </top>
      <bottom/>
      <diagonal/>
    </border>
    <border>
      <left/>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31">
    <xf numFmtId="0" fontId="0" fillId="0" borderId="0" xfId="0"/>
    <xf numFmtId="0" fontId="1"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xf>
    <xf numFmtId="0" fontId="1" fillId="0" borderId="0" xfId="0" applyFont="1" applyAlignment="1">
      <alignment horizontal="left" indent="1"/>
    </xf>
    <xf numFmtId="0" fontId="1" fillId="0" borderId="0" xfId="0" applyFont="1" applyAlignment="1">
      <alignment horizontal="left"/>
    </xf>
    <xf numFmtId="0" fontId="0" fillId="0" borderId="0" xfId="0" applyFont="1" applyAlignment="1">
      <alignment horizontal="left" indent="2"/>
    </xf>
    <xf numFmtId="0" fontId="2" fillId="0" borderId="0" xfId="0" applyFont="1" applyAlignment="1">
      <alignment horizontal="left" indent="2"/>
    </xf>
    <xf numFmtId="0" fontId="2" fillId="0" borderId="0" xfId="0" applyFont="1"/>
    <xf numFmtId="0" fontId="0" fillId="0" borderId="0" xfId="0" applyAlignment="1">
      <alignment horizontal="left" indent="6"/>
    </xf>
    <xf numFmtId="0" fontId="0" fillId="0" borderId="0" xfId="0" applyFont="1" applyAlignment="1">
      <alignment horizontal="left" indent="1"/>
    </xf>
    <xf numFmtId="1" fontId="0" fillId="0" borderId="0" xfId="0" applyNumberFormat="1"/>
    <xf numFmtId="1" fontId="2" fillId="0" borderId="0" xfId="0" applyNumberFormat="1" applyFont="1"/>
    <xf numFmtId="0" fontId="0" fillId="0" borderId="0" xfId="0" applyFill="1" applyAlignment="1">
      <alignment horizontal="left" indent="4"/>
    </xf>
    <xf numFmtId="0" fontId="0" fillId="0" borderId="0" xfId="0" applyFill="1"/>
    <xf numFmtId="0" fontId="0" fillId="0" borderId="0" xfId="0" applyFill="1" applyAlignment="1">
      <alignment horizontal="left" indent="5"/>
    </xf>
    <xf numFmtId="0" fontId="1" fillId="0" borderId="0" xfId="0" applyFont="1" applyAlignment="1">
      <alignment horizontal="left" indent="2"/>
    </xf>
    <xf numFmtId="0" fontId="4" fillId="3" borderId="2" xfId="0" applyFont="1" applyFill="1" applyBorder="1" applyAlignment="1"/>
    <xf numFmtId="0" fontId="3" fillId="2" borderId="0" xfId="0" applyFont="1" applyFill="1"/>
    <xf numFmtId="0" fontId="5" fillId="2" borderId="0" xfId="0" applyFont="1" applyFill="1"/>
    <xf numFmtId="0" fontId="4" fillId="2" borderId="0" xfId="0" applyFont="1" applyFill="1"/>
    <xf numFmtId="0" fontId="4" fillId="3" borderId="2" xfId="0" applyFont="1" applyFill="1" applyBorder="1"/>
    <xf numFmtId="0" fontId="3" fillId="2" borderId="0" xfId="0" applyFont="1" applyFill="1" applyAlignment="1">
      <alignment horizontal="left" indent="1"/>
    </xf>
    <xf numFmtId="0" fontId="3" fillId="2" borderId="0" xfId="0" applyFont="1" applyFill="1" applyAlignment="1">
      <alignment horizontal="left" indent="2"/>
    </xf>
    <xf numFmtId="0" fontId="3" fillId="2" borderId="0" xfId="0" applyFont="1" applyFill="1" applyAlignment="1">
      <alignment horizontal="left" indent="3"/>
    </xf>
    <xf numFmtId="0" fontId="3" fillId="2" borderId="0" xfId="0" applyFont="1" applyFill="1" applyAlignment="1">
      <alignment horizontal="left" indent="4"/>
    </xf>
    <xf numFmtId="0" fontId="4" fillId="2" borderId="0" xfId="0" applyFont="1" applyFill="1" applyAlignment="1">
      <alignment horizontal="left" indent="1"/>
    </xf>
    <xf numFmtId="0" fontId="3" fillId="2" borderId="0" xfId="0" applyFont="1" applyFill="1" applyAlignment="1">
      <alignment horizontal="left" indent="5"/>
    </xf>
    <xf numFmtId="0" fontId="3" fillId="2" borderId="0" xfId="0" applyFont="1" applyFill="1" applyAlignment="1">
      <alignment horizontal="left" indent="6"/>
    </xf>
    <xf numFmtId="0" fontId="4" fillId="2" borderId="0" xfId="0" applyFont="1" applyFill="1" applyAlignment="1">
      <alignment horizontal="left"/>
    </xf>
    <xf numFmtId="0" fontId="4" fillId="2" borderId="0" xfId="0" applyFont="1" applyFill="1" applyAlignment="1">
      <alignment horizontal="left" indent="2"/>
    </xf>
    <xf numFmtId="0" fontId="5" fillId="2" borderId="0" xfId="0" applyFont="1" applyFill="1" applyAlignment="1">
      <alignment horizontal="left" indent="2"/>
    </xf>
    <xf numFmtId="164" fontId="4" fillId="3" borderId="2" xfId="0" applyNumberFormat="1" applyFont="1" applyFill="1" applyBorder="1"/>
    <xf numFmtId="164" fontId="3" fillId="2" borderId="0" xfId="0" applyNumberFormat="1" applyFont="1" applyFill="1"/>
    <xf numFmtId="0" fontId="4" fillId="2" borderId="3" xfId="0" applyFont="1" applyFill="1" applyBorder="1" applyAlignment="1">
      <alignment horizontal="left" indent="1"/>
    </xf>
    <xf numFmtId="164" fontId="4" fillId="2" borderId="3" xfId="0" applyNumberFormat="1" applyFont="1" applyFill="1" applyBorder="1"/>
    <xf numFmtId="0" fontId="3" fillId="2" borderId="4" xfId="0" applyFont="1" applyFill="1" applyBorder="1" applyAlignment="1">
      <alignment horizontal="left" indent="2"/>
    </xf>
    <xf numFmtId="164" fontId="3" fillId="2" borderId="4" xfId="0" applyNumberFormat="1" applyFont="1" applyFill="1" applyBorder="1"/>
    <xf numFmtId="0" fontId="3" fillId="2" borderId="4" xfId="0" applyFont="1" applyFill="1" applyBorder="1" applyAlignment="1">
      <alignment horizontal="left" indent="3"/>
    </xf>
    <xf numFmtId="0" fontId="4" fillId="2" borderId="5" xfId="0" applyFont="1" applyFill="1" applyBorder="1" applyAlignment="1">
      <alignment horizontal="left" indent="1"/>
    </xf>
    <xf numFmtId="164" fontId="4" fillId="2" borderId="5" xfId="0" applyNumberFormat="1" applyFont="1" applyFill="1" applyBorder="1"/>
    <xf numFmtId="0" fontId="4" fillId="2" borderId="4" xfId="0" applyFont="1" applyFill="1" applyBorder="1" applyAlignment="1">
      <alignment horizontal="left" indent="2"/>
    </xf>
    <xf numFmtId="164" fontId="4" fillId="2" borderId="4" xfId="0" applyNumberFormat="1" applyFont="1" applyFill="1" applyBorder="1"/>
    <xf numFmtId="0" fontId="4" fillId="2" borderId="5" xfId="0" applyFont="1" applyFill="1" applyBorder="1" applyAlignment="1">
      <alignment horizontal="left" indent="2"/>
    </xf>
    <xf numFmtId="0" fontId="4" fillId="2" borderId="6" xfId="0" applyFont="1" applyFill="1" applyBorder="1" applyAlignment="1">
      <alignment horizontal="left" indent="2"/>
    </xf>
    <xf numFmtId="0" fontId="3" fillId="2" borderId="0" xfId="0" applyFont="1" applyFill="1" applyBorder="1" applyAlignment="1">
      <alignment horizontal="left" indent="4"/>
    </xf>
    <xf numFmtId="164" fontId="3" fillId="2" borderId="0" xfId="0" applyNumberFormat="1" applyFont="1" applyFill="1" applyBorder="1"/>
    <xf numFmtId="0" fontId="3" fillId="2" borderId="0" xfId="0" applyFont="1" applyFill="1" applyBorder="1"/>
    <xf numFmtId="0" fontId="7" fillId="0" borderId="0" xfId="0" applyFont="1" applyProtection="1"/>
    <xf numFmtId="0" fontId="6" fillId="0" borderId="9"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6" fillId="0" borderId="0" xfId="0" applyFont="1" applyAlignment="1" applyProtection="1">
      <alignment wrapText="1"/>
    </xf>
    <xf numFmtId="0" fontId="7" fillId="0" borderId="11" xfId="0" applyFont="1" applyBorder="1" applyAlignment="1" applyProtection="1">
      <alignment wrapText="1"/>
    </xf>
    <xf numFmtId="0" fontId="8" fillId="0" borderId="0" xfId="0" applyFont="1" applyAlignment="1" applyProtection="1">
      <alignment horizontal="left" wrapText="1" indent="1"/>
    </xf>
    <xf numFmtId="0" fontId="7" fillId="0" borderId="0" xfId="0" applyFont="1" applyAlignment="1" applyProtection="1">
      <alignment horizontal="left" wrapText="1" indent="2"/>
    </xf>
    <xf numFmtId="3" fontId="7" fillId="0" borderId="11" xfId="0" applyNumberFormat="1" applyFont="1" applyBorder="1" applyAlignment="1" applyProtection="1">
      <alignment horizontal="right" wrapText="1"/>
    </xf>
    <xf numFmtId="0" fontId="7" fillId="0" borderId="0" xfId="0" applyFont="1" applyAlignment="1" applyProtection="1">
      <alignment horizontal="left" wrapText="1" indent="3"/>
    </xf>
    <xf numFmtId="0" fontId="7" fillId="0" borderId="0" xfId="0" applyFont="1" applyAlignment="1" applyProtection="1">
      <alignment horizontal="left" wrapText="1" indent="4"/>
    </xf>
    <xf numFmtId="3" fontId="7" fillId="0" borderId="12" xfId="0" applyNumberFormat="1" applyFont="1" applyBorder="1" applyAlignment="1" applyProtection="1">
      <alignment horizontal="right" wrapText="1"/>
    </xf>
    <xf numFmtId="0" fontId="7" fillId="0" borderId="0" xfId="0" applyFont="1" applyAlignment="1" applyProtection="1">
      <alignment horizontal="left" wrapText="1" indent="1"/>
    </xf>
    <xf numFmtId="3" fontId="7" fillId="0" borderId="13" xfId="0" applyNumberFormat="1" applyFont="1" applyBorder="1" applyAlignment="1" applyProtection="1">
      <alignment horizontal="right" wrapText="1"/>
    </xf>
    <xf numFmtId="0" fontId="7" fillId="0" borderId="8" xfId="0" applyFont="1" applyBorder="1" applyAlignment="1" applyProtection="1">
      <alignment horizontal="left" wrapText="1" indent="1"/>
    </xf>
    <xf numFmtId="3" fontId="7" fillId="0" borderId="14" xfId="0" applyNumberFormat="1" applyFont="1" applyBorder="1" applyAlignment="1" applyProtection="1">
      <alignment horizontal="right" wrapText="1"/>
    </xf>
    <xf numFmtId="165" fontId="3" fillId="2" borderId="0" xfId="0" applyNumberFormat="1" applyFont="1" applyFill="1"/>
    <xf numFmtId="0" fontId="4" fillId="2" borderId="0" xfId="0" applyFont="1" applyFill="1" applyBorder="1"/>
    <xf numFmtId="0" fontId="4" fillId="3" borderId="2" xfId="0" applyFont="1" applyFill="1" applyBorder="1" applyAlignment="1">
      <alignment horizontal="left" indent="1"/>
    </xf>
    <xf numFmtId="165" fontId="4" fillId="3" borderId="2" xfId="0" applyNumberFormat="1" applyFont="1" applyFill="1" applyBorder="1"/>
    <xf numFmtId="0" fontId="3" fillId="2" borderId="16" xfId="0" applyFont="1" applyFill="1" applyBorder="1"/>
    <xf numFmtId="0" fontId="10" fillId="2" borderId="0" xfId="0" applyFont="1" applyFill="1" applyAlignment="1">
      <alignment horizontal="left" indent="1"/>
    </xf>
    <xf numFmtId="0" fontId="4" fillId="2" borderId="4" xfId="0" applyFont="1" applyFill="1" applyBorder="1" applyAlignment="1">
      <alignment horizontal="left" indent="1"/>
    </xf>
    <xf numFmtId="0" fontId="4" fillId="2" borderId="6" xfId="0" applyFont="1" applyFill="1" applyBorder="1" applyAlignment="1">
      <alignment horizontal="left" indent="1"/>
    </xf>
    <xf numFmtId="0" fontId="3" fillId="2" borderId="0" xfId="0" applyFont="1" applyFill="1" applyAlignment="1">
      <alignment horizontal="left"/>
    </xf>
    <xf numFmtId="0" fontId="3" fillId="2" borderId="1" xfId="0" applyFont="1" applyFill="1" applyBorder="1"/>
    <xf numFmtId="0" fontId="4" fillId="2" borderId="1" xfId="0" applyFont="1" applyFill="1" applyBorder="1"/>
    <xf numFmtId="0" fontId="3" fillId="2" borderId="17" xfId="0" applyFont="1" applyFill="1" applyBorder="1"/>
    <xf numFmtId="0" fontId="4" fillId="2" borderId="0" xfId="0" applyFont="1" applyFill="1" applyBorder="1" applyAlignment="1">
      <alignment horizontal="left" indent="1"/>
    </xf>
    <xf numFmtId="0" fontId="3" fillId="2" borderId="0" xfId="0" applyFont="1" applyFill="1" applyBorder="1" applyAlignment="1">
      <alignment horizontal="left" indent="3"/>
    </xf>
    <xf numFmtId="164" fontId="3" fillId="2" borderId="4" xfId="0" applyNumberFormat="1" applyFont="1" applyFill="1" applyBorder="1" applyAlignment="1">
      <alignment horizontal="right"/>
    </xf>
    <xf numFmtId="0" fontId="3" fillId="2" borderId="0" xfId="0" applyFont="1" applyFill="1" applyAlignment="1">
      <alignment horizontal="right"/>
    </xf>
    <xf numFmtId="165" fontId="4" fillId="3" borderId="2" xfId="0" applyNumberFormat="1" applyFont="1" applyFill="1" applyBorder="1" applyAlignment="1">
      <alignment horizontal="right"/>
    </xf>
    <xf numFmtId="165" fontId="3" fillId="2" borderId="0" xfId="0" applyNumberFormat="1" applyFont="1" applyFill="1" applyAlignment="1">
      <alignment horizontal="right"/>
    </xf>
    <xf numFmtId="164" fontId="3" fillId="2" borderId="0" xfId="0" applyNumberFormat="1" applyFont="1" applyFill="1" applyAlignment="1">
      <alignment horizontal="right"/>
    </xf>
    <xf numFmtId="164" fontId="4" fillId="2" borderId="5" xfId="0" applyNumberFormat="1" applyFont="1" applyFill="1" applyBorder="1" applyAlignment="1">
      <alignment horizontal="right"/>
    </xf>
    <xf numFmtId="164" fontId="4" fillId="3" borderId="2" xfId="0" applyNumberFormat="1" applyFont="1" applyFill="1" applyBorder="1" applyAlignment="1">
      <alignment horizontal="right"/>
    </xf>
    <xf numFmtId="164" fontId="3" fillId="2" borderId="0" xfId="0" applyNumberFormat="1" applyFont="1" applyFill="1" applyBorder="1" applyAlignment="1">
      <alignment horizontal="right"/>
    </xf>
    <xf numFmtId="164" fontId="4" fillId="2" borderId="4" xfId="0" applyNumberFormat="1" applyFont="1" applyFill="1" applyBorder="1" applyAlignment="1">
      <alignment horizontal="right"/>
    </xf>
    <xf numFmtId="164" fontId="4" fillId="2" borderId="3" xfId="0" applyNumberFormat="1" applyFont="1" applyFill="1" applyBorder="1" applyAlignment="1">
      <alignment horizontal="right"/>
    </xf>
    <xf numFmtId="0" fontId="4" fillId="2" borderId="0" xfId="0" applyFont="1" applyFill="1" applyAlignment="1">
      <alignment horizontal="right"/>
    </xf>
    <xf numFmtId="166" fontId="4" fillId="3" borderId="2" xfId="0" applyNumberFormat="1" applyFont="1" applyFill="1" applyBorder="1"/>
    <xf numFmtId="166" fontId="4" fillId="2" borderId="3" xfId="0" applyNumberFormat="1" applyFont="1" applyFill="1" applyBorder="1"/>
    <xf numFmtId="166" fontId="3" fillId="2" borderId="0" xfId="0" applyNumberFormat="1" applyFont="1" applyFill="1"/>
    <xf numFmtId="166" fontId="3" fillId="2" borderId="4" xfId="0" applyNumberFormat="1" applyFont="1" applyFill="1" applyBorder="1"/>
    <xf numFmtId="166" fontId="4" fillId="2" borderId="4" xfId="0" applyNumberFormat="1" applyFont="1" applyFill="1" applyBorder="1"/>
    <xf numFmtId="166" fontId="4" fillId="2" borderId="5" xfId="0" applyNumberFormat="1" applyFont="1" applyFill="1" applyBorder="1"/>
    <xf numFmtId="166" fontId="3" fillId="2" borderId="0" xfId="0" applyNumberFormat="1" applyFont="1" applyFill="1" applyBorder="1"/>
    <xf numFmtId="166" fontId="3" fillId="2" borderId="4" xfId="0" applyNumberFormat="1" applyFont="1" applyFill="1" applyBorder="1" applyAlignment="1">
      <alignment horizontal="right"/>
    </xf>
    <xf numFmtId="166" fontId="4" fillId="2" borderId="3" xfId="0" applyNumberFormat="1" applyFont="1" applyFill="1" applyBorder="1" applyAlignment="1">
      <alignment horizontal="right"/>
    </xf>
    <xf numFmtId="166" fontId="3" fillId="2" borderId="0" xfId="0" applyNumberFormat="1" applyFont="1" applyFill="1" applyAlignment="1">
      <alignment horizontal="right"/>
    </xf>
    <xf numFmtId="166" fontId="4" fillId="2" borderId="5" xfId="0" applyNumberFormat="1" applyFont="1" applyFill="1" applyBorder="1" applyAlignment="1">
      <alignment horizontal="right"/>
    </xf>
    <xf numFmtId="166" fontId="4" fillId="3" borderId="2" xfId="0" applyNumberFormat="1" applyFont="1" applyFill="1" applyBorder="1" applyAlignment="1">
      <alignment horizontal="right"/>
    </xf>
    <xf numFmtId="166" fontId="4" fillId="2" borderId="4" xfId="0" applyNumberFormat="1" applyFont="1" applyFill="1" applyBorder="1" applyAlignment="1">
      <alignment horizontal="right"/>
    </xf>
    <xf numFmtId="166" fontId="3" fillId="2" borderId="0" xfId="0" applyNumberFormat="1" applyFont="1" applyFill="1" applyBorder="1" applyAlignment="1">
      <alignment horizontal="right"/>
    </xf>
    <xf numFmtId="166" fontId="3" fillId="2" borderId="0" xfId="0" applyNumberFormat="1" applyFont="1" applyFill="1" applyAlignment="1">
      <alignment horizontal="left" indent="3"/>
    </xf>
    <xf numFmtId="3" fontId="4" fillId="3" borderId="2" xfId="0" applyNumberFormat="1" applyFont="1" applyFill="1" applyBorder="1"/>
    <xf numFmtId="3" fontId="4" fillId="2" borderId="3" xfId="0" applyNumberFormat="1" applyFont="1" applyFill="1" applyBorder="1"/>
    <xf numFmtId="3" fontId="3" fillId="2" borderId="0" xfId="0" applyNumberFormat="1" applyFont="1" applyFill="1"/>
    <xf numFmtId="3" fontId="4" fillId="2" borderId="5" xfId="0" applyNumberFormat="1" applyFont="1" applyFill="1" applyBorder="1"/>
    <xf numFmtId="1" fontId="4" fillId="3" borderId="2" xfId="0" applyNumberFormat="1" applyFont="1" applyFill="1" applyBorder="1"/>
    <xf numFmtId="1" fontId="4" fillId="2" borderId="5" xfId="0" applyNumberFormat="1" applyFont="1" applyFill="1" applyBorder="1"/>
    <xf numFmtId="1" fontId="3" fillId="2" borderId="0" xfId="0" applyNumberFormat="1" applyFont="1" applyFill="1"/>
    <xf numFmtId="1" fontId="4" fillId="2" borderId="0" xfId="0" applyNumberFormat="1" applyFont="1" applyFill="1" applyBorder="1"/>
    <xf numFmtId="3" fontId="3" fillId="2" borderId="4" xfId="0" applyNumberFormat="1" applyFont="1" applyFill="1" applyBorder="1"/>
    <xf numFmtId="3" fontId="4" fillId="2" borderId="4" xfId="0" applyNumberFormat="1" applyFont="1" applyFill="1" applyBorder="1"/>
    <xf numFmtId="1" fontId="4" fillId="2" borderId="4" xfId="0" applyNumberFormat="1" applyFont="1" applyFill="1" applyBorder="1"/>
    <xf numFmtId="1" fontId="3" fillId="2" borderId="4" xfId="0" applyNumberFormat="1" applyFont="1" applyFill="1" applyBorder="1"/>
    <xf numFmtId="1" fontId="3" fillId="2" borderId="0" xfId="0" applyNumberFormat="1" applyFont="1" applyFill="1" applyBorder="1"/>
    <xf numFmtId="1" fontId="4" fillId="2" borderId="7" xfId="0" applyNumberFormat="1" applyFont="1" applyFill="1" applyBorder="1"/>
    <xf numFmtId="1" fontId="3" fillId="2" borderId="4" xfId="0" applyNumberFormat="1" applyFont="1" applyFill="1" applyBorder="1" applyAlignment="1">
      <alignment horizontal="right"/>
    </xf>
    <xf numFmtId="0" fontId="4" fillId="2" borderId="18" xfId="0" applyFont="1" applyFill="1" applyBorder="1" applyAlignment="1">
      <alignment horizontal="right"/>
    </xf>
    <xf numFmtId="0" fontId="4" fillId="2" borderId="1" xfId="0" applyFont="1" applyFill="1" applyBorder="1" applyAlignment="1">
      <alignment horizontal="center"/>
    </xf>
    <xf numFmtId="0" fontId="9" fillId="0" borderId="0" xfId="0" applyFont="1" applyAlignment="1" applyProtection="1">
      <alignment wrapText="1"/>
    </xf>
    <xf numFmtId="0" fontId="7" fillId="0" borderId="0" xfId="0" applyFont="1" applyAlignment="1" applyProtection="1">
      <alignment wrapText="1"/>
    </xf>
    <xf numFmtId="0" fontId="6" fillId="0" borderId="0" xfId="0" applyFont="1" applyAlignment="1" applyProtection="1">
      <alignment horizontal="center" wrapText="1"/>
    </xf>
    <xf numFmtId="0" fontId="7" fillId="0" borderId="8" xfId="0" applyFont="1" applyBorder="1" applyAlignment="1" applyProtection="1">
      <alignment horizontal="center" wrapText="1"/>
    </xf>
    <xf numFmtId="0" fontId="9" fillId="0" borderId="15" xfId="0" applyFont="1" applyBorder="1" applyAlignment="1" applyProtection="1">
      <alignment wrapText="1"/>
    </xf>
    <xf numFmtId="0" fontId="6" fillId="0" borderId="0" xfId="0" applyFont="1" applyAlignment="1" applyProtection="1">
      <alignment horizontal="left" wrapText="1" indent="4"/>
    </xf>
    <xf numFmtId="0" fontId="6" fillId="0" borderId="0" xfId="0" applyFont="1" applyAlignment="1" applyProtection="1">
      <alignment horizontal="left" wrapText="1" indent="3"/>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5" Type="http://schemas.openxmlformats.org/officeDocument/2006/relationships/customXml" Target="../customXml/item1.xml"/><Relationship Id="rId16" Type="http://schemas.openxmlformats.org/officeDocument/2006/relationships/customXml" Target="../customXml/item2.xml"/><Relationship Id="rId1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30"/>
  <sheetViews>
    <sheetView zoomScale="85" zoomScaleNormal="85" zoomScalePageLayoutView="85" workbookViewId="0">
      <pane xSplit="1" ySplit="3" topLeftCell="D4" activePane="bottomRight" state="frozen"/>
      <selection pane="topRight" activeCell="B1" sqref="B1"/>
      <selection pane="bottomLeft" activeCell="A2" sqref="A2"/>
      <selection pane="bottomRight" activeCell="BL29" sqref="BL29:CV29"/>
    </sheetView>
  </sheetViews>
  <sheetFormatPr baseColWidth="10" defaultColWidth="9.1640625" defaultRowHeight="13" outlineLevelRow="4" outlineLevelCol="2" x14ac:dyDescent="0"/>
  <cols>
    <col min="1" max="1" width="71.33203125" style="22" customWidth="1"/>
    <col min="2" max="2" width="13.83203125" style="22" hidden="1" customWidth="1" outlineLevel="2"/>
    <col min="3" max="3" width="13.83203125" style="82" hidden="1" customWidth="1" outlineLevel="2"/>
    <col min="4" max="4" width="13.83203125" style="22" customWidth="1" collapsed="1"/>
    <col min="5" max="5" width="13.83203125" style="22" hidden="1" customWidth="1" outlineLevel="2"/>
    <col min="6" max="6" width="13.83203125" style="82" hidden="1" customWidth="1" outlineLevel="2"/>
    <col min="7" max="7" width="13.83203125" style="22" hidden="1" customWidth="1" outlineLevel="1"/>
    <col min="8" max="8" width="13.83203125" style="22" hidden="1" customWidth="1" outlineLevel="2"/>
    <col min="9" max="9" width="13.83203125" style="82" hidden="1" customWidth="1" outlineLevel="2"/>
    <col min="10" max="10" width="13.83203125" style="22" hidden="1" customWidth="1" outlineLevel="1"/>
    <col min="11" max="11" width="13.83203125" style="22" hidden="1" customWidth="1" outlineLevel="2"/>
    <col min="12" max="12" width="13.83203125" style="82" hidden="1" customWidth="1" outlineLevel="2"/>
    <col min="13" max="13" width="13.83203125" style="22" hidden="1" customWidth="1" outlineLevel="1"/>
    <col min="14" max="14" width="13.83203125" style="22" hidden="1" customWidth="1" outlineLevel="2"/>
    <col min="15" max="15" width="13.83203125" style="82" hidden="1" customWidth="1" outlineLevel="2"/>
    <col min="16" max="16" width="13.83203125" style="22" hidden="1" customWidth="1" outlineLevel="1"/>
    <col min="17" max="17" width="13.83203125" style="22" hidden="1" customWidth="1" outlineLevel="2"/>
    <col min="18" max="18" width="13.83203125" style="82" hidden="1" customWidth="1" outlineLevel="2"/>
    <col min="19" max="19" width="13.83203125" style="22" hidden="1" customWidth="1" outlineLevel="1"/>
    <col min="20" max="20" width="13.83203125" style="22" hidden="1" customWidth="1" outlineLevel="2"/>
    <col min="21" max="21" width="13.83203125" style="82" hidden="1" customWidth="1" outlineLevel="2"/>
    <col min="22" max="22" width="13.83203125" style="22" hidden="1" customWidth="1" outlineLevel="1"/>
    <col min="23" max="23" width="13.83203125" style="22" hidden="1" customWidth="1" outlineLevel="2"/>
    <col min="24" max="24" width="13.83203125" style="82" hidden="1" customWidth="1" outlineLevel="2"/>
    <col min="25" max="25" width="13.83203125" style="22" hidden="1" customWidth="1" outlineLevel="1"/>
    <col min="26" max="26" width="13.83203125" style="22" hidden="1" customWidth="1" outlineLevel="2"/>
    <col min="27" max="27" width="13.83203125" style="82" hidden="1" customWidth="1" outlineLevel="2"/>
    <col min="28" max="28" width="13.83203125" style="22" hidden="1" customWidth="1" outlineLevel="1"/>
    <col min="29" max="29" width="13.83203125" style="22" hidden="1" customWidth="1" outlineLevel="2"/>
    <col min="30" max="30" width="13.83203125" style="82" hidden="1" customWidth="1" outlineLevel="2"/>
    <col min="31" max="31" width="13.83203125" style="22" hidden="1" customWidth="1" outlineLevel="1"/>
    <col min="32" max="32" width="13.83203125" style="22" hidden="1" customWidth="1" outlineLevel="2"/>
    <col min="33" max="33" width="13.83203125" style="82" hidden="1" customWidth="1" outlineLevel="2"/>
    <col min="34" max="34" width="13.83203125" style="22" customWidth="1" collapsed="1"/>
    <col min="35" max="35" width="13.83203125" style="22" hidden="1" customWidth="1" outlineLevel="2"/>
    <col min="36" max="36" width="13.83203125" style="82" hidden="1" customWidth="1" outlineLevel="2"/>
    <col min="37" max="37" width="13.83203125" style="22" hidden="1" customWidth="1" outlineLevel="1"/>
    <col min="38" max="38" width="13.83203125" style="22" hidden="1" customWidth="1" outlineLevel="2"/>
    <col min="39" max="39" width="13.83203125" style="82" hidden="1" customWidth="1" outlineLevel="2"/>
    <col min="40" max="40" width="13.83203125" style="22" hidden="1" customWidth="1" outlineLevel="1"/>
    <col min="41" max="41" width="13.83203125" style="22" hidden="1" customWidth="1" outlineLevel="2"/>
    <col min="42" max="42" width="13.83203125" style="82" hidden="1" customWidth="1" outlineLevel="2"/>
    <col min="43" max="43" width="13.83203125" style="22" hidden="1" customWidth="1" outlineLevel="1"/>
    <col min="44" max="44" width="13.83203125" style="22" hidden="1" customWidth="1" outlineLevel="2"/>
    <col min="45" max="45" width="13.83203125" style="82" hidden="1" customWidth="1" outlineLevel="2"/>
    <col min="46" max="46" width="13.83203125" style="22" hidden="1" customWidth="1" outlineLevel="1"/>
    <col min="47" max="47" width="13.83203125" style="22" hidden="1" customWidth="1" outlineLevel="2"/>
    <col min="48" max="48" width="13.83203125" style="82" hidden="1" customWidth="1" outlineLevel="2"/>
    <col min="49" max="49" width="13.83203125" style="22" hidden="1" customWidth="1" outlineLevel="1"/>
    <col min="50" max="50" width="13.83203125" style="22" hidden="1" customWidth="1" outlineLevel="2"/>
    <col min="51" max="51" width="13.83203125" style="82" hidden="1" customWidth="1" outlineLevel="2"/>
    <col min="52" max="52" width="13.83203125" style="22" hidden="1" customWidth="1" outlineLevel="1"/>
    <col min="53" max="53" width="13.83203125" style="22" hidden="1" customWidth="1" outlineLevel="2"/>
    <col min="54" max="54" width="13.83203125" style="82" hidden="1" customWidth="1" outlineLevel="2"/>
    <col min="55" max="55" width="13.83203125" style="22" hidden="1" customWidth="1" outlineLevel="1"/>
    <col min="56" max="56" width="13.83203125" style="22" hidden="1" customWidth="1" outlineLevel="2"/>
    <col min="57" max="57" width="13.83203125" style="82" hidden="1" customWidth="1" outlineLevel="2"/>
    <col min="58" max="58" width="13.83203125" style="22" hidden="1" customWidth="1" outlineLevel="1"/>
    <col min="59" max="59" width="13.83203125" style="22" hidden="1" customWidth="1" outlineLevel="2"/>
    <col min="60" max="60" width="13.83203125" style="82" hidden="1" customWidth="1" outlineLevel="2"/>
    <col min="61" max="61" width="13.83203125" style="22" hidden="1" customWidth="1" outlineLevel="1"/>
    <col min="62" max="62" width="13.83203125" style="22" hidden="1" customWidth="1" outlineLevel="2"/>
    <col min="63" max="63" width="13.83203125" style="82" hidden="1" customWidth="1" outlineLevel="2"/>
    <col min="64" max="64" width="13.83203125" style="22" customWidth="1" collapsed="1"/>
    <col min="65" max="65" width="13.83203125" style="22" hidden="1" customWidth="1" outlineLevel="2"/>
    <col min="66" max="66" width="13.83203125" style="82" hidden="1" customWidth="1" outlineLevel="2"/>
    <col min="67" max="67" width="13.83203125" style="22" hidden="1" customWidth="1" outlineLevel="1"/>
    <col min="68" max="68" width="13.83203125" style="22" hidden="1" customWidth="1" outlineLevel="2"/>
    <col min="69" max="69" width="13.83203125" style="82" hidden="1" customWidth="1" outlineLevel="2"/>
    <col min="70" max="70" width="13.83203125" style="22" hidden="1" customWidth="1" outlineLevel="1"/>
    <col min="71" max="71" width="13.83203125" style="22" hidden="1" customWidth="1" outlineLevel="2"/>
    <col min="72" max="72" width="13.83203125" style="82" hidden="1" customWidth="1" outlineLevel="2"/>
    <col min="73" max="73" width="13.83203125" style="22" hidden="1" customWidth="1" outlineLevel="1"/>
    <col min="74" max="74" width="13.83203125" style="22" hidden="1" customWidth="1" outlineLevel="2"/>
    <col min="75" max="75" width="13.83203125" style="82" hidden="1" customWidth="1" outlineLevel="2"/>
    <col min="76" max="76" width="13.83203125" style="22" hidden="1" customWidth="1" outlineLevel="1"/>
    <col min="77" max="77" width="13.83203125" style="22" hidden="1" customWidth="1" outlineLevel="2"/>
    <col min="78" max="78" width="13.83203125" style="82" hidden="1" customWidth="1" outlineLevel="2"/>
    <col min="79" max="79" width="13.83203125" style="22" customWidth="1" collapsed="1"/>
    <col min="80" max="80" width="13.83203125" style="22" hidden="1" customWidth="1" outlineLevel="2"/>
    <col min="81" max="81" width="13.83203125" style="82" hidden="1" customWidth="1" outlineLevel="2"/>
    <col min="82" max="82" width="13.83203125" style="22" hidden="1" customWidth="1" outlineLevel="1"/>
    <col min="83" max="83" width="13.83203125" style="22" hidden="1" customWidth="1" outlineLevel="2"/>
    <col min="84" max="84" width="13.83203125" style="82" hidden="1" customWidth="1" outlineLevel="2"/>
    <col min="85" max="85" width="13.83203125" style="22" hidden="1" customWidth="1" outlineLevel="1"/>
    <col min="86" max="86" width="13.83203125" style="22" hidden="1" customWidth="1" outlineLevel="2"/>
    <col min="87" max="87" width="13.83203125" style="82" hidden="1" customWidth="1" outlineLevel="2"/>
    <col min="88" max="88" width="13.83203125" style="22" hidden="1" customWidth="1" outlineLevel="1"/>
    <col min="89" max="89" width="13.83203125" style="22" hidden="1" customWidth="1" outlineLevel="2"/>
    <col min="90" max="90" width="13.83203125" style="82" hidden="1" customWidth="1" outlineLevel="2"/>
    <col min="91" max="91" width="13.83203125" style="22" hidden="1" customWidth="1" outlineLevel="1"/>
    <col min="92" max="92" width="13.83203125" style="22" hidden="1" customWidth="1" outlineLevel="2"/>
    <col min="93" max="93" width="13.83203125" style="82" hidden="1" customWidth="1" outlineLevel="2"/>
    <col min="94" max="94" width="13.83203125" style="22" customWidth="1" collapsed="1"/>
    <col min="95" max="95" width="13.83203125" style="22" hidden="1" customWidth="1" outlineLevel="2"/>
    <col min="96" max="96" width="13.83203125" style="82" hidden="1" customWidth="1" outlineLevel="2"/>
    <col min="97" max="97" width="13.83203125" style="22" customWidth="1" collapsed="1"/>
    <col min="98" max="98" width="13.83203125" style="22" hidden="1" customWidth="1" outlineLevel="2"/>
    <col min="99" max="99" width="13.83203125" style="82" hidden="1" customWidth="1" outlineLevel="2"/>
    <col min="100" max="100" width="13.83203125" style="22" customWidth="1" collapsed="1"/>
    <col min="101" max="101" width="13.83203125" style="22" hidden="1" customWidth="1" outlineLevel="2"/>
    <col min="102" max="102" width="13.83203125" style="82" hidden="1" customWidth="1" outlineLevel="2"/>
    <col min="103" max="103" width="13.83203125" style="22" customWidth="1" collapsed="1"/>
    <col min="104" max="104" width="13.83203125" style="22" hidden="1" customWidth="1" outlineLevel="2"/>
    <col min="105" max="105" width="13.83203125" style="82" hidden="1" customWidth="1" outlineLevel="2"/>
    <col min="106" max="106" width="13.83203125" style="22" customWidth="1" collapsed="1"/>
    <col min="107" max="107" width="13.83203125" style="22" hidden="1" customWidth="1" outlineLevel="2"/>
    <col min="108" max="108" width="13.83203125" style="82" hidden="1" customWidth="1" outlineLevel="2"/>
    <col min="109" max="109" width="13.83203125" style="22" hidden="1" customWidth="1" outlineLevel="1"/>
    <col min="110" max="110" width="9.1640625" style="22" collapsed="1"/>
    <col min="111" max="16384" width="9.1640625" style="22"/>
  </cols>
  <sheetData>
    <row r="1" spans="1:109">
      <c r="A1" s="23" t="s">
        <v>243</v>
      </c>
      <c r="B1" s="123" t="s">
        <v>329</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c r="CR1" s="123"/>
      <c r="CS1" s="123"/>
      <c r="CT1" s="123"/>
      <c r="CU1" s="123"/>
      <c r="CV1" s="123"/>
      <c r="CW1" s="123"/>
      <c r="CX1" s="123"/>
      <c r="CY1" s="123"/>
      <c r="CZ1" s="123"/>
      <c r="DA1" s="123"/>
      <c r="DB1" s="123"/>
      <c r="DC1" s="123"/>
      <c r="DD1" s="123"/>
      <c r="DE1" s="123"/>
    </row>
    <row r="2" spans="1:109" s="82" customFormat="1">
      <c r="B2" s="122">
        <v>1980</v>
      </c>
      <c r="C2" s="122"/>
      <c r="D2" s="122"/>
      <c r="E2" s="122">
        <v>1981</v>
      </c>
      <c r="F2" s="122">
        <v>1980</v>
      </c>
      <c r="G2" s="122">
        <v>1980</v>
      </c>
      <c r="H2" s="122">
        <v>1982</v>
      </c>
      <c r="I2" s="122">
        <v>1980</v>
      </c>
      <c r="J2" s="122">
        <v>1980</v>
      </c>
      <c r="K2" s="122">
        <v>1983</v>
      </c>
      <c r="L2" s="122">
        <v>1980</v>
      </c>
      <c r="M2" s="122">
        <v>1980</v>
      </c>
      <c r="N2" s="122">
        <v>1984</v>
      </c>
      <c r="O2" s="122">
        <v>1980</v>
      </c>
      <c r="P2" s="122">
        <v>1980</v>
      </c>
      <c r="Q2" s="122">
        <v>1985</v>
      </c>
      <c r="R2" s="122">
        <v>1980</v>
      </c>
      <c r="S2" s="122">
        <v>1980</v>
      </c>
      <c r="T2" s="122">
        <v>1986</v>
      </c>
      <c r="U2" s="122">
        <v>1980</v>
      </c>
      <c r="V2" s="122">
        <v>1980</v>
      </c>
      <c r="W2" s="122">
        <v>1987</v>
      </c>
      <c r="X2" s="122">
        <v>1980</v>
      </c>
      <c r="Y2" s="122">
        <v>1980</v>
      </c>
      <c r="Z2" s="122">
        <v>1988</v>
      </c>
      <c r="AA2" s="122">
        <v>1980</v>
      </c>
      <c r="AB2" s="122">
        <v>1980</v>
      </c>
      <c r="AC2" s="122">
        <v>1989</v>
      </c>
      <c r="AD2" s="122">
        <v>1980</v>
      </c>
      <c r="AE2" s="122">
        <v>1980</v>
      </c>
      <c r="AF2" s="122">
        <v>1990</v>
      </c>
      <c r="AG2" s="122">
        <v>1980</v>
      </c>
      <c r="AH2" s="122">
        <v>1980</v>
      </c>
      <c r="AI2" s="122">
        <v>1991</v>
      </c>
      <c r="AJ2" s="122">
        <v>1980</v>
      </c>
      <c r="AK2" s="122">
        <v>1980</v>
      </c>
      <c r="AL2" s="122">
        <v>1992</v>
      </c>
      <c r="AM2" s="122">
        <v>1980</v>
      </c>
      <c r="AN2" s="122">
        <v>1980</v>
      </c>
      <c r="AO2" s="122">
        <v>1993</v>
      </c>
      <c r="AP2" s="122">
        <v>1980</v>
      </c>
      <c r="AQ2" s="122">
        <v>1980</v>
      </c>
      <c r="AR2" s="122">
        <v>1994</v>
      </c>
      <c r="AS2" s="122">
        <v>1980</v>
      </c>
      <c r="AT2" s="122">
        <v>1980</v>
      </c>
      <c r="AU2" s="122">
        <v>1995</v>
      </c>
      <c r="AV2" s="122">
        <v>1980</v>
      </c>
      <c r="AW2" s="122">
        <v>1980</v>
      </c>
      <c r="AX2" s="122">
        <v>1996</v>
      </c>
      <c r="AY2" s="122">
        <v>1980</v>
      </c>
      <c r="AZ2" s="122">
        <v>1980</v>
      </c>
      <c r="BA2" s="122">
        <v>1997</v>
      </c>
      <c r="BB2" s="122">
        <v>1980</v>
      </c>
      <c r="BC2" s="122">
        <v>1980</v>
      </c>
      <c r="BD2" s="122">
        <v>1998</v>
      </c>
      <c r="BE2" s="122">
        <v>1980</v>
      </c>
      <c r="BF2" s="122">
        <v>1980</v>
      </c>
      <c r="BG2" s="122">
        <v>1999</v>
      </c>
      <c r="BH2" s="122">
        <v>1980</v>
      </c>
      <c r="BI2" s="122">
        <v>1980</v>
      </c>
      <c r="BJ2" s="122">
        <v>2000</v>
      </c>
      <c r="BK2" s="122">
        <v>1980</v>
      </c>
      <c r="BL2" s="122">
        <v>1980</v>
      </c>
      <c r="BM2" s="122">
        <v>2001</v>
      </c>
      <c r="BN2" s="122">
        <v>1980</v>
      </c>
      <c r="BO2" s="122">
        <v>1980</v>
      </c>
      <c r="BP2" s="122">
        <v>2002</v>
      </c>
      <c r="BQ2" s="122">
        <v>1980</v>
      </c>
      <c r="BR2" s="122">
        <v>1980</v>
      </c>
      <c r="BS2" s="122">
        <v>2003</v>
      </c>
      <c r="BT2" s="122">
        <v>1980</v>
      </c>
      <c r="BU2" s="122">
        <v>1980</v>
      </c>
      <c r="BV2" s="122">
        <v>2004</v>
      </c>
      <c r="BW2" s="122">
        <v>1980</v>
      </c>
      <c r="BX2" s="122">
        <v>1980</v>
      </c>
      <c r="BY2" s="122">
        <v>2005</v>
      </c>
      <c r="BZ2" s="122">
        <v>1980</v>
      </c>
      <c r="CA2" s="122">
        <v>1980</v>
      </c>
      <c r="CB2" s="122">
        <v>2006</v>
      </c>
      <c r="CC2" s="122">
        <v>1980</v>
      </c>
      <c r="CD2" s="122">
        <v>1980</v>
      </c>
      <c r="CE2" s="122">
        <v>2007</v>
      </c>
      <c r="CF2" s="122">
        <v>1980</v>
      </c>
      <c r="CG2" s="122">
        <v>1980</v>
      </c>
      <c r="CH2" s="122">
        <v>2008</v>
      </c>
      <c r="CI2" s="122">
        <v>1980</v>
      </c>
      <c r="CJ2" s="122">
        <v>1980</v>
      </c>
      <c r="CK2" s="122">
        <v>2009</v>
      </c>
      <c r="CL2" s="122">
        <v>1980</v>
      </c>
      <c r="CM2" s="122">
        <v>1980</v>
      </c>
      <c r="CN2" s="122">
        <v>2010</v>
      </c>
      <c r="CO2" s="122">
        <v>1980</v>
      </c>
      <c r="CP2" s="122">
        <v>1980</v>
      </c>
      <c r="CQ2" s="122">
        <v>2011</v>
      </c>
      <c r="CR2" s="122">
        <v>1980</v>
      </c>
      <c r="CS2" s="122">
        <v>1980</v>
      </c>
      <c r="CT2" s="122">
        <v>2012</v>
      </c>
      <c r="CU2" s="122">
        <v>1980</v>
      </c>
      <c r="CV2" s="122">
        <v>1980</v>
      </c>
      <c r="CW2" s="122">
        <v>2013</v>
      </c>
      <c r="CX2" s="122">
        <v>1980</v>
      </c>
      <c r="CY2" s="122">
        <v>1980</v>
      </c>
      <c r="CZ2" s="122">
        <v>2014</v>
      </c>
      <c r="DA2" s="122">
        <v>1980</v>
      </c>
      <c r="DB2" s="122">
        <v>1980</v>
      </c>
      <c r="DC2" s="122">
        <v>2015</v>
      </c>
      <c r="DD2" s="122">
        <v>1980</v>
      </c>
      <c r="DE2" s="122">
        <v>1980</v>
      </c>
    </row>
    <row r="3" spans="1:109">
      <c r="B3" s="91" t="s">
        <v>491</v>
      </c>
      <c r="C3" s="91" t="s">
        <v>490</v>
      </c>
      <c r="D3" s="91" t="s">
        <v>489</v>
      </c>
      <c r="E3" s="91" t="s">
        <v>491</v>
      </c>
      <c r="F3" s="91" t="s">
        <v>490</v>
      </c>
      <c r="G3" s="91" t="s">
        <v>489</v>
      </c>
      <c r="H3" s="91" t="s">
        <v>491</v>
      </c>
      <c r="I3" s="91" t="s">
        <v>490</v>
      </c>
      <c r="J3" s="91" t="s">
        <v>489</v>
      </c>
      <c r="K3" s="91" t="s">
        <v>491</v>
      </c>
      <c r="L3" s="91" t="s">
        <v>490</v>
      </c>
      <c r="M3" s="91" t="s">
        <v>489</v>
      </c>
      <c r="N3" s="91" t="s">
        <v>491</v>
      </c>
      <c r="O3" s="91" t="s">
        <v>490</v>
      </c>
      <c r="P3" s="91" t="s">
        <v>489</v>
      </c>
      <c r="Q3" s="91" t="s">
        <v>491</v>
      </c>
      <c r="R3" s="91" t="s">
        <v>490</v>
      </c>
      <c r="S3" s="91" t="s">
        <v>489</v>
      </c>
      <c r="T3" s="91" t="s">
        <v>491</v>
      </c>
      <c r="U3" s="91" t="s">
        <v>490</v>
      </c>
      <c r="V3" s="91" t="s">
        <v>489</v>
      </c>
      <c r="W3" s="91" t="s">
        <v>491</v>
      </c>
      <c r="X3" s="91" t="s">
        <v>490</v>
      </c>
      <c r="Y3" s="91" t="s">
        <v>489</v>
      </c>
      <c r="Z3" s="91" t="s">
        <v>491</v>
      </c>
      <c r="AA3" s="91" t="s">
        <v>490</v>
      </c>
      <c r="AB3" s="91" t="s">
        <v>489</v>
      </c>
      <c r="AC3" s="91" t="s">
        <v>491</v>
      </c>
      <c r="AD3" s="91" t="s">
        <v>490</v>
      </c>
      <c r="AE3" s="91" t="s">
        <v>489</v>
      </c>
      <c r="AF3" s="91" t="s">
        <v>491</v>
      </c>
      <c r="AG3" s="91" t="s">
        <v>490</v>
      </c>
      <c r="AH3" s="91" t="s">
        <v>489</v>
      </c>
      <c r="AI3" s="91" t="s">
        <v>491</v>
      </c>
      <c r="AJ3" s="91" t="s">
        <v>490</v>
      </c>
      <c r="AK3" s="91" t="s">
        <v>489</v>
      </c>
      <c r="AL3" s="91" t="s">
        <v>491</v>
      </c>
      <c r="AM3" s="91" t="s">
        <v>490</v>
      </c>
      <c r="AN3" s="91" t="s">
        <v>489</v>
      </c>
      <c r="AO3" s="91" t="s">
        <v>491</v>
      </c>
      <c r="AP3" s="91" t="s">
        <v>490</v>
      </c>
      <c r="AQ3" s="91" t="s">
        <v>489</v>
      </c>
      <c r="AR3" s="91" t="s">
        <v>491</v>
      </c>
      <c r="AS3" s="91" t="s">
        <v>490</v>
      </c>
      <c r="AT3" s="91" t="s">
        <v>489</v>
      </c>
      <c r="AU3" s="91" t="s">
        <v>491</v>
      </c>
      <c r="AV3" s="91" t="s">
        <v>490</v>
      </c>
      <c r="AW3" s="91" t="s">
        <v>489</v>
      </c>
      <c r="AX3" s="91" t="s">
        <v>491</v>
      </c>
      <c r="AY3" s="91" t="s">
        <v>490</v>
      </c>
      <c r="AZ3" s="91" t="s">
        <v>489</v>
      </c>
      <c r="BA3" s="91" t="s">
        <v>491</v>
      </c>
      <c r="BB3" s="91" t="s">
        <v>490</v>
      </c>
      <c r="BC3" s="91" t="s">
        <v>489</v>
      </c>
      <c r="BD3" s="91" t="s">
        <v>491</v>
      </c>
      <c r="BE3" s="91" t="s">
        <v>490</v>
      </c>
      <c r="BF3" s="91" t="s">
        <v>489</v>
      </c>
      <c r="BG3" s="91" t="s">
        <v>491</v>
      </c>
      <c r="BH3" s="91" t="s">
        <v>490</v>
      </c>
      <c r="BI3" s="91" t="s">
        <v>489</v>
      </c>
      <c r="BJ3" s="91" t="s">
        <v>491</v>
      </c>
      <c r="BK3" s="91" t="s">
        <v>490</v>
      </c>
      <c r="BL3" s="91" t="s">
        <v>489</v>
      </c>
      <c r="BM3" s="91" t="s">
        <v>491</v>
      </c>
      <c r="BN3" s="91" t="s">
        <v>490</v>
      </c>
      <c r="BO3" s="91" t="s">
        <v>489</v>
      </c>
      <c r="BP3" s="91" t="s">
        <v>491</v>
      </c>
      <c r="BQ3" s="91" t="s">
        <v>490</v>
      </c>
      <c r="BR3" s="91" t="s">
        <v>489</v>
      </c>
      <c r="BS3" s="91" t="s">
        <v>491</v>
      </c>
      <c r="BT3" s="91" t="s">
        <v>490</v>
      </c>
      <c r="BU3" s="91" t="s">
        <v>489</v>
      </c>
      <c r="BV3" s="91" t="s">
        <v>491</v>
      </c>
      <c r="BW3" s="91" t="s">
        <v>490</v>
      </c>
      <c r="BX3" s="91" t="s">
        <v>489</v>
      </c>
      <c r="BY3" s="91" t="s">
        <v>491</v>
      </c>
      <c r="BZ3" s="91" t="s">
        <v>490</v>
      </c>
      <c r="CA3" s="91" t="s">
        <v>489</v>
      </c>
      <c r="CB3" s="91" t="s">
        <v>491</v>
      </c>
      <c r="CC3" s="91" t="s">
        <v>490</v>
      </c>
      <c r="CD3" s="91" t="s">
        <v>489</v>
      </c>
      <c r="CE3" s="91" t="s">
        <v>491</v>
      </c>
      <c r="CF3" s="91" t="s">
        <v>490</v>
      </c>
      <c r="CG3" s="91" t="s">
        <v>489</v>
      </c>
      <c r="CH3" s="91" t="s">
        <v>491</v>
      </c>
      <c r="CI3" s="91" t="s">
        <v>490</v>
      </c>
      <c r="CJ3" s="91" t="s">
        <v>489</v>
      </c>
      <c r="CK3" s="91" t="s">
        <v>491</v>
      </c>
      <c r="CL3" s="91" t="s">
        <v>490</v>
      </c>
      <c r="CM3" s="91" t="s">
        <v>489</v>
      </c>
      <c r="CN3" s="91" t="s">
        <v>491</v>
      </c>
      <c r="CO3" s="91" t="s">
        <v>490</v>
      </c>
      <c r="CP3" s="91" t="s">
        <v>489</v>
      </c>
      <c r="CQ3" s="91" t="s">
        <v>491</v>
      </c>
      <c r="CR3" s="91" t="s">
        <v>490</v>
      </c>
      <c r="CS3" s="91" t="s">
        <v>489</v>
      </c>
      <c r="CT3" s="91" t="s">
        <v>491</v>
      </c>
      <c r="CU3" s="91" t="s">
        <v>490</v>
      </c>
      <c r="CV3" s="91" t="s">
        <v>489</v>
      </c>
      <c r="CW3" s="91" t="s">
        <v>491</v>
      </c>
      <c r="CX3" s="91" t="s">
        <v>490</v>
      </c>
      <c r="CY3" s="91" t="s">
        <v>489</v>
      </c>
      <c r="CZ3" s="91" t="s">
        <v>491</v>
      </c>
      <c r="DA3" s="91" t="s">
        <v>490</v>
      </c>
      <c r="DB3" s="91" t="s">
        <v>489</v>
      </c>
      <c r="DC3" s="91" t="s">
        <v>491</v>
      </c>
      <c r="DD3" s="91" t="s">
        <v>490</v>
      </c>
      <c r="DE3" s="91" t="s">
        <v>489</v>
      </c>
    </row>
    <row r="4" spans="1:109" hidden="1"/>
    <row r="5" spans="1:109" s="24" customFormat="1">
      <c r="A5" s="25" t="s">
        <v>0</v>
      </c>
      <c r="B5" s="92">
        <f>SUMIFS('Federal Data'!M2:M501,'Federal Data'!$C2:$C501,"Revenue")</f>
        <v>518946872</v>
      </c>
      <c r="C5" s="103">
        <f>'State and Local P&amp;L (detailed)'!$C$5</f>
        <v>332580232</v>
      </c>
      <c r="D5" s="92">
        <f>B5+C5-C34</f>
        <v>770234475</v>
      </c>
      <c r="E5" s="92">
        <f>SUMIFS('Federal Data'!N2:N501,'Federal Data'!$C2:$C501,"Revenue")</f>
        <v>607188009</v>
      </c>
      <c r="F5" s="103">
        <f>'State and Local P&amp;L (detailed)'!$D$5</f>
        <v>367340355</v>
      </c>
      <c r="G5" s="92">
        <f>E5+F5-F34</f>
        <v>886091027</v>
      </c>
      <c r="H5" s="92">
        <f>SUMIFS('Federal Data'!O2:O501,'Federal Data'!$C2:$C501,"Revenue")</f>
        <v>621882747</v>
      </c>
      <c r="I5" s="103">
        <f>'State and Local P&amp;L (detailed)'!$E$5</f>
        <v>392213609</v>
      </c>
      <c r="J5" s="92">
        <f>H5+I5-I34</f>
        <v>928593522</v>
      </c>
      <c r="K5" s="92">
        <f>SUMIFS('Federal Data'!P2:P501,'Federal Data'!$C2:$C501,"Revenue")</f>
        <v>609704629</v>
      </c>
      <c r="L5" s="103">
        <f>'State and Local P&amp;L (detailed)'!$F$5</f>
        <v>422041154</v>
      </c>
      <c r="M5" s="92">
        <f>K5+L5-L34</f>
        <v>943487780</v>
      </c>
      <c r="N5" s="92">
        <f>SUMIFS('Federal Data'!Q2:Q501,'Federal Data'!$C2:$C501,"Revenue")</f>
        <v>672070418</v>
      </c>
      <c r="O5" s="103">
        <f>'State and Local P&amp;L (detailed)'!$G$5</f>
        <v>472883073</v>
      </c>
      <c r="P5" s="92">
        <f>N5+O5-O34</f>
        <v>1049722301</v>
      </c>
      <c r="Q5" s="92">
        <f>SUMIFS('Federal Data'!R2:R501,'Federal Data'!$C2:$C501,"Revenue")</f>
        <v>739119402</v>
      </c>
      <c r="R5" s="103">
        <f>'State and Local P&amp;L (detailed)'!$H$5</f>
        <v>521673966</v>
      </c>
      <c r="S5" s="92">
        <f>Q5+R5-R34</f>
        <v>1156591168</v>
      </c>
      <c r="T5" s="92">
        <f>SUMIFS('Federal Data'!S2:S501,'Federal Data'!$C2:$C501,"Revenue")</f>
        <v>773882284</v>
      </c>
      <c r="U5" s="103">
        <f>'State and Local P&amp;L (detailed)'!$I$5</f>
        <v>569569897</v>
      </c>
      <c r="V5" s="92">
        <f>T5+U5-U34</f>
        <v>1232437055</v>
      </c>
      <c r="W5" s="92">
        <f>SUMIFS('Federal Data'!T2:T501,'Federal Data'!$C2:$C501,"Revenue")</f>
        <v>860753770</v>
      </c>
      <c r="X5" s="103">
        <f>'State and Local P&amp;L (detailed)'!$J$5</f>
        <v>614986381</v>
      </c>
      <c r="Y5" s="92">
        <f>W5+X5-X34</f>
        <v>1363313105</v>
      </c>
      <c r="Z5" s="92">
        <f>SUMIFS('Federal Data'!U2:U501,'Federal Data'!$C2:$C501,"Revenue")</f>
        <v>914218578</v>
      </c>
      <c r="AA5" s="103">
        <f>'State and Local P&amp;L (detailed)'!$K$5</f>
        <v>634019063</v>
      </c>
      <c r="AB5" s="92">
        <f>Z5+AA5-AA34</f>
        <v>1433268181</v>
      </c>
      <c r="AC5" s="92">
        <f>SUMIFS('Federal Data'!V2:V501,'Federal Data'!$C2:$C501,"Revenue")</f>
        <v>996174324</v>
      </c>
      <c r="AD5" s="103">
        <f>'State and Local P&amp;L (detailed)'!$L$5</f>
        <v>677622906</v>
      </c>
      <c r="AE5" s="92">
        <f>AC5+AD5-AD34</f>
        <v>1550889931</v>
      </c>
      <c r="AF5" s="92">
        <f>SUMIFS('Federal Data'!W2:W501,'Federal Data'!$C2:$C501,"Revenue")</f>
        <v>1037870377</v>
      </c>
      <c r="AG5" s="103">
        <f>'State and Local P&amp;L (detailed)'!$M$5</f>
        <v>735090836</v>
      </c>
      <c r="AH5" s="92">
        <f>AF5+AG5-AG34</f>
        <v>1639391158</v>
      </c>
      <c r="AI5" s="92">
        <f>SUMIFS('Federal Data'!X2:X501,'Federal Data'!$C2:$C501,"Revenue")</f>
        <v>1061436469</v>
      </c>
      <c r="AJ5" s="103">
        <f>'State and Local P&amp;L (detailed)'!$N$5</f>
        <v>768994038</v>
      </c>
      <c r="AK5" s="92">
        <f>AI5+AJ5-AJ34</f>
        <v>1679769412</v>
      </c>
      <c r="AL5" s="92">
        <f>SUMIFS('Federal Data'!Y2:Y501,'Federal Data'!$C2:$C501,"Revenue")</f>
        <v>1097640045</v>
      </c>
      <c r="AM5" s="103">
        <f>'State and Local P&amp;L (detailed)'!$O$5</f>
        <v>854279410</v>
      </c>
      <c r="AN5" s="92">
        <f>AL5+AM5-AM34</f>
        <v>1776447330</v>
      </c>
      <c r="AO5" s="92">
        <f>SUMIFS('Federal Data'!Z2:Z501,'Federal Data'!$C2:$C501,"Revenue")</f>
        <v>1161648845</v>
      </c>
      <c r="AP5" s="103">
        <f>'State and Local P&amp;L (detailed)'!$P$5</f>
        <v>916006055</v>
      </c>
      <c r="AQ5" s="92">
        <f>AO5+AP5-AP34</f>
        <v>1882619100</v>
      </c>
      <c r="AR5" s="92">
        <f>SUMIFS('Federal Data'!AA2:AA501,'Federal Data'!$C2:$C501,"Revenue")</f>
        <v>1266104830</v>
      </c>
      <c r="AS5" s="103">
        <f>'State and Local P&amp;L (detailed)'!$Q$5</f>
        <v>963324410</v>
      </c>
      <c r="AT5" s="92">
        <f>AR5+AS5-AS34</f>
        <v>2017584478</v>
      </c>
      <c r="AU5" s="92">
        <f>SUMIFS('Federal Data'!AB2:AB501,'Federal Data'!$C2:$C501,"Revenue")</f>
        <v>1366490000</v>
      </c>
      <c r="AV5" s="103">
        <f>'State and Local P&amp;L (detailed)'!$R$5</f>
        <v>1020787563</v>
      </c>
      <c r="AW5" s="92">
        <f>AU5+AV5-AV34</f>
        <v>2162181048</v>
      </c>
      <c r="AX5" s="92">
        <f>SUMIFS('Federal Data'!AC2:AC501,'Federal Data'!$C2:$C501,"Revenue")</f>
        <v>1461543000</v>
      </c>
      <c r="AY5" s="103">
        <f>'State and Local P&amp;L (detailed)'!$S$5</f>
        <v>1099985730</v>
      </c>
      <c r="AZ5" s="92">
        <f>AX5+AY5-AY34</f>
        <v>2330558229</v>
      </c>
      <c r="BA5" s="92">
        <f>SUMIFS('Federal Data'!AD2:AD501,'Federal Data'!$C2:$C501,"Revenue")</f>
        <v>1599711000</v>
      </c>
      <c r="BB5" s="103">
        <f>'State and Local P&amp;L (detailed)'!$T$5</f>
        <v>1184854271</v>
      </c>
      <c r="BC5" s="92">
        <f>BA5+BB5-BB34</f>
        <v>2543821543</v>
      </c>
      <c r="BD5" s="92">
        <f>SUMIFS('Federal Data'!AE2:AE501,'Federal Data'!$C2:$C501,"Revenue")</f>
        <v>1739427000</v>
      </c>
      <c r="BE5" s="103">
        <f>'State and Local P&amp;L (detailed)'!$U$5</f>
        <v>1286252899</v>
      </c>
      <c r="BF5" s="92">
        <f>BD5+BE5-BE34</f>
        <v>2774177695</v>
      </c>
      <c r="BG5" s="92">
        <f>SUMIFS('Federal Data'!AF2:AF501,'Federal Data'!$C2:$C501,"Revenue")</f>
        <v>1837859000</v>
      </c>
      <c r="BH5" s="103">
        <f>'State and Local P&amp;L (detailed)'!$V$5</f>
        <v>1344236247</v>
      </c>
      <c r="BI5" s="92">
        <f>BG5+BH5-BH34</f>
        <v>2915303245</v>
      </c>
      <c r="BJ5" s="92">
        <f>SUMIFS('Federal Data'!AG2:AG501,'Federal Data'!$C2:$C501,"Revenue")</f>
        <v>2035813000</v>
      </c>
      <c r="BK5" s="103">
        <f>'State and Local P&amp;L (detailed)'!$W$5</f>
        <v>1468419578</v>
      </c>
      <c r="BL5" s="92">
        <f>BJ5+BK5-BK34</f>
        <v>3216311901</v>
      </c>
      <c r="BM5" s="92">
        <f>SUMIFS('Federal Data'!AH2:AH501,'Federal Data'!$C2:$C501,"Revenue")</f>
        <v>2005622000</v>
      </c>
      <c r="BN5" s="103">
        <f>'State and Local P&amp;L (detailed)'!$X$5</f>
        <v>1377156539</v>
      </c>
      <c r="BO5" s="92">
        <f>BM5+BN5-BN34</f>
        <v>3063051086</v>
      </c>
      <c r="BP5" s="92">
        <f>SUMIFS('Federal Data'!AI2:AI501,'Federal Data'!$C2:$C501,"Revenue")</f>
        <v>1865806000</v>
      </c>
      <c r="BQ5" s="103">
        <f>'State and Local P&amp;L (detailed)'!$Y$5</f>
        <v>1275929976</v>
      </c>
      <c r="BR5" s="92">
        <f>BP5+BQ5-BQ34</f>
        <v>2785577241</v>
      </c>
      <c r="BS5" s="92">
        <f>SUMIFS('Federal Data'!AJ2:AJ501,'Federal Data'!$C2:$C501,"Revenue")</f>
        <v>1795989000</v>
      </c>
      <c r="BT5" s="103">
        <f>'State and Local P&amp;L (detailed)'!$Z$5</f>
        <v>1491940790</v>
      </c>
      <c r="BU5" s="92">
        <f>BS5+BT5-BT34</f>
        <v>2903951582</v>
      </c>
      <c r="BV5" s="92">
        <f>SUMIFS('Federal Data'!AK2:AK501,'Federal Data'!$C2:$C501,"Revenue")</f>
        <v>1895221000</v>
      </c>
      <c r="BW5" s="103">
        <f>'State and Local P&amp;L (detailed)'!$AA$5</f>
        <v>1846421945</v>
      </c>
      <c r="BX5" s="92">
        <f>BV5+BW5-BW34</f>
        <v>3323158594</v>
      </c>
      <c r="BY5" s="92">
        <f>SUMIFS('Federal Data'!AL2:AL501,'Federal Data'!$C2:$C501,"Revenue")</f>
        <v>2170474000</v>
      </c>
      <c r="BZ5" s="103">
        <f>'State and Local P&amp;L (detailed)'!$AB$5</f>
        <v>1906488461</v>
      </c>
      <c r="CA5" s="92">
        <f>BY5+BZ5-BZ34</f>
        <v>3643024514</v>
      </c>
      <c r="CB5" s="92">
        <f>SUMIFS('Federal Data'!AM2:AM501,'Federal Data'!$C2:$C501,"Revenue")</f>
        <v>2425762000</v>
      </c>
      <c r="CC5" s="103">
        <f>'State and Local P&amp;L (detailed)'!$AC$5</f>
        <v>2060699366</v>
      </c>
      <c r="CD5" s="92">
        <f>CB5+CC5-CC34</f>
        <v>4040386568</v>
      </c>
      <c r="CE5" s="92">
        <f>SUMIFS('Federal Data'!AN2:AN501,'Federal Data'!$C2:$C501,"Revenue")</f>
        <v>2600783000</v>
      </c>
      <c r="CF5" s="103">
        <f>'State and Local P&amp;L (detailed)'!$AD$5</f>
        <v>2337460033</v>
      </c>
      <c r="CG5" s="92">
        <f>CE5+CF5-CF34</f>
        <v>4485053666</v>
      </c>
      <c r="CH5" s="92">
        <f>SUMIFS('Federal Data'!AO2:AO501,'Federal Data'!$C2:$C501,"Revenue")</f>
        <v>2557455000</v>
      </c>
      <c r="CI5" s="103">
        <f>'State and Local P&amp;L (detailed)'!$AE$5</f>
        <v>1857107202</v>
      </c>
      <c r="CJ5" s="92">
        <f>CH5+CI5-CI34</f>
        <v>3948796423</v>
      </c>
      <c r="CK5" s="92">
        <f>SUMIFS('Federal Data'!AP2:AP501,'Federal Data'!$C2:$C501,"Revenue")</f>
        <v>2142059000</v>
      </c>
      <c r="CL5" s="103">
        <f>'State and Local P&amp;L (detailed)'!$AF$5</f>
        <v>1315990670</v>
      </c>
      <c r="CM5" s="92">
        <f>CK5+CL5-CL34</f>
        <v>2932360080</v>
      </c>
      <c r="CN5" s="92">
        <f>SUMIFS('Federal Data'!AQ2:AQ501,'Federal Data'!$C2:$C501,"Revenue")</f>
        <v>2183895000</v>
      </c>
      <c r="CO5" s="103">
        <f>'State and Local P&amp;L (detailed)'!$AG$5</f>
        <v>2366370265</v>
      </c>
      <c r="CP5" s="92">
        <f>CN5+CO5-CO34</f>
        <v>3935840633</v>
      </c>
      <c r="CQ5" s="92">
        <f>SUMIFS('Federal Data'!AR2:AR501,'Federal Data'!$C2:$C501,"Revenue")</f>
        <v>2328751000</v>
      </c>
      <c r="CR5" s="103">
        <f>'State and Local P&amp;L (detailed)'!$AH$5</f>
        <v>2591873958</v>
      </c>
      <c r="CS5" s="92">
        <f>CQ5+CR5-CR34</f>
        <v>4283234817</v>
      </c>
      <c r="CT5" s="92">
        <f>SUMIFS('Federal Data'!AS2:AS501,'Federal Data'!$C2:$C501,"Revenue")</f>
        <v>2486917000</v>
      </c>
      <c r="CU5" s="103">
        <f>'State and Local P&amp;L (detailed)'!$AI$5</f>
        <v>2197279318</v>
      </c>
      <c r="CV5" s="92">
        <f>CT5+CU5-CU34</f>
        <v>4103225645</v>
      </c>
      <c r="CW5" s="92">
        <f>SUMIFS('Federal Data'!AT2:AT501,'Federal Data'!$C2:$C501,"Revenue")</f>
        <v>2804500000</v>
      </c>
      <c r="CX5" s="103">
        <f>'State and Local P&amp;L (detailed)'!$AJ$5</f>
        <v>2555340470</v>
      </c>
      <c r="CY5" s="92">
        <f>CW5+CX5-CX34</f>
        <v>4780262698</v>
      </c>
      <c r="CZ5" s="92">
        <f>SUMIFS('Federal Data'!AU2:AU501,'Federal Data'!$C2:$C501,"Revenue")</f>
        <v>3047497000</v>
      </c>
      <c r="DA5" s="103">
        <f>'State and Local P&amp;L (detailed)'!$AK$5</f>
        <v>2768561581</v>
      </c>
      <c r="DB5" s="92">
        <f>CZ5+DA5-DA34</f>
        <v>5217217757</v>
      </c>
      <c r="DC5" s="36">
        <f>SUMIFS('Federal Data'!AV2:AV501,'Federal Data'!$C2:$C501,"Revenue")</f>
        <v>3301773000</v>
      </c>
      <c r="DD5" s="87">
        <f>'State and Local P&amp;L (detailed)'!$AL$5</f>
        <v>0</v>
      </c>
      <c r="DE5" s="36">
        <f>DC5+DD5-DD34</f>
        <v>3301773000</v>
      </c>
    </row>
    <row r="6" spans="1:109">
      <c r="A6" s="38" t="s">
        <v>1</v>
      </c>
      <c r="B6" s="93">
        <f>SUMIFS('Federal Data'!M2:M501,'Federal Data'!$E2:$E501,"Tax Revenues")</f>
        <v>502098232</v>
      </c>
      <c r="C6" s="100">
        <f>'State and Local P&amp;L (detailed)'!$C$6</f>
        <v>224750420</v>
      </c>
      <c r="D6" s="93">
        <f>B6+C6</f>
        <v>726848652</v>
      </c>
      <c r="E6" s="93">
        <f>SUMIFS('Federal Data'!N2:N501,'Federal Data'!$E2:$E501,"Tax Revenues")</f>
        <v>583260450</v>
      </c>
      <c r="F6" s="100">
        <f>'State and Local P&amp;L (detailed)'!$D$6</f>
        <v>245867614</v>
      </c>
      <c r="G6" s="93">
        <f>E6+F6</f>
        <v>829128064</v>
      </c>
      <c r="H6" s="93">
        <f>SUMIFS('Federal Data'!O2:O501,'Federal Data'!$E2:$E501,"Tax Revenues")</f>
        <v>599471949</v>
      </c>
      <c r="I6" s="100">
        <f>'State and Local P&amp;L (detailed)'!$E$6</f>
        <v>267988794</v>
      </c>
      <c r="J6" s="93">
        <f>H6+I6</f>
        <v>867460743</v>
      </c>
      <c r="K6" s="93">
        <f>SUMIFS('Federal Data'!P2:P501,'Federal Data'!$E2:$E501,"Tax Revenues")</f>
        <v>583612463</v>
      </c>
      <c r="L6" s="100">
        <f>'State and Local P&amp;L (detailed)'!$F$6</f>
        <v>286061026</v>
      </c>
      <c r="M6" s="93">
        <f>K6+L6</f>
        <v>869673489</v>
      </c>
      <c r="N6" s="93">
        <f>SUMIFS('Federal Data'!Q2:Q501,'Federal Data'!$E2:$E501,"Tax Revenues")</f>
        <v>648581471</v>
      </c>
      <c r="O6" s="100">
        <f>'State and Local P&amp;L (detailed)'!$G$6</f>
        <v>322099215</v>
      </c>
      <c r="P6" s="93">
        <f>N6+O6</f>
        <v>970680686</v>
      </c>
      <c r="Q6" s="93">
        <f>SUMIFS('Federal Data'!R2:R501,'Federal Data'!$E2:$E501,"Tax Revenues")</f>
        <v>715373012</v>
      </c>
      <c r="R6" s="100">
        <f>'State and Local P&amp;L (detailed)'!$H$6</f>
        <v>352477089</v>
      </c>
      <c r="S6" s="93">
        <f>Q6+R6</f>
        <v>1067850101</v>
      </c>
      <c r="T6" s="93">
        <f>SUMIFS('Federal Data'!S2:S501,'Federal Data'!$E2:$E501,"Tax Revenues")</f>
        <v>749499559</v>
      </c>
      <c r="U6" s="100">
        <f>'State and Local P&amp;L (detailed)'!$I$6</f>
        <v>375242153</v>
      </c>
      <c r="V6" s="93">
        <f>T6+U6</f>
        <v>1124741712</v>
      </c>
      <c r="W6" s="93">
        <f>SUMIFS('Federal Data'!T2:T501,'Federal Data'!$E2:$E501,"Tax Revenues")</f>
        <v>835781635</v>
      </c>
      <c r="X6" s="100">
        <f>'State and Local P&amp;L (detailed)'!$J$6</f>
        <v>407213848</v>
      </c>
      <c r="Y6" s="93">
        <f>W6+X6</f>
        <v>1242995483</v>
      </c>
      <c r="Z6" s="93">
        <f>SUMIFS('Federal Data'!U2:U501,'Federal Data'!$E2:$E501,"Tax Revenues")</f>
        <v>890962612</v>
      </c>
      <c r="AA6" s="100">
        <f>'State and Local P&amp;L (detailed)'!$K$6</f>
        <v>438298831</v>
      </c>
      <c r="AB6" s="93">
        <f>Z6+AA6</f>
        <v>1329261443</v>
      </c>
      <c r="AC6" s="93">
        <f>SUMIFS('Federal Data'!V2:V501,'Federal Data'!$E2:$E501,"Tax Revenues")</f>
        <v>970633720</v>
      </c>
      <c r="AD6" s="100">
        <f>'State and Local P&amp;L (detailed)'!$L$6</f>
        <v>471166068</v>
      </c>
      <c r="AE6" s="93">
        <f>AC6+AD6</f>
        <v>1441799788</v>
      </c>
      <c r="AF6" s="93">
        <f>SUMIFS('Federal Data'!W2:W501,'Federal Data'!$E2:$E501,"Tax Revenues")</f>
        <v>1007664832</v>
      </c>
      <c r="AG6" s="100">
        <f>'State and Local P&amp;L (detailed)'!$M$6</f>
        <v>504045161</v>
      </c>
      <c r="AH6" s="93">
        <f>AF6+AG6</f>
        <v>1511709993</v>
      </c>
      <c r="AI6" s="93">
        <f>SUMIFS('Federal Data'!X2:X501,'Federal Data'!$E2:$E501,"Tax Revenues")</f>
        <v>1035658309</v>
      </c>
      <c r="AJ6" s="100">
        <f>'State and Local P&amp;L (detailed)'!$N$6</f>
        <v>527675385</v>
      </c>
      <c r="AK6" s="93">
        <f>AI6+AJ6</f>
        <v>1563333694</v>
      </c>
      <c r="AL6" s="93">
        <f>SUMIFS('Federal Data'!Y2:Y501,'Federal Data'!$E2:$E501,"Tax Revenues")</f>
        <v>1068875036</v>
      </c>
      <c r="AM6" s="100">
        <f>'State and Local P&amp;L (detailed)'!$O$6</f>
        <v>562328331</v>
      </c>
      <c r="AN6" s="93">
        <f>AL6+AM6</f>
        <v>1631203367</v>
      </c>
      <c r="AO6" s="93">
        <f>SUMIFS('Federal Data'!Z2:Z501,'Federal Data'!$E2:$E501,"Tax Revenues")</f>
        <v>1140461850</v>
      </c>
      <c r="AP6" s="100">
        <f>'State and Local P&amp;L (detailed)'!$P$6</f>
        <v>596964377</v>
      </c>
      <c r="AQ6" s="93">
        <f>AO6+AP6</f>
        <v>1737426227</v>
      </c>
      <c r="AR6" s="93">
        <f>SUMIFS('Federal Data'!AA2:AA501,'Federal Data'!$E2:$E501,"Tax Revenues")</f>
        <v>1241053248</v>
      </c>
      <c r="AS6" s="100">
        <f>'State and Local P&amp;L (detailed)'!$Q$6</f>
        <v>628518432</v>
      </c>
      <c r="AT6" s="93">
        <f>AR6+AS6</f>
        <v>1869571680</v>
      </c>
      <c r="AU6" s="93">
        <f>SUMIFS('Federal Data'!AB2:AB501,'Federal Data'!$E2:$E501,"Tax Revenues")</f>
        <v>1328962000</v>
      </c>
      <c r="AV6" s="100">
        <f>'State and Local P&amp;L (detailed)'!$R$6</f>
        <v>663682648</v>
      </c>
      <c r="AW6" s="93">
        <f>AU6+AV6</f>
        <v>1992644648</v>
      </c>
      <c r="AX6" s="93">
        <f>SUMIFS('Federal Data'!AC2:AC501,'Federal Data'!$E2:$E501,"Tax Revenues")</f>
        <v>1432989000</v>
      </c>
      <c r="AY6" s="100">
        <f>'State and Local P&amp;L (detailed)'!$S$6</f>
        <v>692114760</v>
      </c>
      <c r="AZ6" s="93">
        <f>AX6+AY6</f>
        <v>2125103760</v>
      </c>
      <c r="BA6" s="93">
        <f>SUMIFS('Federal Data'!AD2:AD501,'Federal Data'!$E2:$E501,"Tax Revenues")</f>
        <v>1559731000</v>
      </c>
      <c r="BB6" s="100">
        <f>'State and Local P&amp;L (detailed)'!$T$6</f>
        <v>732032005</v>
      </c>
      <c r="BC6" s="93">
        <f>BA6+BB6</f>
        <v>2291763005</v>
      </c>
      <c r="BD6" s="93">
        <f>SUMIFS('Federal Data'!AE2:AE501,'Federal Data'!$E2:$E501,"Tax Revenues")</f>
        <v>1697388000</v>
      </c>
      <c r="BE6" s="100">
        <f>'State and Local P&amp;L (detailed)'!$U$6</f>
        <v>777740747</v>
      </c>
      <c r="BF6" s="93">
        <f>BD6+BE6</f>
        <v>2475128747</v>
      </c>
      <c r="BG6" s="93">
        <f>SUMIFS('Federal Data'!AF2:AF501,'Federal Data'!$E2:$E501,"Tax Revenues")</f>
        <v>1801929000</v>
      </c>
      <c r="BH6" s="100">
        <f>'State and Local P&amp;L (detailed)'!$V$6</f>
        <v>818969139</v>
      </c>
      <c r="BI6" s="93">
        <f>BG6+BH6</f>
        <v>2620898139</v>
      </c>
      <c r="BJ6" s="93">
        <f>SUMIFS('Federal Data'!AG2:AG501,'Federal Data'!$E2:$E501,"Tax Revenues")</f>
        <v>1992921000</v>
      </c>
      <c r="BK6" s="100">
        <f>'State and Local P&amp;L (detailed)'!$W$6</f>
        <v>876166568</v>
      </c>
      <c r="BL6" s="93">
        <f>BJ6+BK6</f>
        <v>2869087568</v>
      </c>
      <c r="BM6" s="93">
        <f>SUMIFS('Federal Data'!AH2:AH501,'Federal Data'!$E2:$E501,"Tax Revenues")</f>
        <v>1965080000</v>
      </c>
      <c r="BN6" s="100">
        <f>'State and Local P&amp;L (detailed)'!$X$6</f>
        <v>918051885</v>
      </c>
      <c r="BO6" s="93">
        <f>BM6+BN6</f>
        <v>2883131885</v>
      </c>
      <c r="BP6" s="93">
        <f>SUMIFS('Federal Data'!AI2:AI501,'Federal Data'!$E2:$E501,"Tax Revenues")</f>
        <v>1832397000</v>
      </c>
      <c r="BQ6" s="100">
        <f>'State and Local P&amp;L (detailed)'!$Y$6</f>
        <v>909880241</v>
      </c>
      <c r="BR6" s="93">
        <f>BP6+BQ6</f>
        <v>2742277241</v>
      </c>
      <c r="BS6" s="93">
        <f>SUMIFS('Federal Data'!AJ2:AJ501,'Federal Data'!$E2:$E501,"Tax Revenues")</f>
        <v>1762244000</v>
      </c>
      <c r="BT6" s="100">
        <f>'State and Local P&amp;L (detailed)'!$Z$6</f>
        <v>944779994</v>
      </c>
      <c r="BU6" s="93">
        <f>BS6+BT6</f>
        <v>2707023994</v>
      </c>
      <c r="BV6" s="93">
        <f>SUMIFS('Federal Data'!AK2:AK501,'Federal Data'!$E2:$E501,"Tax Revenues")</f>
        <v>1864142000</v>
      </c>
      <c r="BW6" s="100">
        <f>'State and Local P&amp;L (detailed)'!$AA$6</f>
        <v>1016856625</v>
      </c>
      <c r="BX6" s="93">
        <f>BV6+BW6</f>
        <v>2880998625</v>
      </c>
      <c r="BY6" s="93">
        <f>SUMIFS('Federal Data'!AL2:AL501,'Federal Data'!$E2:$E501,"Tax Revenues")</f>
        <v>2138765000</v>
      </c>
      <c r="BZ6" s="100">
        <f>'State and Local P&amp;L (detailed)'!$AB$6</f>
        <v>1104847536</v>
      </c>
      <c r="CA6" s="93">
        <f>BY6+BZ6</f>
        <v>3243612536</v>
      </c>
      <c r="CB6" s="93">
        <f>SUMIFS('Federal Data'!AM2:AM501,'Federal Data'!$E2:$E501,"Tax Revenues")</f>
        <v>2381513000</v>
      </c>
      <c r="CC6" s="100">
        <f>'State and Local P&amp;L (detailed)'!$AC$6</f>
        <v>1212510134</v>
      </c>
      <c r="CD6" s="93">
        <f>CB6+CC6</f>
        <v>3594023134</v>
      </c>
      <c r="CE6" s="93">
        <f>SUMIFS('Federal Data'!AN2:AN501,'Federal Data'!$E2:$E501,"Tax Revenues")</f>
        <v>2540386000</v>
      </c>
      <c r="CF6" s="100">
        <f>'State and Local P&amp;L (detailed)'!$AD$6</f>
        <v>1290770635</v>
      </c>
      <c r="CG6" s="93">
        <f>CE6+CF6</f>
        <v>3831156635</v>
      </c>
      <c r="CH6" s="93">
        <f>SUMIFS('Federal Data'!AO2:AO501,'Federal Data'!$E2:$E501,"Tax Revenues")</f>
        <v>2495889000</v>
      </c>
      <c r="CI6" s="100">
        <f>'State and Local P&amp;L (detailed)'!$AE$6</f>
        <v>1337068599</v>
      </c>
      <c r="CJ6" s="93">
        <f>CH6+CI6</f>
        <v>3832957599</v>
      </c>
      <c r="CK6" s="93">
        <f>SUMIFS('Federal Data'!AP2:AP501,'Federal Data'!$E2:$E501,"Tax Revenues")</f>
        <v>2076361000</v>
      </c>
      <c r="CL6" s="100">
        <f>'State and Local P&amp;L (detailed)'!$AF$6</f>
        <v>1288994466</v>
      </c>
      <c r="CM6" s="93">
        <f>CK6+CL6</f>
        <v>3365355466</v>
      </c>
      <c r="CN6" s="93">
        <f>SUMIFS('Federal Data'!AQ2:AQ501,'Federal Data'!$E2:$E501,"Tax Revenues")</f>
        <v>2091050000</v>
      </c>
      <c r="CO6" s="100">
        <f>'State and Local P&amp;L (detailed)'!$AG$6</f>
        <v>1285847717</v>
      </c>
      <c r="CP6" s="93">
        <f>CN6+CO6</f>
        <v>3376897717</v>
      </c>
      <c r="CQ6" s="93">
        <f>SUMIFS('Federal Data'!AR2:AR501,'Federal Data'!$E2:$E501,"Tax Revenues")</f>
        <v>2225969000</v>
      </c>
      <c r="CR6" s="100">
        <f>'State and Local P&amp;L (detailed)'!$AH$6</f>
        <v>1351019860</v>
      </c>
      <c r="CS6" s="93">
        <f>CQ6+CR6</f>
        <v>3576988860</v>
      </c>
      <c r="CT6" s="93">
        <f>SUMIFS('Federal Data'!AS2:AS501,'Federal Data'!$E2:$E501,"Tax Revenues")</f>
        <v>2370603000</v>
      </c>
      <c r="CU6" s="100">
        <f>'State and Local P&amp;L (detailed)'!$AI$6</f>
        <v>1395296821</v>
      </c>
      <c r="CV6" s="93">
        <f>CT6+CU6</f>
        <v>3765899821</v>
      </c>
      <c r="CW6" s="93">
        <f>SUMIFS('Federal Data'!AT2:AT501,'Federal Data'!$E2:$E501,"Tax Revenues")</f>
        <v>2700463000</v>
      </c>
      <c r="CX6" s="100">
        <f>'State and Local P&amp;L (detailed)'!$AJ$6</f>
        <v>1458767411</v>
      </c>
      <c r="CY6" s="93">
        <f>CW6+CX6</f>
        <v>4159230411</v>
      </c>
      <c r="CZ6" s="93">
        <f>SUMIFS('Federal Data'!AU2:AU501,'Federal Data'!$E2:$E501,"Tax Revenues")</f>
        <v>2912615000</v>
      </c>
      <c r="DA6" s="100">
        <f>'State and Local P&amp;L (detailed)'!$AK$6</f>
        <v>1498597655</v>
      </c>
      <c r="DB6" s="93">
        <f>CZ6+DA6</f>
        <v>4411212655</v>
      </c>
      <c r="DC6" s="39">
        <f>SUMIFS('Federal Data'!AV2:AV501,'Federal Data'!$E2:$E501,"Tax Revenues")</f>
        <v>3129258000</v>
      </c>
      <c r="DD6" s="90">
        <f>'State and Local P&amp;L (detailed)'!$AL$6</f>
        <v>0</v>
      </c>
      <c r="DE6" s="39">
        <f>DC6+DD6</f>
        <v>3129258000</v>
      </c>
    </row>
    <row r="7" spans="1:109" outlineLevel="1">
      <c r="A7" s="27" t="s">
        <v>3</v>
      </c>
      <c r="B7" s="94">
        <f>SUMIFS('Federal Data'!M2:M501,'Federal Data'!$F2:$F501,"Individual Income Taxes")</f>
        <v>244068898</v>
      </c>
      <c r="C7" s="101">
        <f>'State and Local P&amp;L (detailed)'!$C$7</f>
        <v>42079764</v>
      </c>
      <c r="D7" s="94">
        <f>B7+C7</f>
        <v>286148662</v>
      </c>
      <c r="E7" s="94">
        <f>SUMIFS('Federal Data'!N2:N501,'Federal Data'!$F2:$F501,"Individual Income Taxes")</f>
        <v>285917100</v>
      </c>
      <c r="F7" s="101">
        <f>'State and Local P&amp;L (detailed)'!$D$7</f>
        <v>46426426</v>
      </c>
      <c r="G7" s="94">
        <f>E7+F7</f>
        <v>332343526</v>
      </c>
      <c r="H7" s="94">
        <f>SUMIFS('Federal Data'!O2:O501,'Federal Data'!$F2:$F501,"Individual Income Taxes")</f>
        <v>297744492</v>
      </c>
      <c r="I7" s="101">
        <f>'State and Local P&amp;L (detailed)'!$E$7</f>
        <v>50738164</v>
      </c>
      <c r="J7" s="94">
        <f>H7+I7</f>
        <v>348482656</v>
      </c>
      <c r="K7" s="94">
        <f>SUMIFS('Federal Data'!P2:P501,'Federal Data'!$F2:$F501,"Individual Income Taxes")</f>
        <v>288937814</v>
      </c>
      <c r="L7" s="101">
        <f>'State and Local P&amp;L (detailed)'!$F$7</f>
        <v>55128927</v>
      </c>
      <c r="M7" s="94">
        <f>K7+L7</f>
        <v>344066741</v>
      </c>
      <c r="N7" s="94">
        <f>SUMIFS('Federal Data'!Q2:Q501,'Federal Data'!$F2:$F501,"Individual Income Taxes")</f>
        <v>298415430</v>
      </c>
      <c r="O7" s="101">
        <f>'State and Local P&amp;L (detailed)'!$G$7</f>
        <v>64871351</v>
      </c>
      <c r="P7" s="94">
        <f>N7+O7</f>
        <v>363286781</v>
      </c>
      <c r="Q7" s="94">
        <f>SUMIFS('Federal Data'!R2:R501,'Federal Data'!$F2:$F501,"Individual Income Taxes")</f>
        <v>334531018</v>
      </c>
      <c r="R7" s="101">
        <f>'State and Local P&amp;L (detailed)'!$H$7</f>
        <v>70361403</v>
      </c>
      <c r="S7" s="94">
        <f>Q7+R7</f>
        <v>404892421</v>
      </c>
      <c r="T7" s="94">
        <f>SUMIFS('Federal Data'!S2:S501,'Federal Data'!$F2:$F501,"Individual Income Taxes")</f>
        <v>348959411</v>
      </c>
      <c r="U7" s="101">
        <f>'State and Local P&amp;L (detailed)'!$I$7</f>
        <v>74364912</v>
      </c>
      <c r="V7" s="94">
        <f>T7+U7</f>
        <v>423324323</v>
      </c>
      <c r="W7" s="94">
        <f>SUMIFS('Federal Data'!T2:T501,'Federal Data'!$F2:$F501,"Individual Income Taxes")</f>
        <v>392557016</v>
      </c>
      <c r="X7" s="101">
        <f>'State and Local P&amp;L (detailed)'!$J$7</f>
        <v>83934727</v>
      </c>
      <c r="Y7" s="94">
        <f>W7+X7</f>
        <v>476491743</v>
      </c>
      <c r="Z7" s="94">
        <f>SUMIFS('Federal Data'!U2:U501,'Federal Data'!$F2:$F501,"Individual Income Taxes")</f>
        <v>401181069</v>
      </c>
      <c r="AA7" s="101">
        <f>'State and Local P&amp;L (detailed)'!$K$7</f>
        <v>88349539</v>
      </c>
      <c r="AB7" s="94">
        <f>Z7+AA7</f>
        <v>489530608</v>
      </c>
      <c r="AC7" s="94">
        <f>SUMIFS('Federal Data'!V2:V501,'Federal Data'!$F2:$F501,"Individual Income Taxes")</f>
        <v>445690230</v>
      </c>
      <c r="AD7" s="101">
        <f>'State and Local P&amp;L (detailed)'!$L$7</f>
        <v>97805749</v>
      </c>
      <c r="AE7" s="94">
        <f>AC7+AD7</f>
        <v>543495979</v>
      </c>
      <c r="AF7" s="94">
        <f>SUMIFS('Federal Data'!W2:W501,'Federal Data'!$F2:$F501,"Individual Income Taxes")</f>
        <v>466884287</v>
      </c>
      <c r="AG7" s="101">
        <f>'State and Local P&amp;L (detailed)'!$M$7</f>
        <v>105639737</v>
      </c>
      <c r="AH7" s="94">
        <f>AF7+AG7</f>
        <v>572524024</v>
      </c>
      <c r="AI7" s="94">
        <f>SUMIFS('Federal Data'!X2:X501,'Federal Data'!$F2:$F501,"Individual Income Taxes")</f>
        <v>467827443</v>
      </c>
      <c r="AJ7" s="101">
        <f>'State and Local P&amp;L (detailed)'!$N$7</f>
        <v>109340832</v>
      </c>
      <c r="AK7" s="94">
        <f>AI7+AJ7</f>
        <v>577168275</v>
      </c>
      <c r="AL7" s="94">
        <f>SUMIFS('Federal Data'!Y2:Y501,'Federal Data'!$F2:$F501,"Individual Income Taxes")</f>
        <v>475963502</v>
      </c>
      <c r="AM7" s="101">
        <f>'State and Local P&amp;L (detailed)'!$O$7</f>
        <v>115564827</v>
      </c>
      <c r="AN7" s="94">
        <f>AL7+AM7</f>
        <v>591528329</v>
      </c>
      <c r="AO7" s="94">
        <f>SUMIFS('Federal Data'!Z2:Z501,'Federal Data'!$F2:$F501,"Individual Income Taxes")</f>
        <v>509680116</v>
      </c>
      <c r="AP7" s="101">
        <f>'State and Local P&amp;L (detailed)'!$P$7</f>
        <v>123235406</v>
      </c>
      <c r="AQ7" s="94">
        <f>AO7+AP7</f>
        <v>632915522</v>
      </c>
      <c r="AR7" s="94">
        <f>SUMIFS('Federal Data'!AA2:AA501,'Federal Data'!$F2:$F501,"Individual Income Taxes")</f>
        <v>543054752</v>
      </c>
      <c r="AS7" s="101">
        <f>'State and Local P&amp;L (detailed)'!$Q$7</f>
        <v>128809920</v>
      </c>
      <c r="AT7" s="94">
        <f>AR7+AS7</f>
        <v>671864672</v>
      </c>
      <c r="AU7" s="94">
        <f>SUMIFS('Federal Data'!AB2:AB501,'Federal Data'!$F2:$F501,"Individual Income Taxes")</f>
        <v>590244000</v>
      </c>
      <c r="AV7" s="101">
        <f>'State and Local P&amp;L (detailed)'!$R$7</f>
        <v>137930595</v>
      </c>
      <c r="AW7" s="94">
        <f>AU7+AV7</f>
        <v>728174595</v>
      </c>
      <c r="AX7" s="94">
        <f>SUMIFS('Federal Data'!AC2:AC501,'Federal Data'!$F2:$F501,"Individual Income Taxes")</f>
        <v>656417000</v>
      </c>
      <c r="AY7" s="101">
        <f>'State and Local P&amp;L (detailed)'!$S$7</f>
        <v>146842248</v>
      </c>
      <c r="AZ7" s="94">
        <f>AX7+AY7</f>
        <v>803259248</v>
      </c>
      <c r="BA7" s="94">
        <f>SUMIFS('Federal Data'!AD2:AD501,'Federal Data'!$F2:$F501,"Individual Income Taxes")</f>
        <v>737466000</v>
      </c>
      <c r="BB7" s="101">
        <f>'State and Local P&amp;L (detailed)'!$T$7</f>
        <v>159069891</v>
      </c>
      <c r="BC7" s="94">
        <f>BA7+BB7</f>
        <v>896535891</v>
      </c>
      <c r="BD7" s="94">
        <f>SUMIFS('Federal Data'!AE2:AE501,'Federal Data'!$F2:$F501,"Individual Income Taxes")</f>
        <v>828586000</v>
      </c>
      <c r="BE7" s="101">
        <f>'State and Local P&amp;L (detailed)'!$U$7</f>
        <v>175630035</v>
      </c>
      <c r="BF7" s="94">
        <f>BD7+BE7</f>
        <v>1004216035</v>
      </c>
      <c r="BG7" s="94">
        <f>SUMIFS('Federal Data'!AF2:AF501,'Federal Data'!$F2:$F501,"Individual Income Taxes")</f>
        <v>879480000</v>
      </c>
      <c r="BH7" s="101">
        <f>'State and Local P&amp;L (detailed)'!$V$7</f>
        <v>189308854</v>
      </c>
      <c r="BI7" s="94">
        <f>BG7+BH7</f>
        <v>1068788854</v>
      </c>
      <c r="BJ7" s="94">
        <f>SUMIFS('Federal Data'!AG2:AG501,'Federal Data'!$F2:$F501,"Individual Income Taxes")</f>
        <v>1004462000</v>
      </c>
      <c r="BK7" s="101">
        <f>'State and Local P&amp;L (detailed)'!$W$7</f>
        <v>211660682</v>
      </c>
      <c r="BL7" s="94">
        <f>BJ7+BK7</f>
        <v>1216122682</v>
      </c>
      <c r="BM7" s="94">
        <f>SUMIFS('Federal Data'!AH2:AH501,'Federal Data'!$F2:$F501,"Individual Income Taxes")</f>
        <v>994339000</v>
      </c>
      <c r="BN7" s="101">
        <f>'State and Local P&amp;L (detailed)'!$X$7</f>
        <v>226333547</v>
      </c>
      <c r="BO7" s="94">
        <f>BM7+BN7</f>
        <v>1220672547</v>
      </c>
      <c r="BP7" s="94">
        <f>SUMIFS('Federal Data'!AI2:AI501,'Federal Data'!$F2:$F501,"Individual Income Taxes")</f>
        <v>858345000</v>
      </c>
      <c r="BQ7" s="101">
        <f>'State and Local P&amp;L (detailed)'!$Y$7</f>
        <v>202832254</v>
      </c>
      <c r="BR7" s="94">
        <f>BP7+BQ7</f>
        <v>1061177254</v>
      </c>
      <c r="BS7" s="94">
        <f>SUMIFS('Federal Data'!AJ2:AJ501,'Federal Data'!$F2:$F501,"Individual Income Taxes")</f>
        <v>793699000</v>
      </c>
      <c r="BT7" s="101">
        <f>'State and Local P&amp;L (detailed)'!$Z$7</f>
        <v>199407020</v>
      </c>
      <c r="BU7" s="94">
        <f>BS7+BT7</f>
        <v>993106020</v>
      </c>
      <c r="BV7" s="94">
        <f>SUMIFS('Federal Data'!AK2:AK501,'Federal Data'!$F2:$F501,"Individual Income Taxes")</f>
        <v>808959000</v>
      </c>
      <c r="BW7" s="101">
        <f>'State and Local P&amp;L (detailed)'!$AA$7</f>
        <v>215214769</v>
      </c>
      <c r="BX7" s="94">
        <f>BV7+BW7</f>
        <v>1024173769</v>
      </c>
      <c r="BY7" s="94">
        <f>SUMIFS('Federal Data'!AL2:AL501,'Federal Data'!$F2:$F501,"Individual Income Taxes")</f>
        <v>927222000</v>
      </c>
      <c r="BZ7" s="101">
        <f>'State and Local P&amp;L (detailed)'!$AB$7</f>
        <v>242273042</v>
      </c>
      <c r="CA7" s="94">
        <f>BY7+BZ7</f>
        <v>1169495042</v>
      </c>
      <c r="CB7" s="94">
        <f>SUMIFS('Federal Data'!AM2:AM501,'Federal Data'!$F2:$F501,"Individual Income Taxes")</f>
        <v>1043908000</v>
      </c>
      <c r="CC7" s="101">
        <f>'State and Local P&amp;L (detailed)'!$AC$7</f>
        <v>268667132</v>
      </c>
      <c r="CD7" s="94">
        <f>CB7+CC7</f>
        <v>1312575132</v>
      </c>
      <c r="CE7" s="94">
        <f>SUMIFS('Federal Data'!AN2:AN501,'Federal Data'!$F2:$F501,"Individual Income Taxes")</f>
        <v>1163472000</v>
      </c>
      <c r="CF7" s="101">
        <f>'State and Local P&amp;L (detailed)'!$AD$7</f>
        <v>290278113</v>
      </c>
      <c r="CG7" s="94">
        <f>CE7+CF7</f>
        <v>1453750113</v>
      </c>
      <c r="CH7" s="94">
        <f>SUMIFS('Federal Data'!AO2:AO501,'Federal Data'!$F2:$F501,"Individual Income Taxes")</f>
        <v>1145747000</v>
      </c>
      <c r="CI7" s="101">
        <f>'State and Local P&amp;L (detailed)'!$AE$7</f>
        <v>304902076</v>
      </c>
      <c r="CJ7" s="94">
        <f>CH7+CI7</f>
        <v>1450649076</v>
      </c>
      <c r="CK7" s="94">
        <f>SUMIFS('Federal Data'!AP2:AP501,'Federal Data'!$F2:$F501,"Individual Income Taxes")</f>
        <v>915308000</v>
      </c>
      <c r="CL7" s="101">
        <f>'State and Local P&amp;L (detailed)'!$AF$7</f>
        <v>270941521</v>
      </c>
      <c r="CM7" s="94">
        <f>CK7+CL7</f>
        <v>1186249521</v>
      </c>
      <c r="CN7" s="94">
        <f>SUMIFS('Federal Data'!AQ2:AQ501,'Federal Data'!$F2:$F501,"Individual Income Taxes")</f>
        <v>898549000</v>
      </c>
      <c r="CO7" s="101">
        <f>'State and Local P&amp;L (detailed)'!$AG$7</f>
        <v>261510473</v>
      </c>
      <c r="CP7" s="94">
        <f>CN7+CO7</f>
        <v>1160059473</v>
      </c>
      <c r="CQ7" s="94">
        <f>SUMIFS('Federal Data'!AR2:AR501,'Federal Data'!$F2:$F501,"Individual Income Taxes")</f>
        <v>1091473000</v>
      </c>
      <c r="CR7" s="101">
        <f>'State and Local P&amp;L (detailed)'!$AH$7</f>
        <v>285293135</v>
      </c>
      <c r="CS7" s="94">
        <f>CQ7+CR7</f>
        <v>1376766135</v>
      </c>
      <c r="CT7" s="94">
        <f>SUMIFS('Federal Data'!AS2:AS501,'Federal Data'!$F2:$F501,"Individual Income Taxes")</f>
        <v>1132206000</v>
      </c>
      <c r="CU7" s="101">
        <f>'State and Local P&amp;L (detailed)'!$AI$7</f>
        <v>307255616</v>
      </c>
      <c r="CV7" s="94">
        <f>CT7+CU7</f>
        <v>1439461616</v>
      </c>
      <c r="CW7" s="94">
        <f>SUMIFS('Federal Data'!AT2:AT501,'Federal Data'!$F2:$F501,"Individual Income Taxes")</f>
        <v>1316405000</v>
      </c>
      <c r="CX7" s="101">
        <f>'State and Local P&amp;L (detailed)'!$AJ$7</f>
        <v>338709576</v>
      </c>
      <c r="CY7" s="94">
        <f>CW7+CX7</f>
        <v>1655114576</v>
      </c>
      <c r="CZ7" s="94">
        <f>SUMIFS('Federal Data'!AU2:AU501,'Federal Data'!$F2:$F501,"Individual Income Taxes")</f>
        <v>1394568000</v>
      </c>
      <c r="DA7" s="101">
        <f>'State and Local P&amp;L (detailed)'!$AK$7</f>
        <v>341135706</v>
      </c>
      <c r="DB7" s="94">
        <f>CZ7+DA7</f>
        <v>1735703706</v>
      </c>
      <c r="DC7" s="37">
        <f>SUMIFS('Federal Data'!AV2:AV501,'Federal Data'!$F2:$F501,"Individual Income Taxes")</f>
        <v>1540802000</v>
      </c>
      <c r="DD7" s="85">
        <f>'State and Local P&amp;L (detailed)'!$AL$7</f>
        <v>0</v>
      </c>
      <c r="DE7" s="37">
        <f>DC7+DD7</f>
        <v>1540802000</v>
      </c>
    </row>
    <row r="8" spans="1:109" outlineLevel="2">
      <c r="A8" s="28" t="s">
        <v>271</v>
      </c>
      <c r="B8" s="94">
        <v>12106000</v>
      </c>
      <c r="C8" s="101" t="s">
        <v>487</v>
      </c>
      <c r="D8" s="94">
        <f t="shared" ref="D8:D16" si="0">SUM(B8:C8)</f>
        <v>12106000</v>
      </c>
      <c r="E8" s="94">
        <v>12655500</v>
      </c>
      <c r="F8" s="101" t="s">
        <v>487</v>
      </c>
      <c r="G8" s="94">
        <f t="shared" ref="G8:G16" si="1">SUM(E8:F8)</f>
        <v>12655500</v>
      </c>
      <c r="H8" s="94">
        <v>12876000</v>
      </c>
      <c r="I8" s="101" t="s">
        <v>487</v>
      </c>
      <c r="J8" s="94">
        <f t="shared" ref="J8:J16" si="2">SUM(H8:I8)</f>
        <v>12876000</v>
      </c>
      <c r="K8" s="94">
        <v>15800000</v>
      </c>
      <c r="L8" s="101" t="s">
        <v>487</v>
      </c>
      <c r="M8" s="94">
        <f t="shared" ref="M8:M16" si="3">SUM(K8:L8)</f>
        <v>15800000</v>
      </c>
      <c r="N8" s="94">
        <v>20076500</v>
      </c>
      <c r="O8" s="101" t="s">
        <v>487</v>
      </c>
      <c r="P8" s="94">
        <f t="shared" ref="P8:P16" si="4">SUM(N8:O8)</f>
        <v>20076500</v>
      </c>
      <c r="Q8" s="94">
        <v>23956500</v>
      </c>
      <c r="R8" s="101" t="s">
        <v>487</v>
      </c>
      <c r="S8" s="94">
        <f t="shared" ref="S8:S16" si="5">SUM(Q8:R8)</f>
        <v>23956500</v>
      </c>
      <c r="T8" s="94">
        <v>39687000</v>
      </c>
      <c r="U8" s="101" t="s">
        <v>487</v>
      </c>
      <c r="V8" s="94">
        <f t="shared" ref="V8:V16" si="6">SUM(T8:U8)</f>
        <v>39687000</v>
      </c>
      <c r="W8" s="94">
        <v>43314000</v>
      </c>
      <c r="X8" s="101" t="s">
        <v>487</v>
      </c>
      <c r="Y8" s="94">
        <f t="shared" ref="Y8:Y16" si="7">SUM(W8:X8)</f>
        <v>43314000</v>
      </c>
      <c r="Z8" s="94">
        <v>36290000</v>
      </c>
      <c r="AA8" s="101" t="s">
        <v>487</v>
      </c>
      <c r="AB8" s="94">
        <f t="shared" ref="AB8:AB16" si="8">SUM(Z8:AA8)</f>
        <v>36290000</v>
      </c>
      <c r="AC8" s="94">
        <v>37062000</v>
      </c>
      <c r="AD8" s="101" t="s">
        <v>487</v>
      </c>
      <c r="AE8" s="94">
        <f t="shared" ref="AE8:AE16" si="9">SUM(AC8:AD8)</f>
        <v>37062000</v>
      </c>
      <c r="AF8" s="94">
        <v>31543500</v>
      </c>
      <c r="AG8" s="101" t="s">
        <v>487</v>
      </c>
      <c r="AH8" s="94">
        <f t="shared" ref="AH8:AH16" si="10">SUM(AF8:AG8)</f>
        <v>31543500</v>
      </c>
      <c r="AI8" s="94">
        <v>26366000</v>
      </c>
      <c r="AJ8" s="101" t="s">
        <v>487</v>
      </c>
      <c r="AK8" s="94">
        <f t="shared" ref="AK8:AK16" si="11">SUM(AI8:AJ8)</f>
        <v>26366000</v>
      </c>
      <c r="AL8" s="94">
        <v>26943000</v>
      </c>
      <c r="AM8" s="101" t="s">
        <v>487</v>
      </c>
      <c r="AN8" s="94">
        <f t="shared" ref="AN8:AN16" si="12">SUM(AL8:AM8)</f>
        <v>26943000</v>
      </c>
      <c r="AO8" s="94">
        <v>32547500</v>
      </c>
      <c r="AP8" s="101" t="s">
        <v>487</v>
      </c>
      <c r="AQ8" s="94">
        <f t="shared" ref="AQ8:AQ16" si="13">SUM(AO8:AP8)</f>
        <v>32547500</v>
      </c>
      <c r="AR8" s="94">
        <v>36177500</v>
      </c>
      <c r="AS8" s="101" t="s">
        <v>487</v>
      </c>
      <c r="AT8" s="94">
        <f t="shared" ref="AT8:AT16" si="14">SUM(AR8:AS8)</f>
        <v>36177500</v>
      </c>
      <c r="AU8" s="94">
        <v>40248500</v>
      </c>
      <c r="AV8" s="101" t="s">
        <v>487</v>
      </c>
      <c r="AW8" s="94">
        <f t="shared" ref="AW8:AW16" si="15">SUM(AU8:AV8)</f>
        <v>40248500</v>
      </c>
      <c r="AX8" s="94">
        <v>55325000</v>
      </c>
      <c r="AY8" s="101" t="s">
        <v>487</v>
      </c>
      <c r="AZ8" s="94">
        <f t="shared" ref="AZ8:AZ16" si="16">SUM(AX8:AY8)</f>
        <v>55325000</v>
      </c>
      <c r="BA8" s="94">
        <v>72850500</v>
      </c>
      <c r="BB8" s="101" t="s">
        <v>487</v>
      </c>
      <c r="BC8" s="94">
        <f t="shared" ref="BC8:BC16" si="17">SUM(BA8:BB8)</f>
        <v>72850500</v>
      </c>
      <c r="BD8" s="94">
        <v>84187000</v>
      </c>
      <c r="BE8" s="101" t="s">
        <v>487</v>
      </c>
      <c r="BF8" s="94">
        <f t="shared" ref="BF8:BF16" si="18">SUM(BD8:BE8)</f>
        <v>84187000</v>
      </c>
      <c r="BG8" s="94">
        <v>100445000</v>
      </c>
      <c r="BH8" s="101" t="s">
        <v>487</v>
      </c>
      <c r="BI8" s="94">
        <f t="shared" ref="BI8:BI16" si="19">SUM(BG8:BH8)</f>
        <v>100445000</v>
      </c>
      <c r="BJ8" s="94">
        <v>119559000</v>
      </c>
      <c r="BK8" s="101" t="s">
        <v>487</v>
      </c>
      <c r="BL8" s="94">
        <f t="shared" ref="BL8:BL16" si="20">SUM(BJ8:BK8)</f>
        <v>119559000</v>
      </c>
      <c r="BM8" s="94">
        <v>96482500</v>
      </c>
      <c r="BN8" s="101" t="s">
        <v>487</v>
      </c>
      <c r="BO8" s="94">
        <f t="shared" ref="BO8:BO16" si="21">SUM(BM8:BN8)</f>
        <v>96482500</v>
      </c>
      <c r="BP8" s="94">
        <v>57395000</v>
      </c>
      <c r="BQ8" s="101" t="s">
        <v>487</v>
      </c>
      <c r="BR8" s="94">
        <f t="shared" ref="BR8:BR16" si="22">SUM(BP8:BQ8)</f>
        <v>57395000</v>
      </c>
      <c r="BS8" s="94">
        <v>50231000</v>
      </c>
      <c r="BT8" s="101" t="s">
        <v>487</v>
      </c>
      <c r="BU8" s="94">
        <f t="shared" ref="BU8:BU16" si="23">SUM(BS8:BT8)</f>
        <v>50231000</v>
      </c>
      <c r="BV8" s="94">
        <v>62276500</v>
      </c>
      <c r="BW8" s="101" t="s">
        <v>487</v>
      </c>
      <c r="BX8" s="94">
        <f t="shared" ref="BX8:BX16" si="24">SUM(BV8:BW8)</f>
        <v>62276500</v>
      </c>
      <c r="BY8" s="94">
        <v>87693500</v>
      </c>
      <c r="BZ8" s="101" t="s">
        <v>487</v>
      </c>
      <c r="CA8" s="94">
        <f t="shared" ref="CA8:CA16" si="25">SUM(BY8:BZ8)</f>
        <v>87693500</v>
      </c>
      <c r="CB8" s="94">
        <v>109983500</v>
      </c>
      <c r="CC8" s="101" t="s">
        <v>487</v>
      </c>
      <c r="CD8" s="94">
        <f t="shared" ref="CD8:CD16" si="26">SUM(CB8:CC8)</f>
        <v>109983500</v>
      </c>
      <c r="CE8" s="94">
        <v>127467000</v>
      </c>
      <c r="CF8" s="101" t="s">
        <v>487</v>
      </c>
      <c r="CG8" s="94">
        <f t="shared" ref="CG8:CG16" si="27">SUM(CE8:CF8)</f>
        <v>127467000</v>
      </c>
      <c r="CH8" s="94">
        <v>102966000</v>
      </c>
      <c r="CI8" s="101" t="s">
        <v>487</v>
      </c>
      <c r="CJ8" s="94">
        <f t="shared" ref="CJ8:CJ16" si="28">SUM(CH8:CI8)</f>
        <v>102966000</v>
      </c>
      <c r="CK8" s="94">
        <v>52738500</v>
      </c>
      <c r="CL8" s="101" t="s">
        <v>487</v>
      </c>
      <c r="CM8" s="94">
        <f t="shared" ref="CM8:CM16" si="29">SUM(CK8:CL8)</f>
        <v>52738500</v>
      </c>
      <c r="CN8" s="94">
        <v>45851500</v>
      </c>
      <c r="CO8" s="101" t="s">
        <v>487</v>
      </c>
      <c r="CP8" s="94">
        <f t="shared" ref="CP8:CP16" si="30">SUM(CN8:CO8)</f>
        <v>45851500</v>
      </c>
      <c r="CQ8" s="94">
        <v>55849500</v>
      </c>
      <c r="CR8" s="101" t="s">
        <v>487</v>
      </c>
      <c r="CS8" s="94">
        <f t="shared" ref="CS8:CS16" si="31">SUM(CQ8:CR8)</f>
        <v>55849500</v>
      </c>
      <c r="CT8" s="94">
        <v>73930000</v>
      </c>
      <c r="CU8" s="101" t="s">
        <v>487</v>
      </c>
      <c r="CV8" s="94">
        <f t="shared" ref="CV8:CV16" si="32">SUM(CT8:CU8)</f>
        <v>73930000</v>
      </c>
      <c r="CW8" s="94">
        <v>94988000</v>
      </c>
      <c r="CX8" s="101" t="s">
        <v>487</v>
      </c>
      <c r="CY8" s="94">
        <f t="shared" ref="CY8:CY16" si="33">SUM(CW8:CX8)</f>
        <v>94988000</v>
      </c>
      <c r="CZ8" s="94">
        <v>118962500</v>
      </c>
      <c r="DA8" s="101" t="s">
        <v>487</v>
      </c>
      <c r="DB8" s="94">
        <f t="shared" ref="DB8:DB16" si="34">SUM(CZ8:DA8)</f>
        <v>118962500</v>
      </c>
      <c r="DC8" s="37"/>
      <c r="DD8" s="85" t="s">
        <v>487</v>
      </c>
      <c r="DE8" s="37">
        <f t="shared" ref="DE8:DE16" si="35">SUM(DC8:DD8)</f>
        <v>0</v>
      </c>
    </row>
    <row r="9" spans="1:109" outlineLevel="1">
      <c r="A9" s="27" t="s">
        <v>6</v>
      </c>
      <c r="B9" s="94">
        <f>SUMIFS('Federal Data'!M2:M501,'Federal Data'!$F2:$F501,"Payroll Taxes")</f>
        <v>155537189</v>
      </c>
      <c r="C9" s="101" t="s">
        <v>487</v>
      </c>
      <c r="D9" s="94">
        <f t="shared" si="0"/>
        <v>155537189</v>
      </c>
      <c r="E9" s="94">
        <f>SUMIFS('Federal Data'!N2:N501,'Federal Data'!$F2:$F501,"Payroll Taxes")</f>
        <v>180497726</v>
      </c>
      <c r="F9" s="101" t="s">
        <v>487</v>
      </c>
      <c r="G9" s="94">
        <f t="shared" si="1"/>
        <v>180497726</v>
      </c>
      <c r="H9" s="94">
        <f>SUMIFS('Federal Data'!O2:O501,'Federal Data'!$F2:$F501,"Payroll Taxes")</f>
        <v>199365036</v>
      </c>
      <c r="I9" s="101" t="s">
        <v>487</v>
      </c>
      <c r="J9" s="94">
        <f t="shared" si="2"/>
        <v>199365036</v>
      </c>
      <c r="K9" s="94">
        <f>SUMIFS('Federal Data'!P2:P501,'Federal Data'!$F2:$F501,"Payroll Taxes")</f>
        <v>207644920</v>
      </c>
      <c r="L9" s="101" t="s">
        <v>487</v>
      </c>
      <c r="M9" s="94">
        <f t="shared" si="3"/>
        <v>207644920</v>
      </c>
      <c r="N9" s="94">
        <f>SUMIFS('Federal Data'!Q2:Q501,'Federal Data'!$F2:$F501,"Payroll Taxes")</f>
        <v>238314793</v>
      </c>
      <c r="O9" s="101" t="s">
        <v>487</v>
      </c>
      <c r="P9" s="94">
        <f t="shared" si="4"/>
        <v>238314793</v>
      </c>
      <c r="Q9" s="94">
        <f>SUMIFS('Federal Data'!R2:R501,'Federal Data'!$F2:$F501,"Payroll Taxes")</f>
        <v>264703685</v>
      </c>
      <c r="R9" s="101" t="s">
        <v>487</v>
      </c>
      <c r="S9" s="94">
        <f t="shared" si="5"/>
        <v>264703685</v>
      </c>
      <c r="T9" s="94">
        <f>SUMIFS('Federal Data'!S2:S501,'Federal Data'!$F2:$F501,"Payroll Taxes")</f>
        <v>283912398</v>
      </c>
      <c r="U9" s="101" t="s">
        <v>487</v>
      </c>
      <c r="V9" s="94">
        <f t="shared" si="6"/>
        <v>283912398</v>
      </c>
      <c r="W9" s="94">
        <f>SUMIFS('Federal Data'!T2:T501,'Federal Data'!$F2:$F501,"Payroll Taxes")</f>
        <v>303887951</v>
      </c>
      <c r="X9" s="101" t="s">
        <v>487</v>
      </c>
      <c r="Y9" s="94">
        <f t="shared" si="7"/>
        <v>303887951</v>
      </c>
      <c r="Z9" s="94">
        <f>SUMIFS('Federal Data'!U2:U501,'Federal Data'!$F2:$F501,"Payroll Taxes")</f>
        <v>335768060</v>
      </c>
      <c r="AA9" s="101" t="s">
        <v>487</v>
      </c>
      <c r="AB9" s="94">
        <f t="shared" si="8"/>
        <v>335768060</v>
      </c>
      <c r="AC9" s="94">
        <f>SUMIFS('Federal Data'!V2:V501,'Federal Data'!$F2:$F501,"Payroll Taxes")</f>
        <v>361556549</v>
      </c>
      <c r="AD9" s="101" t="s">
        <v>487</v>
      </c>
      <c r="AE9" s="94">
        <f t="shared" si="9"/>
        <v>361556549</v>
      </c>
      <c r="AF9" s="94">
        <f>SUMIFS('Federal Data'!W2:W501,'Federal Data'!$F2:$F501,"Payroll Taxes")</f>
        <v>382955992</v>
      </c>
      <c r="AG9" s="101" t="s">
        <v>487</v>
      </c>
      <c r="AH9" s="94">
        <f t="shared" si="10"/>
        <v>382955992</v>
      </c>
      <c r="AI9" s="94">
        <f>SUMIFS('Federal Data'!X2:X501,'Federal Data'!$F2:$F501,"Payroll Taxes")</f>
        <v>399313772</v>
      </c>
      <c r="AJ9" s="101" t="s">
        <v>487</v>
      </c>
      <c r="AK9" s="94">
        <f t="shared" si="11"/>
        <v>399313772</v>
      </c>
      <c r="AL9" s="94">
        <f>SUMIFS('Federal Data'!Y2:Y501,'Federal Data'!$F2:$F501,"Payroll Taxes")</f>
        <v>417621876</v>
      </c>
      <c r="AM9" s="101" t="s">
        <v>487</v>
      </c>
      <c r="AN9" s="94">
        <f t="shared" si="12"/>
        <v>417621876</v>
      </c>
      <c r="AO9" s="94">
        <f>SUMIFS('Federal Data'!Z2:Z501,'Federal Data'!$F2:$F501,"Payroll Taxes")</f>
        <v>432829147</v>
      </c>
      <c r="AP9" s="101" t="s">
        <v>487</v>
      </c>
      <c r="AQ9" s="94">
        <f t="shared" si="13"/>
        <v>432829147</v>
      </c>
      <c r="AR9" s="94">
        <f>SUMIFS('Federal Data'!AA2:AA501,'Federal Data'!$F2:$F501,"Payroll Taxes")</f>
        <v>466012437</v>
      </c>
      <c r="AS9" s="101" t="s">
        <v>487</v>
      </c>
      <c r="AT9" s="94">
        <f t="shared" si="14"/>
        <v>466012437</v>
      </c>
      <c r="AU9" s="94">
        <f>SUMIFS('Federal Data'!AB2:AB501,'Federal Data'!$F2:$F501,"Payroll Taxes")</f>
        <v>489111000</v>
      </c>
      <c r="AV9" s="101" t="s">
        <v>487</v>
      </c>
      <c r="AW9" s="94">
        <f t="shared" si="15"/>
        <v>489111000</v>
      </c>
      <c r="AX9" s="94">
        <f>SUMIFS('Federal Data'!AC2:AC501,'Federal Data'!$F2:$F501,"Payroll Taxes")</f>
        <v>513821000</v>
      </c>
      <c r="AY9" s="101" t="s">
        <v>487</v>
      </c>
      <c r="AZ9" s="94">
        <f t="shared" si="16"/>
        <v>513821000</v>
      </c>
      <c r="BA9" s="94">
        <f>SUMIFS('Federal Data'!AD2:AD501,'Federal Data'!$F2:$F501,"Payroll Taxes")</f>
        <v>544133000</v>
      </c>
      <c r="BB9" s="101" t="s">
        <v>487</v>
      </c>
      <c r="BC9" s="94">
        <f t="shared" si="17"/>
        <v>544133000</v>
      </c>
      <c r="BD9" s="94">
        <f>SUMIFS('Federal Data'!AE2:AE501,'Federal Data'!$F2:$F501,"Payroll Taxes")</f>
        <v>577208000</v>
      </c>
      <c r="BE9" s="101" t="s">
        <v>487</v>
      </c>
      <c r="BF9" s="94">
        <f t="shared" si="18"/>
        <v>577208000</v>
      </c>
      <c r="BG9" s="94">
        <f>SUMIFS('Federal Data'!AF2:AF501,'Federal Data'!$F2:$F501,"Payroll Taxes")</f>
        <v>617389000</v>
      </c>
      <c r="BH9" s="101" t="s">
        <v>487</v>
      </c>
      <c r="BI9" s="94">
        <f t="shared" si="19"/>
        <v>617389000</v>
      </c>
      <c r="BJ9" s="94">
        <f>SUMIFS('Federal Data'!AG2:AG501,'Federal Data'!$F2:$F501,"Payroll Taxes")</f>
        <v>658744000</v>
      </c>
      <c r="BK9" s="101" t="s">
        <v>487</v>
      </c>
      <c r="BL9" s="94">
        <f t="shared" si="20"/>
        <v>658744000</v>
      </c>
      <c r="BM9" s="94">
        <f>SUMIFS('Federal Data'!AH2:AH501,'Federal Data'!$F2:$F501,"Payroll Taxes")</f>
        <v>700289000</v>
      </c>
      <c r="BN9" s="101" t="s">
        <v>487</v>
      </c>
      <c r="BO9" s="94">
        <f t="shared" si="21"/>
        <v>700289000</v>
      </c>
      <c r="BP9" s="94">
        <f>SUMIFS('Federal Data'!AI2:AI501,'Federal Data'!$F2:$F501,"Payroll Taxes")</f>
        <v>708405000</v>
      </c>
      <c r="BQ9" s="101" t="s">
        <v>487</v>
      </c>
      <c r="BR9" s="94">
        <f t="shared" si="22"/>
        <v>708405000</v>
      </c>
      <c r="BS9" s="94">
        <f>SUMIFS('Federal Data'!AJ2:AJ501,'Federal Data'!$F2:$F501,"Payroll Taxes")</f>
        <v>721624000</v>
      </c>
      <c r="BT9" s="101" t="s">
        <v>487</v>
      </c>
      <c r="BU9" s="94">
        <f t="shared" si="23"/>
        <v>721624000</v>
      </c>
      <c r="BV9" s="94">
        <f>SUMIFS('Federal Data'!AK2:AK501,'Federal Data'!$F2:$F501,"Payroll Taxes")</f>
        <v>743408000</v>
      </c>
      <c r="BW9" s="101" t="s">
        <v>487</v>
      </c>
      <c r="BX9" s="94">
        <f t="shared" si="24"/>
        <v>743408000</v>
      </c>
      <c r="BY9" s="94">
        <f>SUMIFS('Federal Data'!AL2:AL501,'Federal Data'!$F2:$F501,"Payroll Taxes")</f>
        <v>804682000</v>
      </c>
      <c r="BZ9" s="101" t="s">
        <v>487</v>
      </c>
      <c r="CA9" s="94">
        <f t="shared" si="25"/>
        <v>804682000</v>
      </c>
      <c r="CB9" s="94">
        <f>SUMIFS('Federal Data'!AM2:AM501,'Federal Data'!$F2:$F501,"Payroll Taxes")</f>
        <v>849320000</v>
      </c>
      <c r="CC9" s="101" t="s">
        <v>487</v>
      </c>
      <c r="CD9" s="94">
        <f t="shared" si="26"/>
        <v>849320000</v>
      </c>
      <c r="CE9" s="94">
        <f>SUMIFS('Federal Data'!AN2:AN501,'Federal Data'!$F2:$F501,"Payroll Taxes")</f>
        <v>881942000</v>
      </c>
      <c r="CF9" s="101" t="s">
        <v>487</v>
      </c>
      <c r="CG9" s="94">
        <f t="shared" si="27"/>
        <v>881942000</v>
      </c>
      <c r="CH9" s="94">
        <f>SUMIFS('Federal Data'!AO2:AO501,'Federal Data'!$F2:$F501,"Payroll Taxes")</f>
        <v>913555000</v>
      </c>
      <c r="CI9" s="101" t="s">
        <v>487</v>
      </c>
      <c r="CJ9" s="94">
        <f t="shared" si="28"/>
        <v>913555000</v>
      </c>
      <c r="CK9" s="94">
        <f>SUMIFS('Federal Data'!AP2:AP501,'Federal Data'!$F2:$F501,"Payroll Taxes")</f>
        <v>906005000</v>
      </c>
      <c r="CL9" s="101" t="s">
        <v>487</v>
      </c>
      <c r="CM9" s="94">
        <f t="shared" si="29"/>
        <v>906005000</v>
      </c>
      <c r="CN9" s="94">
        <f>SUMIFS('Federal Data'!AQ2:AQ501,'Federal Data'!$F2:$F501,"Payroll Taxes")</f>
        <v>880923000</v>
      </c>
      <c r="CO9" s="101" t="s">
        <v>487</v>
      </c>
      <c r="CP9" s="94">
        <f t="shared" si="30"/>
        <v>880923000</v>
      </c>
      <c r="CQ9" s="94">
        <f>SUMIFS('Federal Data'!AR2:AR501,'Federal Data'!$F2:$F501,"Payroll Taxes")</f>
        <v>835290000</v>
      </c>
      <c r="CR9" s="101" t="s">
        <v>487</v>
      </c>
      <c r="CS9" s="94">
        <f t="shared" si="31"/>
        <v>835290000</v>
      </c>
      <c r="CT9" s="94">
        <f>SUMIFS('Federal Data'!AS2:AS501,'Federal Data'!$F2:$F501,"Payroll Taxes")</f>
        <v>862646000</v>
      </c>
      <c r="CU9" s="101" t="s">
        <v>487</v>
      </c>
      <c r="CV9" s="94">
        <f t="shared" si="32"/>
        <v>862646000</v>
      </c>
      <c r="CW9" s="94">
        <f>SUMIFS('Federal Data'!AT2:AT501,'Federal Data'!$F2:$F501,"Payroll Taxes")</f>
        <v>965755000</v>
      </c>
      <c r="CX9" s="101" t="s">
        <v>487</v>
      </c>
      <c r="CY9" s="94">
        <f t="shared" si="33"/>
        <v>965755000</v>
      </c>
      <c r="CZ9" s="94">
        <f>SUMIFS('Federal Data'!AU2:AU501,'Federal Data'!$F2:$F501,"Payroll Taxes")</f>
        <v>1040773000</v>
      </c>
      <c r="DA9" s="101" t="s">
        <v>487</v>
      </c>
      <c r="DB9" s="94">
        <f t="shared" si="34"/>
        <v>1040773000</v>
      </c>
      <c r="DC9" s="37">
        <f>SUMIFS('Federal Data'!AV2:AV501,'Federal Data'!$F2:$F501,"Payroll Taxes")</f>
        <v>1082461000</v>
      </c>
      <c r="DD9" s="85" t="s">
        <v>487</v>
      </c>
      <c r="DE9" s="37">
        <f t="shared" si="35"/>
        <v>1082461000</v>
      </c>
    </row>
    <row r="10" spans="1:109" outlineLevel="2">
      <c r="A10" s="28" t="s">
        <v>54</v>
      </c>
      <c r="B10" s="94">
        <f>SUMIFS('Federal Data'!M2:M501,'Federal Data'!$G2:$G501,"Social Security Taxes")</f>
        <v>114412955</v>
      </c>
      <c r="C10" s="101" t="s">
        <v>487</v>
      </c>
      <c r="D10" s="94">
        <f t="shared" si="0"/>
        <v>114412955</v>
      </c>
      <c r="E10" s="94">
        <f>SUMIFS('Federal Data'!N2:N501,'Federal Data'!$G2:$G501,"Social Security Taxes")</f>
        <v>131605620</v>
      </c>
      <c r="F10" s="101" t="s">
        <v>487</v>
      </c>
      <c r="G10" s="94">
        <f t="shared" si="1"/>
        <v>131605620</v>
      </c>
      <c r="H10" s="94">
        <f>SUMIFS('Federal Data'!O2:O501,'Federal Data'!$G2:$G501,"Social Security Taxes")</f>
        <v>145112894</v>
      </c>
      <c r="I10" s="101" t="s">
        <v>487</v>
      </c>
      <c r="J10" s="94">
        <f t="shared" si="2"/>
        <v>145112894</v>
      </c>
      <c r="K10" s="94">
        <f>SUMIFS('Federal Data'!P2:P501,'Federal Data'!$G2:$G501,"Social Security Taxes")</f>
        <v>149098287</v>
      </c>
      <c r="L10" s="101" t="s">
        <v>487</v>
      </c>
      <c r="M10" s="94">
        <f t="shared" si="3"/>
        <v>149098287</v>
      </c>
      <c r="N10" s="94">
        <f>SUMIFS('Federal Data'!Q2:Q501,'Federal Data'!$G2:$G501,"Social Security Taxes")</f>
        <v>168118948</v>
      </c>
      <c r="O10" s="101" t="s">
        <v>487</v>
      </c>
      <c r="P10" s="94">
        <f t="shared" si="4"/>
        <v>168118948</v>
      </c>
      <c r="Q10" s="94">
        <f>SUMIFS('Federal Data'!R2:R501,'Federal Data'!$G2:$G501,"Social Security Taxes")</f>
        <v>188679481</v>
      </c>
      <c r="R10" s="101" t="s">
        <v>487</v>
      </c>
      <c r="S10" s="94">
        <f t="shared" si="5"/>
        <v>188679481</v>
      </c>
      <c r="T10" s="94">
        <f>SUMIFS('Federal Data'!S2:S501,'Federal Data'!$G2:$G501,"Social Security Taxes")</f>
        <v>203085310</v>
      </c>
      <c r="U10" s="101" t="s">
        <v>487</v>
      </c>
      <c r="V10" s="94">
        <f t="shared" si="6"/>
        <v>203085310</v>
      </c>
      <c r="W10" s="94">
        <f>SUMIFS('Federal Data'!T2:T501,'Federal Data'!$G2:$G501,"Social Security Taxes")</f>
        <v>216701396</v>
      </c>
      <c r="X10" s="101" t="s">
        <v>487</v>
      </c>
      <c r="Y10" s="94">
        <f t="shared" si="7"/>
        <v>216701396</v>
      </c>
      <c r="Z10" s="94">
        <f>SUMIFS('Federal Data'!U2:U501,'Federal Data'!$G2:$G501,"Social Security Taxes")</f>
        <v>245561890</v>
      </c>
      <c r="AA10" s="101" t="s">
        <v>487</v>
      </c>
      <c r="AB10" s="94">
        <f t="shared" si="8"/>
        <v>245561890</v>
      </c>
      <c r="AC10" s="94">
        <f>SUMIFS('Federal Data'!V2:V501,'Federal Data'!$G2:$G501,"Social Security Taxes")</f>
        <v>268188263</v>
      </c>
      <c r="AD10" s="101" t="s">
        <v>487</v>
      </c>
      <c r="AE10" s="94">
        <f t="shared" si="9"/>
        <v>268188263</v>
      </c>
      <c r="AF10" s="94">
        <f>SUMIFS('Federal Data'!W2:W501,'Federal Data'!$G2:$G501,"Social Security Taxes")</f>
        <v>286722389</v>
      </c>
      <c r="AG10" s="101" t="s">
        <v>487</v>
      </c>
      <c r="AH10" s="94">
        <f t="shared" si="10"/>
        <v>286722389</v>
      </c>
      <c r="AI10" s="94">
        <f>SUMIFS('Federal Data'!X2:X501,'Federal Data'!$G2:$G501,"Social Security Taxes")</f>
        <v>299295400</v>
      </c>
      <c r="AJ10" s="101" t="s">
        <v>487</v>
      </c>
      <c r="AK10" s="94">
        <f t="shared" si="11"/>
        <v>299295400</v>
      </c>
      <c r="AL10" s="94">
        <f>SUMIFS('Federal Data'!Y2:Y501,'Federal Data'!$G2:$G501,"Social Security Taxes")</f>
        <v>308164762</v>
      </c>
      <c r="AM10" s="101" t="s">
        <v>487</v>
      </c>
      <c r="AN10" s="94">
        <f t="shared" si="12"/>
        <v>308164762</v>
      </c>
      <c r="AO10" s="94">
        <f>SUMIFS('Federal Data'!Z2:Z501,'Federal Data'!$G2:$G501,"Social Security Taxes")</f>
        <v>318009717</v>
      </c>
      <c r="AP10" s="101" t="s">
        <v>487</v>
      </c>
      <c r="AQ10" s="94">
        <f t="shared" si="13"/>
        <v>318009717</v>
      </c>
      <c r="AR10" s="94">
        <f>SUMIFS('Federal Data'!AA2:AA501,'Federal Data'!$G2:$G501,"Social Security Taxes")</f>
        <v>341098090</v>
      </c>
      <c r="AS10" s="101" t="s">
        <v>487</v>
      </c>
      <c r="AT10" s="94">
        <f t="shared" si="14"/>
        <v>341098090</v>
      </c>
      <c r="AU10" s="94">
        <f>SUMIFS('Federal Data'!AB2:AB501,'Federal Data'!$G2:$G501,"Social Security Taxes")</f>
        <v>357219000</v>
      </c>
      <c r="AV10" s="101" t="s">
        <v>487</v>
      </c>
      <c r="AW10" s="94">
        <f t="shared" si="15"/>
        <v>357219000</v>
      </c>
      <c r="AX10" s="94">
        <f>SUMIFS('Federal Data'!AC2:AC501,'Federal Data'!$G2:$G501,"Social Security Taxes")</f>
        <v>373460000</v>
      </c>
      <c r="AY10" s="101" t="s">
        <v>487</v>
      </c>
      <c r="AZ10" s="94">
        <f t="shared" si="16"/>
        <v>373460000</v>
      </c>
      <c r="BA10" s="94">
        <f>SUMIFS('Federal Data'!AD2:AD501,'Federal Data'!$G2:$G501,"Social Security Taxes")</f>
        <v>398173000</v>
      </c>
      <c r="BB10" s="101" t="s">
        <v>487</v>
      </c>
      <c r="BC10" s="94">
        <f t="shared" si="17"/>
        <v>398173000</v>
      </c>
      <c r="BD10" s="94">
        <f>SUMIFS('Federal Data'!AE2:AE501,'Federal Data'!$G2:$G501,"Social Security Taxes")</f>
        <v>422569000</v>
      </c>
      <c r="BE10" s="101" t="s">
        <v>487</v>
      </c>
      <c r="BF10" s="94">
        <f t="shared" si="18"/>
        <v>422569000</v>
      </c>
      <c r="BG10" s="94">
        <f>SUMIFS('Federal Data'!AF2:AF501,'Federal Data'!$G2:$G501,"Social Security Taxes")</f>
        <v>451589000</v>
      </c>
      <c r="BH10" s="101" t="s">
        <v>487</v>
      </c>
      <c r="BI10" s="94">
        <f t="shared" si="19"/>
        <v>451589000</v>
      </c>
      <c r="BJ10" s="94">
        <f>SUMIFS('Federal Data'!AG2:AG501,'Federal Data'!$G2:$G501,"Social Security Taxes")</f>
        <v>488212000</v>
      </c>
      <c r="BK10" s="101" t="s">
        <v>487</v>
      </c>
      <c r="BL10" s="94">
        <f t="shared" si="20"/>
        <v>488212000</v>
      </c>
      <c r="BM10" s="94">
        <f>SUMIFS('Federal Data'!AH2:AH501,'Federal Data'!$G2:$G501,"Social Security Taxes")</f>
        <v>515420000</v>
      </c>
      <c r="BN10" s="101" t="s">
        <v>487</v>
      </c>
      <c r="BO10" s="94">
        <f t="shared" si="21"/>
        <v>515420000</v>
      </c>
      <c r="BP10" s="94">
        <f>SUMIFS('Federal Data'!AI2:AI501,'Federal Data'!$G2:$G501,"Social Security Taxes")</f>
        <v>524199000</v>
      </c>
      <c r="BQ10" s="101" t="s">
        <v>487</v>
      </c>
      <c r="BR10" s="94">
        <f t="shared" si="22"/>
        <v>524199000</v>
      </c>
      <c r="BS10" s="94">
        <f>SUMIFS('Federal Data'!AJ2:AJ501,'Federal Data'!$G2:$G501,"Social Security Taxes")</f>
        <v>533444000</v>
      </c>
      <c r="BT10" s="101" t="s">
        <v>487</v>
      </c>
      <c r="BU10" s="94">
        <f t="shared" si="23"/>
        <v>533444000</v>
      </c>
      <c r="BV10" s="94">
        <f>SUMIFS('Federal Data'!AK2:AK501,'Federal Data'!$G2:$G501,"Social Security Taxes")</f>
        <v>545346000</v>
      </c>
      <c r="BW10" s="101" t="s">
        <v>487</v>
      </c>
      <c r="BX10" s="94">
        <f t="shared" si="24"/>
        <v>545346000</v>
      </c>
      <c r="BY10" s="94">
        <f>SUMIFS('Federal Data'!AL2:AL501,'Federal Data'!$G2:$G501,"Social Security Taxes")</f>
        <v>588417000</v>
      </c>
      <c r="BZ10" s="101" t="s">
        <v>487</v>
      </c>
      <c r="CA10" s="94">
        <f t="shared" si="25"/>
        <v>588417000</v>
      </c>
      <c r="CB10" s="94">
        <f>SUMIFS('Federal Data'!AM2:AM501,'Federal Data'!$G2:$G501,"Social Security Taxes")</f>
        <v>620007000</v>
      </c>
      <c r="CC10" s="101" t="s">
        <v>487</v>
      </c>
      <c r="CD10" s="94">
        <f t="shared" si="26"/>
        <v>620007000</v>
      </c>
      <c r="CE10" s="94">
        <f>SUMIFS('Federal Data'!AN2:AN501,'Federal Data'!$G2:$G501,"Social Security Taxes")</f>
        <v>647388000</v>
      </c>
      <c r="CF10" s="101" t="s">
        <v>487</v>
      </c>
      <c r="CG10" s="94">
        <f t="shared" si="27"/>
        <v>647388000</v>
      </c>
      <c r="CH10" s="94">
        <f>SUMIFS('Federal Data'!AO2:AO501,'Federal Data'!$G2:$G501,"Social Security Taxes")</f>
        <v>671183000</v>
      </c>
      <c r="CI10" s="101" t="s">
        <v>487</v>
      </c>
      <c r="CJ10" s="94">
        <f t="shared" si="28"/>
        <v>671183000</v>
      </c>
      <c r="CK10" s="94">
        <f>SUMIFS('Federal Data'!AP2:AP501,'Federal Data'!$G2:$G501,"Social Security Taxes")</f>
        <v>668235000</v>
      </c>
      <c r="CL10" s="101" t="s">
        <v>487</v>
      </c>
      <c r="CM10" s="94">
        <f t="shared" si="29"/>
        <v>668235000</v>
      </c>
      <c r="CN10" s="94">
        <f>SUMIFS('Federal Data'!AQ2:AQ501,'Federal Data'!$G2:$G501,"Social Security Taxes")</f>
        <v>646623000</v>
      </c>
      <c r="CO10" s="101" t="s">
        <v>487</v>
      </c>
      <c r="CP10" s="94">
        <f t="shared" si="30"/>
        <v>646623000</v>
      </c>
      <c r="CQ10" s="94">
        <f>SUMIFS('Federal Data'!AR2:AR501,'Federal Data'!$G2:$G501,"Social Security Taxes")</f>
        <v>580887000</v>
      </c>
      <c r="CR10" s="101" t="s">
        <v>487</v>
      </c>
      <c r="CS10" s="94">
        <f t="shared" si="31"/>
        <v>580887000</v>
      </c>
      <c r="CT10" s="94">
        <f>SUMIFS('Federal Data'!AS2:AS501,'Federal Data'!$G2:$G501,"Social Security Taxes")</f>
        <v>585093000</v>
      </c>
      <c r="CU10" s="101" t="s">
        <v>487</v>
      </c>
      <c r="CV10" s="94">
        <f t="shared" si="32"/>
        <v>585093000</v>
      </c>
      <c r="CW10" s="94">
        <f>SUMIFS('Federal Data'!AT2:AT501,'Federal Data'!$G2:$G501,"Social Security Taxes")</f>
        <v>689442000</v>
      </c>
      <c r="CX10" s="101" t="s">
        <v>487</v>
      </c>
      <c r="CY10" s="94">
        <f t="shared" si="33"/>
        <v>689442000</v>
      </c>
      <c r="CZ10" s="94">
        <f>SUMIFS('Federal Data'!AU2:AU501,'Federal Data'!$G2:$G501,"Social Security Taxes")</f>
        <v>751302000</v>
      </c>
      <c r="DA10" s="101" t="s">
        <v>487</v>
      </c>
      <c r="DB10" s="94">
        <f t="shared" si="34"/>
        <v>751302000</v>
      </c>
      <c r="DC10" s="37">
        <f>SUMIFS('Federal Data'!AV2:AV501,'Federal Data'!$G2:$G501,"Social Security Taxes")</f>
        <v>786380000</v>
      </c>
      <c r="DD10" s="85" t="s">
        <v>487</v>
      </c>
      <c r="DE10" s="37">
        <f t="shared" si="35"/>
        <v>786380000</v>
      </c>
    </row>
    <row r="11" spans="1:109" outlineLevel="3">
      <c r="A11" s="29" t="s">
        <v>72</v>
      </c>
      <c r="B11" s="94">
        <f>SUMIFS('Federal Data'!M2:M501,'Federal Data'!$G2:$G501,"Social Security Taxes",'Federal Data'!$H2:$H501,"Retirement")</f>
        <v>97607697</v>
      </c>
      <c r="C11" s="101" t="s">
        <v>487</v>
      </c>
      <c r="D11" s="94">
        <f t="shared" si="0"/>
        <v>97607697</v>
      </c>
      <c r="E11" s="94">
        <f>SUMIFS('Federal Data'!N2:N501,'Federal Data'!$G2:$G501,"Social Security Taxes",'Federal Data'!$H2:$H501,"Retirement")</f>
        <v>119016123</v>
      </c>
      <c r="F11" s="101" t="s">
        <v>487</v>
      </c>
      <c r="G11" s="94">
        <f t="shared" si="1"/>
        <v>119016123</v>
      </c>
      <c r="H11" s="94">
        <f>SUMIFS('Federal Data'!O2:O501,'Federal Data'!$G2:$G501,"Social Security Taxes",'Federal Data'!$H2:$H501,"Retirement")</f>
        <v>124246445</v>
      </c>
      <c r="I11" s="101" t="s">
        <v>487</v>
      </c>
      <c r="J11" s="94">
        <f t="shared" si="2"/>
        <v>124246445</v>
      </c>
      <c r="K11" s="94">
        <f>SUMIFS('Federal Data'!P2:P501,'Federal Data'!$G2:$G501,"Social Security Taxes",'Federal Data'!$H2:$H501,"Retirement")</f>
        <v>130506498</v>
      </c>
      <c r="L11" s="101" t="s">
        <v>487</v>
      </c>
      <c r="M11" s="94">
        <f t="shared" si="3"/>
        <v>130506498</v>
      </c>
      <c r="N11" s="94">
        <f>SUMIFS('Federal Data'!Q2:Q501,'Federal Data'!$G2:$G501,"Social Security Taxes",'Federal Data'!$H2:$H501,"Retirement")</f>
        <v>152163541</v>
      </c>
      <c r="O11" s="101" t="s">
        <v>487</v>
      </c>
      <c r="P11" s="94">
        <f t="shared" si="4"/>
        <v>152163541</v>
      </c>
      <c r="Q11" s="94">
        <f>SUMIFS('Federal Data'!R2:R501,'Federal Data'!$G2:$G501,"Social Security Taxes",'Federal Data'!$H2:$H501,"Retirement")</f>
        <v>172110010</v>
      </c>
      <c r="R11" s="101" t="s">
        <v>487</v>
      </c>
      <c r="S11" s="94">
        <f t="shared" si="5"/>
        <v>172110010</v>
      </c>
      <c r="T11" s="94">
        <f>SUMIFS('Federal Data'!S2:S501,'Federal Data'!$G2:$G501,"Social Security Taxes",'Federal Data'!$H2:$H501,"Retirement")</f>
        <v>185125526</v>
      </c>
      <c r="U11" s="101" t="s">
        <v>487</v>
      </c>
      <c r="V11" s="94">
        <f t="shared" si="6"/>
        <v>185125526</v>
      </c>
      <c r="W11" s="94">
        <f>SUMIFS('Federal Data'!T2:T501,'Federal Data'!$G2:$G501,"Social Security Taxes",'Federal Data'!$H2:$H501,"Retirement")</f>
        <v>197552022</v>
      </c>
      <c r="X11" s="101" t="s">
        <v>487</v>
      </c>
      <c r="Y11" s="94">
        <f t="shared" si="7"/>
        <v>197552022</v>
      </c>
      <c r="Z11" s="94">
        <f>SUMIFS('Federal Data'!U2:U501,'Federal Data'!$G2:$G501,"Social Security Taxes",'Federal Data'!$H2:$H501,"Retirement")</f>
        <v>224052691</v>
      </c>
      <c r="AA11" s="101" t="s">
        <v>487</v>
      </c>
      <c r="AB11" s="94">
        <f t="shared" si="8"/>
        <v>224052691</v>
      </c>
      <c r="AC11" s="94">
        <f>SUMIFS('Federal Data'!V2:V501,'Federal Data'!$G2:$G501,"Social Security Taxes",'Federal Data'!$H2:$H501,"Retirement")</f>
        <v>244721652</v>
      </c>
      <c r="AD11" s="101" t="s">
        <v>487</v>
      </c>
      <c r="AE11" s="94">
        <f t="shared" si="9"/>
        <v>244721652</v>
      </c>
      <c r="AF11" s="94">
        <f>SUMIFS('Federal Data'!W2:W501,'Federal Data'!$G2:$G501,"Social Security Taxes",'Federal Data'!$H2:$H501,"Retirement")</f>
        <v>259617763</v>
      </c>
      <c r="AG11" s="101" t="s">
        <v>487</v>
      </c>
      <c r="AH11" s="94">
        <f t="shared" si="10"/>
        <v>259617763</v>
      </c>
      <c r="AI11" s="94">
        <f>SUMIFS('Federal Data'!X2:X501,'Federal Data'!$G2:$G501,"Social Security Taxes",'Federal Data'!$H2:$H501,"Retirement")</f>
        <v>270388319</v>
      </c>
      <c r="AJ11" s="101" t="s">
        <v>487</v>
      </c>
      <c r="AK11" s="94">
        <f t="shared" si="11"/>
        <v>270388319</v>
      </c>
      <c r="AL11" s="94">
        <f>SUMIFS('Federal Data'!Y2:Y501,'Federal Data'!$G2:$G501,"Social Security Taxes",'Federal Data'!$H2:$H501,"Retirement")</f>
        <v>278317434</v>
      </c>
      <c r="AM11" s="101" t="s">
        <v>487</v>
      </c>
      <c r="AN11" s="94">
        <f t="shared" si="12"/>
        <v>278317434</v>
      </c>
      <c r="AO11" s="94">
        <f>SUMIFS('Federal Data'!Z2:Z501,'Federal Data'!$G2:$G501,"Social Security Taxes",'Federal Data'!$H2:$H501,"Retirement")</f>
        <v>287224064</v>
      </c>
      <c r="AP11" s="101" t="s">
        <v>487</v>
      </c>
      <c r="AQ11" s="94">
        <f t="shared" si="13"/>
        <v>287224064</v>
      </c>
      <c r="AR11" s="94">
        <f>SUMIFS('Federal Data'!AA2:AA501,'Federal Data'!$G2:$G501,"Social Security Taxes",'Federal Data'!$H2:$H501,"Retirement")</f>
        <v>308089951</v>
      </c>
      <c r="AS11" s="101" t="s">
        <v>487</v>
      </c>
      <c r="AT11" s="94">
        <f t="shared" si="14"/>
        <v>308089951</v>
      </c>
      <c r="AU11" s="94">
        <f>SUMIFS('Federal Data'!AB2:AB501,'Federal Data'!$G2:$G501,"Social Security Taxes",'Federal Data'!$H2:$H501,"Retirement")</f>
        <v>289300000</v>
      </c>
      <c r="AV11" s="101" t="s">
        <v>487</v>
      </c>
      <c r="AW11" s="94">
        <f t="shared" si="15"/>
        <v>289300000</v>
      </c>
      <c r="AX11" s="94">
        <f>SUMIFS('Federal Data'!AC2:AC501,'Federal Data'!$G2:$G501,"Social Security Taxes",'Federal Data'!$H2:$H501,"Retirement")</f>
        <v>316932000</v>
      </c>
      <c r="AY11" s="101" t="s">
        <v>487</v>
      </c>
      <c r="AZ11" s="94">
        <f t="shared" si="16"/>
        <v>316932000</v>
      </c>
      <c r="BA11" s="94">
        <f>SUMIFS('Federal Data'!AD2:AD501,'Federal Data'!$G2:$G501,"Social Security Taxes",'Federal Data'!$H2:$H501,"Retirement")</f>
        <v>342044000</v>
      </c>
      <c r="BB11" s="101" t="s">
        <v>487</v>
      </c>
      <c r="BC11" s="94">
        <f t="shared" si="17"/>
        <v>342044000</v>
      </c>
      <c r="BD11" s="94">
        <f>SUMIFS('Federal Data'!AE2:AE501,'Federal Data'!$G2:$G501,"Social Security Taxes",'Federal Data'!$H2:$H501,"Retirement")</f>
        <v>364627000</v>
      </c>
      <c r="BE11" s="101" t="s">
        <v>487</v>
      </c>
      <c r="BF11" s="94">
        <f t="shared" si="18"/>
        <v>364627000</v>
      </c>
      <c r="BG11" s="94">
        <f>SUMIFS('Federal Data'!AF2:AF501,'Federal Data'!$G2:$G501,"Social Security Taxes",'Federal Data'!$H2:$H501,"Retirement")</f>
        <v>389705000</v>
      </c>
      <c r="BH11" s="101" t="s">
        <v>487</v>
      </c>
      <c r="BI11" s="94">
        <f t="shared" si="19"/>
        <v>389705000</v>
      </c>
      <c r="BJ11" s="94">
        <f>SUMIFS('Federal Data'!AG2:AG501,'Federal Data'!$G2:$G501,"Social Security Taxes",'Federal Data'!$H2:$H501,"Retirement")</f>
        <v>418212000</v>
      </c>
      <c r="BK11" s="101" t="s">
        <v>487</v>
      </c>
      <c r="BL11" s="94">
        <f t="shared" si="20"/>
        <v>418212000</v>
      </c>
      <c r="BM11" s="94">
        <f>SUMIFS('Federal Data'!AH2:AH501,'Federal Data'!$G2:$G501,"Social Security Taxes",'Federal Data'!$H2:$H501,"Retirement")</f>
        <v>440811000</v>
      </c>
      <c r="BN11" s="101" t="s">
        <v>487</v>
      </c>
      <c r="BO11" s="94">
        <f t="shared" si="21"/>
        <v>440811000</v>
      </c>
      <c r="BP11" s="94">
        <f>SUMIFS('Federal Data'!AI2:AI501,'Federal Data'!$G2:$G501,"Social Security Taxes",'Federal Data'!$H2:$H501,"Retirement")</f>
        <v>448132000</v>
      </c>
      <c r="BQ11" s="101" t="s">
        <v>487</v>
      </c>
      <c r="BR11" s="94">
        <f t="shared" si="22"/>
        <v>448132000</v>
      </c>
      <c r="BS11" s="94">
        <f>SUMIFS('Federal Data'!AJ2:AJ501,'Federal Data'!$G2:$G501,"Social Security Taxes",'Federal Data'!$H2:$H501,"Retirement")</f>
        <v>456013000</v>
      </c>
      <c r="BT11" s="101" t="s">
        <v>487</v>
      </c>
      <c r="BU11" s="94">
        <f t="shared" si="23"/>
        <v>456013000</v>
      </c>
      <c r="BV11" s="94">
        <f>SUMIFS('Federal Data'!AK2:AK501,'Federal Data'!$G2:$G501,"Social Security Taxes",'Federal Data'!$H2:$H501,"Retirement")</f>
        <v>466181000</v>
      </c>
      <c r="BW11" s="101" t="s">
        <v>487</v>
      </c>
      <c r="BX11" s="94">
        <f t="shared" si="24"/>
        <v>466181000</v>
      </c>
      <c r="BY11" s="94">
        <f>SUMIFS('Federal Data'!AL2:AL501,'Federal Data'!$G2:$G501,"Social Security Taxes",'Federal Data'!$H2:$H501,"Retirement")</f>
        <v>502998000</v>
      </c>
      <c r="BZ11" s="101" t="s">
        <v>487</v>
      </c>
      <c r="CA11" s="94">
        <f t="shared" si="25"/>
        <v>502998000</v>
      </c>
      <c r="CB11" s="94">
        <f>SUMIFS('Federal Data'!AM2:AM501,'Federal Data'!$G2:$G501,"Social Security Taxes",'Federal Data'!$H2:$H501,"Retirement")</f>
        <v>530006000</v>
      </c>
      <c r="CC11" s="101" t="s">
        <v>487</v>
      </c>
      <c r="CD11" s="94">
        <f t="shared" si="26"/>
        <v>530006000</v>
      </c>
      <c r="CE11" s="94">
        <f>SUMIFS('Federal Data'!AN2:AN501,'Federal Data'!$G2:$G501,"Social Security Taxes",'Federal Data'!$H2:$H501,"Retirement")</f>
        <v>553415000</v>
      </c>
      <c r="CF11" s="101" t="s">
        <v>487</v>
      </c>
      <c r="CG11" s="94">
        <f t="shared" si="27"/>
        <v>553415000</v>
      </c>
      <c r="CH11" s="94">
        <f>SUMIFS('Federal Data'!AO2:AO501,'Federal Data'!$G2:$G501,"Social Security Taxes",'Federal Data'!$H2:$H501,"Retirement")</f>
        <v>573750000</v>
      </c>
      <c r="CI11" s="101" t="s">
        <v>487</v>
      </c>
      <c r="CJ11" s="94">
        <f t="shared" si="28"/>
        <v>573750000</v>
      </c>
      <c r="CK11" s="94">
        <f>SUMIFS('Federal Data'!AP2:AP501,'Federal Data'!$G2:$G501,"Social Security Taxes",'Federal Data'!$H2:$H501,"Retirement")</f>
        <v>571228000</v>
      </c>
      <c r="CL11" s="101" t="s">
        <v>487</v>
      </c>
      <c r="CM11" s="94">
        <f t="shared" si="29"/>
        <v>571228000</v>
      </c>
      <c r="CN11" s="94">
        <f>SUMIFS('Federal Data'!AQ2:AQ501,'Federal Data'!$G2:$G501,"Social Security Taxes",'Federal Data'!$H2:$H501,"Retirement")</f>
        <v>552761000</v>
      </c>
      <c r="CO11" s="101" t="s">
        <v>487</v>
      </c>
      <c r="CP11" s="94">
        <f t="shared" si="30"/>
        <v>552761000</v>
      </c>
      <c r="CQ11" s="94">
        <f>SUMIFS('Federal Data'!AR2:AR501,'Federal Data'!$G2:$G501,"Social Security Taxes",'Federal Data'!$H2:$H501,"Retirement")</f>
        <v>496591000</v>
      </c>
      <c r="CR11" s="101" t="s">
        <v>487</v>
      </c>
      <c r="CS11" s="94">
        <f t="shared" si="31"/>
        <v>496591000</v>
      </c>
      <c r="CT11" s="94">
        <f>SUMIFS('Federal Data'!AS2:AS501,'Federal Data'!$G2:$G501,"Social Security Taxes",'Federal Data'!$H2:$H501,"Retirement")</f>
        <v>500114000</v>
      </c>
      <c r="CU11" s="101" t="s">
        <v>487</v>
      </c>
      <c r="CV11" s="94">
        <f t="shared" si="32"/>
        <v>500114000</v>
      </c>
      <c r="CW11" s="94">
        <f>SUMIFS('Federal Data'!AT2:AT501,'Federal Data'!$G2:$G501,"Social Security Taxes",'Federal Data'!$H2:$H501,"Retirement")</f>
        <v>589375000</v>
      </c>
      <c r="CX11" s="101" t="s">
        <v>487</v>
      </c>
      <c r="CY11" s="94">
        <f t="shared" si="33"/>
        <v>589375000</v>
      </c>
      <c r="CZ11" s="94">
        <f>SUMIFS('Federal Data'!AU2:AU501,'Federal Data'!$G2:$G501,"Social Security Taxes",'Federal Data'!$H2:$H501,"Retirement")</f>
        <v>642244000</v>
      </c>
      <c r="DA11" s="101" t="s">
        <v>487</v>
      </c>
      <c r="DB11" s="94">
        <f t="shared" si="34"/>
        <v>642244000</v>
      </c>
      <c r="DC11" s="37">
        <f>SUMIFS('Federal Data'!AV2:AV501,'Federal Data'!$G2:$G501,"Social Security Taxes",'Federal Data'!$H2:$H501,"Retirement")</f>
        <v>672227000</v>
      </c>
      <c r="DD11" s="85" t="s">
        <v>487</v>
      </c>
      <c r="DE11" s="37">
        <f t="shared" si="35"/>
        <v>672227000</v>
      </c>
    </row>
    <row r="12" spans="1:109" outlineLevel="3">
      <c r="A12" s="29" t="s">
        <v>73</v>
      </c>
      <c r="B12" s="94">
        <f>SUMIFS('Federal Data'!M2:M501,'Federal Data'!$G2:$G501,"Social Security Taxes",'Federal Data'!$H2:$H501,"Disability")</f>
        <v>16805258</v>
      </c>
      <c r="C12" s="101" t="s">
        <v>487</v>
      </c>
      <c r="D12" s="94">
        <f t="shared" si="0"/>
        <v>16805258</v>
      </c>
      <c r="E12" s="94">
        <f>SUMIFS('Federal Data'!N2:N501,'Federal Data'!$G2:$G501,"Social Security Taxes",'Federal Data'!$H2:$H501,"Disability")</f>
        <v>12589497</v>
      </c>
      <c r="F12" s="101" t="s">
        <v>487</v>
      </c>
      <c r="G12" s="94">
        <f t="shared" si="1"/>
        <v>12589497</v>
      </c>
      <c r="H12" s="94">
        <f>SUMIFS('Federal Data'!O2:O501,'Federal Data'!$G2:$G501,"Social Security Taxes",'Federal Data'!$H2:$H501,"Disability")</f>
        <v>20866449</v>
      </c>
      <c r="I12" s="101" t="s">
        <v>487</v>
      </c>
      <c r="J12" s="94">
        <f t="shared" si="2"/>
        <v>20866449</v>
      </c>
      <c r="K12" s="94">
        <f>SUMIFS('Federal Data'!P2:P501,'Federal Data'!$G2:$G501,"Social Security Taxes",'Federal Data'!$H2:$H501,"Disability")</f>
        <v>18591789</v>
      </c>
      <c r="L12" s="101" t="s">
        <v>487</v>
      </c>
      <c r="M12" s="94">
        <f t="shared" si="3"/>
        <v>18591789</v>
      </c>
      <c r="N12" s="94">
        <f>SUMIFS('Federal Data'!Q2:Q501,'Federal Data'!$G2:$G501,"Social Security Taxes",'Federal Data'!$H2:$H501,"Disability")</f>
        <v>15955407</v>
      </c>
      <c r="O12" s="101" t="s">
        <v>487</v>
      </c>
      <c r="P12" s="94">
        <f t="shared" si="4"/>
        <v>15955407</v>
      </c>
      <c r="Q12" s="94">
        <f>SUMIFS('Federal Data'!R2:R501,'Federal Data'!$G2:$G501,"Social Security Taxes",'Federal Data'!$H2:$H501,"Disability")</f>
        <v>16569471</v>
      </c>
      <c r="R12" s="101" t="s">
        <v>487</v>
      </c>
      <c r="S12" s="94">
        <f t="shared" si="5"/>
        <v>16569471</v>
      </c>
      <c r="T12" s="94">
        <f>SUMIFS('Federal Data'!S2:S501,'Federal Data'!$G2:$G501,"Social Security Taxes",'Federal Data'!$H2:$H501,"Disability")</f>
        <v>17959784</v>
      </c>
      <c r="U12" s="101" t="s">
        <v>487</v>
      </c>
      <c r="V12" s="94">
        <f t="shared" si="6"/>
        <v>17959784</v>
      </c>
      <c r="W12" s="94">
        <f>SUMIFS('Federal Data'!T2:T501,'Federal Data'!$G2:$G501,"Social Security Taxes",'Federal Data'!$H2:$H501,"Disability")</f>
        <v>19149374</v>
      </c>
      <c r="X12" s="101" t="s">
        <v>487</v>
      </c>
      <c r="Y12" s="94">
        <f t="shared" si="7"/>
        <v>19149374</v>
      </c>
      <c r="Z12" s="94">
        <f>SUMIFS('Federal Data'!U2:U501,'Federal Data'!$G2:$G501,"Social Security Taxes",'Federal Data'!$H2:$H501,"Disability")</f>
        <v>21509199</v>
      </c>
      <c r="AA12" s="101" t="s">
        <v>487</v>
      </c>
      <c r="AB12" s="94">
        <f t="shared" si="8"/>
        <v>21509199</v>
      </c>
      <c r="AC12" s="94">
        <f>SUMIFS('Federal Data'!V2:V501,'Federal Data'!$G2:$G501,"Social Security Taxes",'Federal Data'!$H2:$H501,"Disability")</f>
        <v>23466611</v>
      </c>
      <c r="AD12" s="101" t="s">
        <v>487</v>
      </c>
      <c r="AE12" s="94">
        <f t="shared" si="9"/>
        <v>23466611</v>
      </c>
      <c r="AF12" s="94">
        <f>SUMIFS('Federal Data'!W2:W501,'Federal Data'!$G2:$G501,"Social Security Taxes",'Federal Data'!$H2:$H501,"Disability")</f>
        <v>27104626</v>
      </c>
      <c r="AG12" s="101" t="s">
        <v>487</v>
      </c>
      <c r="AH12" s="94">
        <f t="shared" si="10"/>
        <v>27104626</v>
      </c>
      <c r="AI12" s="94">
        <f>SUMIFS('Federal Data'!X2:X501,'Federal Data'!$G2:$G501,"Social Security Taxes",'Federal Data'!$H2:$H501,"Disability")</f>
        <v>28907081</v>
      </c>
      <c r="AJ12" s="101" t="s">
        <v>487</v>
      </c>
      <c r="AK12" s="94">
        <f t="shared" si="11"/>
        <v>28907081</v>
      </c>
      <c r="AL12" s="94">
        <f>SUMIFS('Federal Data'!Y2:Y501,'Federal Data'!$G2:$G501,"Social Security Taxes",'Federal Data'!$H2:$H501,"Disability")</f>
        <v>29847328</v>
      </c>
      <c r="AM12" s="101" t="s">
        <v>487</v>
      </c>
      <c r="AN12" s="94">
        <f t="shared" si="12"/>
        <v>29847328</v>
      </c>
      <c r="AO12" s="94">
        <f>SUMIFS('Federal Data'!Z2:Z501,'Federal Data'!$G2:$G501,"Social Security Taxes",'Federal Data'!$H2:$H501,"Disability")</f>
        <v>30785653</v>
      </c>
      <c r="AP12" s="101" t="s">
        <v>487</v>
      </c>
      <c r="AQ12" s="94">
        <f t="shared" si="13"/>
        <v>30785653</v>
      </c>
      <c r="AR12" s="94">
        <f>SUMIFS('Federal Data'!AA2:AA501,'Federal Data'!$G2:$G501,"Social Security Taxes",'Federal Data'!$H2:$H501,"Disability")</f>
        <v>33008139</v>
      </c>
      <c r="AS12" s="101" t="s">
        <v>487</v>
      </c>
      <c r="AT12" s="94">
        <f t="shared" si="14"/>
        <v>33008139</v>
      </c>
      <c r="AU12" s="94">
        <f>SUMIFS('Federal Data'!AB2:AB501,'Federal Data'!$G2:$G501,"Social Security Taxes",'Federal Data'!$H2:$H501,"Disability")</f>
        <v>67919000</v>
      </c>
      <c r="AV12" s="101" t="s">
        <v>487</v>
      </c>
      <c r="AW12" s="94">
        <f t="shared" si="15"/>
        <v>67919000</v>
      </c>
      <c r="AX12" s="94">
        <f>SUMIFS('Federal Data'!AC2:AC501,'Federal Data'!$G2:$G501,"Social Security Taxes",'Federal Data'!$H2:$H501,"Disability")</f>
        <v>56528000</v>
      </c>
      <c r="AY12" s="101" t="s">
        <v>487</v>
      </c>
      <c r="AZ12" s="94">
        <f t="shared" si="16"/>
        <v>56528000</v>
      </c>
      <c r="BA12" s="94">
        <f>SUMIFS('Federal Data'!AD2:AD501,'Federal Data'!$G2:$G501,"Social Security Taxes",'Federal Data'!$H2:$H501,"Disability")</f>
        <v>56129000</v>
      </c>
      <c r="BB12" s="101" t="s">
        <v>487</v>
      </c>
      <c r="BC12" s="94">
        <f t="shared" si="17"/>
        <v>56129000</v>
      </c>
      <c r="BD12" s="94">
        <f>SUMIFS('Federal Data'!AE2:AE501,'Federal Data'!$G2:$G501,"Social Security Taxes",'Federal Data'!$H2:$H501,"Disability")</f>
        <v>57942000</v>
      </c>
      <c r="BE12" s="101" t="s">
        <v>487</v>
      </c>
      <c r="BF12" s="94">
        <f t="shared" si="18"/>
        <v>57942000</v>
      </c>
      <c r="BG12" s="94">
        <f>SUMIFS('Federal Data'!AF2:AF501,'Federal Data'!$G2:$G501,"Social Security Taxes",'Federal Data'!$H2:$H501,"Disability")</f>
        <v>61884000</v>
      </c>
      <c r="BH12" s="101" t="s">
        <v>487</v>
      </c>
      <c r="BI12" s="94">
        <f t="shared" si="19"/>
        <v>61884000</v>
      </c>
      <c r="BJ12" s="94">
        <f>SUMIFS('Federal Data'!AG2:AG501,'Federal Data'!$G2:$G501,"Social Security Taxes",'Federal Data'!$H2:$H501,"Disability")</f>
        <v>70000000</v>
      </c>
      <c r="BK12" s="101" t="s">
        <v>487</v>
      </c>
      <c r="BL12" s="94">
        <f t="shared" si="20"/>
        <v>70000000</v>
      </c>
      <c r="BM12" s="94">
        <f>SUMIFS('Federal Data'!AH2:AH501,'Federal Data'!$G2:$G501,"Social Security Taxes",'Federal Data'!$H2:$H501,"Disability")</f>
        <v>74609000</v>
      </c>
      <c r="BN12" s="101" t="s">
        <v>487</v>
      </c>
      <c r="BO12" s="94">
        <f t="shared" si="21"/>
        <v>74609000</v>
      </c>
      <c r="BP12" s="94">
        <f>SUMIFS('Federal Data'!AI2:AI501,'Federal Data'!$G2:$G501,"Social Security Taxes",'Federal Data'!$H2:$H501,"Disability")</f>
        <v>76067000</v>
      </c>
      <c r="BQ12" s="101" t="s">
        <v>487</v>
      </c>
      <c r="BR12" s="94">
        <f t="shared" si="22"/>
        <v>76067000</v>
      </c>
      <c r="BS12" s="94">
        <f>SUMIFS('Federal Data'!AJ2:AJ501,'Federal Data'!$G2:$G501,"Social Security Taxes",'Federal Data'!$H2:$H501,"Disability")</f>
        <v>77431000</v>
      </c>
      <c r="BT12" s="101" t="s">
        <v>487</v>
      </c>
      <c r="BU12" s="94">
        <f t="shared" si="23"/>
        <v>77431000</v>
      </c>
      <c r="BV12" s="94">
        <f>SUMIFS('Federal Data'!AK2:AK501,'Federal Data'!$G2:$G501,"Social Security Taxes",'Federal Data'!$H2:$H501,"Disability")</f>
        <v>79165000</v>
      </c>
      <c r="BW12" s="101" t="s">
        <v>487</v>
      </c>
      <c r="BX12" s="94">
        <f t="shared" si="24"/>
        <v>79165000</v>
      </c>
      <c r="BY12" s="94">
        <f>SUMIFS('Federal Data'!AL2:AL501,'Federal Data'!$G2:$G501,"Social Security Taxes",'Federal Data'!$H2:$H501,"Disability")</f>
        <v>85419000</v>
      </c>
      <c r="BZ12" s="101" t="s">
        <v>487</v>
      </c>
      <c r="CA12" s="94">
        <f t="shared" si="25"/>
        <v>85419000</v>
      </c>
      <c r="CB12" s="94">
        <f>SUMIFS('Federal Data'!AM2:AM501,'Federal Data'!$G2:$G501,"Social Security Taxes",'Federal Data'!$H2:$H501,"Disability")</f>
        <v>90001000</v>
      </c>
      <c r="CC12" s="101" t="s">
        <v>487</v>
      </c>
      <c r="CD12" s="94">
        <f t="shared" si="26"/>
        <v>90001000</v>
      </c>
      <c r="CE12" s="94">
        <f>SUMIFS('Federal Data'!AN2:AN501,'Federal Data'!$G2:$G501,"Social Security Taxes",'Federal Data'!$H2:$H501,"Disability")</f>
        <v>93973000</v>
      </c>
      <c r="CF12" s="101" t="s">
        <v>487</v>
      </c>
      <c r="CG12" s="94">
        <f t="shared" si="27"/>
        <v>93973000</v>
      </c>
      <c r="CH12" s="94">
        <f>SUMIFS('Federal Data'!AO2:AO501,'Federal Data'!$G2:$G501,"Social Security Taxes",'Federal Data'!$H2:$H501,"Disability")</f>
        <v>97433000</v>
      </c>
      <c r="CI12" s="101" t="s">
        <v>487</v>
      </c>
      <c r="CJ12" s="94">
        <f t="shared" si="28"/>
        <v>97433000</v>
      </c>
      <c r="CK12" s="94">
        <f>SUMIFS('Federal Data'!AP2:AP501,'Federal Data'!$G2:$G501,"Social Security Taxes",'Federal Data'!$H2:$H501,"Disability")</f>
        <v>97007000</v>
      </c>
      <c r="CL12" s="101" t="s">
        <v>487</v>
      </c>
      <c r="CM12" s="94">
        <f t="shared" si="29"/>
        <v>97007000</v>
      </c>
      <c r="CN12" s="94">
        <f>SUMIFS('Federal Data'!AQ2:AQ501,'Federal Data'!$G2:$G501,"Social Security Taxes",'Federal Data'!$H2:$H501,"Disability")</f>
        <v>93862000</v>
      </c>
      <c r="CO12" s="101" t="s">
        <v>487</v>
      </c>
      <c r="CP12" s="94">
        <f t="shared" si="30"/>
        <v>93862000</v>
      </c>
      <c r="CQ12" s="94">
        <f>SUMIFS('Federal Data'!AR2:AR501,'Federal Data'!$G2:$G501,"Social Security Taxes",'Federal Data'!$H2:$H501,"Disability")</f>
        <v>84296000</v>
      </c>
      <c r="CR12" s="101" t="s">
        <v>487</v>
      </c>
      <c r="CS12" s="94">
        <f t="shared" si="31"/>
        <v>84296000</v>
      </c>
      <c r="CT12" s="94">
        <f>SUMIFS('Federal Data'!AS2:AS501,'Federal Data'!$G2:$G501,"Social Security Taxes",'Federal Data'!$H2:$H501,"Disability")</f>
        <v>84979000</v>
      </c>
      <c r="CU12" s="101" t="s">
        <v>487</v>
      </c>
      <c r="CV12" s="94">
        <f t="shared" si="32"/>
        <v>84979000</v>
      </c>
      <c r="CW12" s="94">
        <f>SUMIFS('Federal Data'!AT2:AT501,'Federal Data'!$G2:$G501,"Social Security Taxes",'Federal Data'!$H2:$H501,"Disability")</f>
        <v>100067000</v>
      </c>
      <c r="CX12" s="101" t="s">
        <v>487</v>
      </c>
      <c r="CY12" s="94">
        <f t="shared" si="33"/>
        <v>100067000</v>
      </c>
      <c r="CZ12" s="94">
        <f>SUMIFS('Federal Data'!AU2:AU501,'Federal Data'!$G2:$G501,"Social Security Taxes",'Federal Data'!$H2:$H501,"Disability")</f>
        <v>109058000</v>
      </c>
      <c r="DA12" s="101" t="s">
        <v>487</v>
      </c>
      <c r="DB12" s="94">
        <f t="shared" si="34"/>
        <v>109058000</v>
      </c>
      <c r="DC12" s="37">
        <f>SUMIFS('Federal Data'!AV2:AV501,'Federal Data'!$G2:$G501,"Social Security Taxes",'Federal Data'!$H2:$H501,"Disability")</f>
        <v>114153000</v>
      </c>
      <c r="DD12" s="85" t="s">
        <v>487</v>
      </c>
      <c r="DE12" s="37">
        <f t="shared" si="35"/>
        <v>114153000</v>
      </c>
    </row>
    <row r="13" spans="1:109" outlineLevel="2">
      <c r="A13" s="28" t="s">
        <v>71</v>
      </c>
      <c r="B13" s="94">
        <f>SUMIFS('Federal Data'!M2:M501,'Federal Data'!$G2:$G501,"Railroad REtirement Taxes")</f>
        <v>2322877</v>
      </c>
      <c r="C13" s="101" t="s">
        <v>487</v>
      </c>
      <c r="D13" s="94">
        <f t="shared" si="0"/>
        <v>2322877</v>
      </c>
      <c r="E13" s="94">
        <f>SUMIFS('Federal Data'!N2:N501,'Federal Data'!$G2:$G501,"Railroad REtirement Taxes")</f>
        <v>2457238</v>
      </c>
      <c r="F13" s="101" t="s">
        <v>487</v>
      </c>
      <c r="G13" s="94">
        <f t="shared" si="1"/>
        <v>2457238</v>
      </c>
      <c r="H13" s="94">
        <f>SUMIFS('Federal Data'!O2:O501,'Federal Data'!$G2:$G501,"Railroad REtirement Taxes")</f>
        <v>2917475</v>
      </c>
      <c r="I13" s="101" t="s">
        <v>487</v>
      </c>
      <c r="J13" s="94">
        <f t="shared" si="2"/>
        <v>2917475</v>
      </c>
      <c r="K13" s="94">
        <f>SUMIFS('Federal Data'!P2:P501,'Federal Data'!$G2:$G501,"Railroad REtirement Taxes")</f>
        <v>2804784</v>
      </c>
      <c r="L13" s="101" t="s">
        <v>487</v>
      </c>
      <c r="M13" s="94">
        <f t="shared" si="3"/>
        <v>2804784</v>
      </c>
      <c r="N13" s="94">
        <f>SUMIFS('Federal Data'!Q2:Q501,'Federal Data'!$G2:$G501,"Railroad REtirement Taxes")</f>
        <v>3321050</v>
      </c>
      <c r="O13" s="101" t="s">
        <v>487</v>
      </c>
      <c r="P13" s="94">
        <f t="shared" si="4"/>
        <v>3321050</v>
      </c>
      <c r="Q13" s="94">
        <f>SUMIFS('Federal Data'!R2:R501,'Federal Data'!$G2:$G501,"Railroad REtirement Taxes")</f>
        <v>3604883</v>
      </c>
      <c r="R13" s="101" t="s">
        <v>487</v>
      </c>
      <c r="S13" s="94">
        <f t="shared" si="5"/>
        <v>3604883</v>
      </c>
      <c r="T13" s="94">
        <f>SUMIFS('Federal Data'!S2:S501,'Federal Data'!$G2:$G501,"Railroad REtirement Taxes")</f>
        <v>3498038</v>
      </c>
      <c r="U13" s="101" t="s">
        <v>487</v>
      </c>
      <c r="V13" s="94">
        <f t="shared" si="6"/>
        <v>3498038</v>
      </c>
      <c r="W13" s="94">
        <f>SUMIFS('Federal Data'!T2:T501,'Federal Data'!$G2:$G501,"Railroad REtirement Taxes")</f>
        <v>3633923</v>
      </c>
      <c r="X13" s="101" t="s">
        <v>487</v>
      </c>
      <c r="Y13" s="94">
        <f t="shared" si="7"/>
        <v>3633923</v>
      </c>
      <c r="Z13" s="94">
        <f>SUMIFS('Federal Data'!U2:U501,'Federal Data'!$G2:$G501,"Railroad REtirement Taxes")</f>
        <v>3742809</v>
      </c>
      <c r="AA13" s="101" t="s">
        <v>487</v>
      </c>
      <c r="AB13" s="94">
        <f t="shared" si="8"/>
        <v>3742809</v>
      </c>
      <c r="AC13" s="94">
        <f>SUMIFS('Federal Data'!V2:V501,'Federal Data'!$G2:$G501,"Railroad REtirement Taxes")</f>
        <v>3797284</v>
      </c>
      <c r="AD13" s="101" t="s">
        <v>487</v>
      </c>
      <c r="AE13" s="94">
        <f t="shared" si="9"/>
        <v>3797284</v>
      </c>
      <c r="AF13" s="94">
        <f>SUMIFS('Federal Data'!W2:W501,'Federal Data'!$G2:$G501,"Railroad REtirement Taxes")</f>
        <v>3679227</v>
      </c>
      <c r="AG13" s="101" t="s">
        <v>487</v>
      </c>
      <c r="AH13" s="94">
        <f t="shared" si="10"/>
        <v>3679227</v>
      </c>
      <c r="AI13" s="94">
        <f>SUMIFS('Federal Data'!X2:X501,'Federal Data'!$G2:$G501,"Railroad REtirement Taxes")</f>
        <v>3798927</v>
      </c>
      <c r="AJ13" s="101" t="s">
        <v>487</v>
      </c>
      <c r="AK13" s="94">
        <f t="shared" si="11"/>
        <v>3798927</v>
      </c>
      <c r="AL13" s="94">
        <f>SUMIFS('Federal Data'!Y2:Y501,'Federal Data'!$G2:$G501,"Railroad REtirement Taxes")</f>
        <v>3956741</v>
      </c>
      <c r="AM13" s="101" t="s">
        <v>487</v>
      </c>
      <c r="AN13" s="94">
        <f t="shared" si="12"/>
        <v>3956741</v>
      </c>
      <c r="AO13" s="94">
        <f>SUMIFS('Federal Data'!Z2:Z501,'Federal Data'!$G2:$G501,"Railroad REtirement Taxes")</f>
        <v>3781142</v>
      </c>
      <c r="AP13" s="101" t="s">
        <v>487</v>
      </c>
      <c r="AQ13" s="94">
        <f t="shared" si="13"/>
        <v>3781142</v>
      </c>
      <c r="AR13" s="94">
        <f>SUMIFS('Federal Data'!AA2:AA501,'Federal Data'!$G2:$G501,"Railroad REtirement Taxes")</f>
        <v>3722269</v>
      </c>
      <c r="AS13" s="101" t="s">
        <v>487</v>
      </c>
      <c r="AT13" s="94">
        <f t="shared" si="14"/>
        <v>3722269</v>
      </c>
      <c r="AU13" s="94">
        <f>SUMIFS('Federal Data'!AB2:AB501,'Federal Data'!$G2:$G501,"Railroad REtirement Taxes")</f>
        <v>3942000</v>
      </c>
      <c r="AV13" s="101" t="s">
        <v>487</v>
      </c>
      <c r="AW13" s="94">
        <f t="shared" si="15"/>
        <v>3942000</v>
      </c>
      <c r="AX13" s="94">
        <f>SUMIFS('Federal Data'!AC2:AC501,'Federal Data'!$G2:$G501,"Railroad REtirement Taxes")</f>
        <v>3872000</v>
      </c>
      <c r="AY13" s="101" t="s">
        <v>487</v>
      </c>
      <c r="AZ13" s="94">
        <f t="shared" si="16"/>
        <v>3872000</v>
      </c>
      <c r="BA13" s="94">
        <f>SUMIFS('Federal Data'!AD2:AD501,'Federal Data'!$G2:$G501,"Railroad REtirement Taxes")</f>
        <v>4051000</v>
      </c>
      <c r="BB13" s="101" t="s">
        <v>487</v>
      </c>
      <c r="BC13" s="94">
        <f t="shared" si="17"/>
        <v>4051000</v>
      </c>
      <c r="BD13" s="94">
        <f>SUMIFS('Federal Data'!AE2:AE501,'Federal Data'!$G2:$G501,"Railroad REtirement Taxes")</f>
        <v>4352000</v>
      </c>
      <c r="BE13" s="101" t="s">
        <v>487</v>
      </c>
      <c r="BF13" s="94">
        <f t="shared" si="18"/>
        <v>4352000</v>
      </c>
      <c r="BG13" s="94">
        <f>SUMIFS('Federal Data'!AF2:AF501,'Federal Data'!$G2:$G501,"Railroad REtirement Taxes")</f>
        <v>4144000</v>
      </c>
      <c r="BH13" s="101" t="s">
        <v>487</v>
      </c>
      <c r="BI13" s="94">
        <f t="shared" si="19"/>
        <v>4144000</v>
      </c>
      <c r="BJ13" s="94">
        <f>SUMIFS('Federal Data'!AG2:AG501,'Federal Data'!$G2:$G501,"Railroad REtirement Taxes")</f>
        <v>4338000</v>
      </c>
      <c r="BK13" s="101" t="s">
        <v>487</v>
      </c>
      <c r="BL13" s="94">
        <f t="shared" si="20"/>
        <v>4338000</v>
      </c>
      <c r="BM13" s="94">
        <f>SUMIFS('Federal Data'!AH2:AH501,'Federal Data'!$G2:$G501,"Railroad REtirement Taxes")</f>
        <v>4272000</v>
      </c>
      <c r="BN13" s="101" t="s">
        <v>487</v>
      </c>
      <c r="BO13" s="94">
        <f t="shared" si="21"/>
        <v>4272000</v>
      </c>
      <c r="BP13" s="94">
        <f>SUMIFS('Federal Data'!AI2:AI501,'Federal Data'!$G2:$G501,"Railroad REtirement Taxes")</f>
        <v>4177000</v>
      </c>
      <c r="BQ13" s="101" t="s">
        <v>487</v>
      </c>
      <c r="BR13" s="94">
        <f t="shared" si="22"/>
        <v>4177000</v>
      </c>
      <c r="BS13" s="94">
        <f>SUMIFS('Federal Data'!AJ2:AJ501,'Federal Data'!$G2:$G501,"Railroad REtirement Taxes")</f>
        <v>3953000</v>
      </c>
      <c r="BT13" s="101" t="s">
        <v>487</v>
      </c>
      <c r="BU13" s="94">
        <f t="shared" si="23"/>
        <v>3953000</v>
      </c>
      <c r="BV13" s="94">
        <f>SUMIFS('Federal Data'!AK2:AK501,'Federal Data'!$G2:$G501,"Railroad REtirement Taxes")</f>
        <v>4026000</v>
      </c>
      <c r="BW13" s="101" t="s">
        <v>487</v>
      </c>
      <c r="BX13" s="94">
        <f t="shared" si="24"/>
        <v>4026000</v>
      </c>
      <c r="BY13" s="94">
        <f>SUMIFS('Federal Data'!AL2:AL501,'Federal Data'!$G2:$G501,"Railroad REtirement Taxes")</f>
        <v>4120000</v>
      </c>
      <c r="BZ13" s="101" t="s">
        <v>487</v>
      </c>
      <c r="CA13" s="94">
        <f t="shared" si="25"/>
        <v>4120000</v>
      </c>
      <c r="CB13" s="94">
        <f>SUMIFS('Federal Data'!AM2:AM501,'Federal Data'!$G2:$G501,"Railroad REtirement Taxes")</f>
        <v>4232000</v>
      </c>
      <c r="CC13" s="101" t="s">
        <v>487</v>
      </c>
      <c r="CD13" s="94">
        <f t="shared" si="26"/>
        <v>4232000</v>
      </c>
      <c r="CE13" s="94">
        <f>SUMIFS('Federal Data'!AN2:AN501,'Federal Data'!$G2:$G501,"Railroad REtirement Taxes")</f>
        <v>4261000</v>
      </c>
      <c r="CF13" s="101" t="s">
        <v>487</v>
      </c>
      <c r="CG13" s="94">
        <f t="shared" si="27"/>
        <v>4261000</v>
      </c>
      <c r="CH13" s="94">
        <f>SUMIFS('Federal Data'!AO2:AO501,'Federal Data'!$G2:$G501,"Railroad REtirement Taxes")</f>
        <v>4433000</v>
      </c>
      <c r="CI13" s="101" t="s">
        <v>487</v>
      </c>
      <c r="CJ13" s="94">
        <f t="shared" si="28"/>
        <v>4433000</v>
      </c>
      <c r="CK13" s="94">
        <f>SUMIFS('Federal Data'!AP2:AP501,'Federal Data'!$G2:$G501,"Railroad REtirement Taxes")</f>
        <v>4213000</v>
      </c>
      <c r="CL13" s="101" t="s">
        <v>487</v>
      </c>
      <c r="CM13" s="94">
        <f t="shared" si="29"/>
        <v>4213000</v>
      </c>
      <c r="CN13" s="94">
        <f>SUMIFS('Federal Data'!AQ2:AQ501,'Federal Data'!$G2:$G501,"Railroad REtirement Taxes")</f>
        <v>4139000</v>
      </c>
      <c r="CO13" s="101" t="s">
        <v>487</v>
      </c>
      <c r="CP13" s="94">
        <f t="shared" si="30"/>
        <v>4139000</v>
      </c>
      <c r="CQ13" s="94">
        <f>SUMIFS('Federal Data'!AR2:AR501,'Federal Data'!$G2:$G501,"Railroad REtirement Taxes")</f>
        <v>4238000</v>
      </c>
      <c r="CR13" s="101" t="s">
        <v>487</v>
      </c>
      <c r="CS13" s="94">
        <f t="shared" si="31"/>
        <v>4238000</v>
      </c>
      <c r="CT13" s="94">
        <f>SUMIFS('Federal Data'!AS2:AS501,'Federal Data'!$G2:$G501,"Railroad REtirement Taxes")</f>
        <v>4283000</v>
      </c>
      <c r="CU13" s="101" t="s">
        <v>487</v>
      </c>
      <c r="CV13" s="94">
        <f t="shared" si="32"/>
        <v>4283000</v>
      </c>
      <c r="CW13" s="94">
        <f>SUMIFS('Federal Data'!AT2:AT501,'Federal Data'!$G2:$G501,"Railroad REtirement Taxes")</f>
        <v>4901000</v>
      </c>
      <c r="CX13" s="101" t="s">
        <v>487</v>
      </c>
      <c r="CY13" s="94">
        <f t="shared" si="33"/>
        <v>4901000</v>
      </c>
      <c r="CZ13" s="94">
        <f>SUMIFS('Federal Data'!AU2:AU501,'Federal Data'!$G2:$G501,"Railroad REtirement Taxes")</f>
        <v>5357000</v>
      </c>
      <c r="DA13" s="101" t="s">
        <v>487</v>
      </c>
      <c r="DB13" s="94">
        <f t="shared" si="34"/>
        <v>5357000</v>
      </c>
      <c r="DC13" s="37">
        <f>SUMIFS('Federal Data'!AV2:AV501,'Federal Data'!$G2:$G501,"Railroad REtirement Taxes")</f>
        <v>5866000</v>
      </c>
      <c r="DD13" s="85" t="s">
        <v>487</v>
      </c>
      <c r="DE13" s="37">
        <f t="shared" si="35"/>
        <v>5866000</v>
      </c>
    </row>
    <row r="14" spans="1:109" outlineLevel="2">
      <c r="A14" s="28" t="s">
        <v>19</v>
      </c>
      <c r="B14" s="94">
        <f>SUMIFS('Federal Data'!M2:M501,'Federal Data'!$G2:$G501,"Medicare Taxes")</f>
        <v>23465569</v>
      </c>
      <c r="C14" s="101" t="s">
        <v>487</v>
      </c>
      <c r="D14" s="94">
        <f t="shared" si="0"/>
        <v>23465569</v>
      </c>
      <c r="E14" s="94">
        <f>SUMIFS('Federal Data'!N2:N501,'Federal Data'!$G2:$G501,"Medicare Taxes")</f>
        <v>30671920</v>
      </c>
      <c r="F14" s="101" t="s">
        <v>487</v>
      </c>
      <c r="G14" s="94">
        <f t="shared" si="1"/>
        <v>30671920</v>
      </c>
      <c r="H14" s="94">
        <f>SUMIFS('Federal Data'!O2:O501,'Federal Data'!$G2:$G501,"Medicare Taxes")</f>
        <v>34698279</v>
      </c>
      <c r="I14" s="101" t="s">
        <v>487</v>
      </c>
      <c r="J14" s="94">
        <f t="shared" si="2"/>
        <v>34698279</v>
      </c>
      <c r="K14" s="94">
        <f>SUMIFS('Federal Data'!P2:P501,'Federal Data'!$G2:$G501,"Medicare Taxes")</f>
        <v>36695215</v>
      </c>
      <c r="L14" s="101" t="s">
        <v>487</v>
      </c>
      <c r="M14" s="94">
        <f t="shared" si="3"/>
        <v>36695215</v>
      </c>
      <c r="N14" s="94">
        <f>SUMIFS('Federal Data'!Q2:Q501,'Federal Data'!$G2:$G501,"Medicare Taxes")</f>
        <v>41567575</v>
      </c>
      <c r="O14" s="101" t="s">
        <v>487</v>
      </c>
      <c r="P14" s="94">
        <f t="shared" si="4"/>
        <v>41567575</v>
      </c>
      <c r="Q14" s="94">
        <f>SUMIFS('Federal Data'!R2:R501,'Federal Data'!$G2:$G501,"Medicare Taxes")</f>
        <v>46319507</v>
      </c>
      <c r="R14" s="101" t="s">
        <v>487</v>
      </c>
      <c r="S14" s="94">
        <f t="shared" si="5"/>
        <v>46319507</v>
      </c>
      <c r="T14" s="94">
        <f>SUMIFS('Federal Data'!S2:S501,'Federal Data'!$G2:$G501,"Medicare Taxes")</f>
        <v>52939476</v>
      </c>
      <c r="U14" s="101" t="s">
        <v>487</v>
      </c>
      <c r="V14" s="94">
        <f t="shared" si="6"/>
        <v>52939476</v>
      </c>
      <c r="W14" s="94">
        <f>SUMIFS('Federal Data'!T2:T501,'Federal Data'!$G2:$G501,"Medicare Taxes")</f>
        <v>57692391</v>
      </c>
      <c r="X14" s="101" t="s">
        <v>487</v>
      </c>
      <c r="Y14" s="94">
        <f t="shared" si="7"/>
        <v>57692391</v>
      </c>
      <c r="Z14" s="94">
        <f>SUMIFS('Federal Data'!U2:U501,'Federal Data'!$G2:$G501,"Medicare Taxes")</f>
        <v>61663468</v>
      </c>
      <c r="AA14" s="101" t="s">
        <v>487</v>
      </c>
      <c r="AB14" s="94">
        <f t="shared" si="8"/>
        <v>61663468</v>
      </c>
      <c r="AC14" s="94">
        <f>SUMIFS('Federal Data'!V2:V501,'Federal Data'!$G2:$G501,"Medicare Taxes")</f>
        <v>67316730</v>
      </c>
      <c r="AD14" s="101" t="s">
        <v>487</v>
      </c>
      <c r="AE14" s="94">
        <f t="shared" si="9"/>
        <v>67316730</v>
      </c>
      <c r="AF14" s="94">
        <f>SUMIFS('Federal Data'!W2:W501,'Federal Data'!$G2:$G501,"Medicare Taxes")</f>
        <v>70601937</v>
      </c>
      <c r="AG14" s="101" t="s">
        <v>487</v>
      </c>
      <c r="AH14" s="94">
        <f t="shared" si="10"/>
        <v>70601937</v>
      </c>
      <c r="AI14" s="94">
        <f>SUMIFS('Federal Data'!X2:X501,'Federal Data'!$G2:$G501,"Medicare Taxes")</f>
        <v>74958383</v>
      </c>
      <c r="AJ14" s="101" t="s">
        <v>487</v>
      </c>
      <c r="AK14" s="94">
        <f t="shared" si="11"/>
        <v>74958383</v>
      </c>
      <c r="AL14" s="94">
        <f>SUMIFS('Federal Data'!Y2:Y501,'Federal Data'!$G2:$G501,"Medicare Taxes")</f>
        <v>81345902</v>
      </c>
      <c r="AM14" s="101" t="s">
        <v>487</v>
      </c>
      <c r="AN14" s="94">
        <f t="shared" si="12"/>
        <v>81345902</v>
      </c>
      <c r="AO14" s="94">
        <f>SUMIFS('Federal Data'!Z2:Z501,'Federal Data'!$G2:$G501,"Medicare Taxes")</f>
        <v>83517522</v>
      </c>
      <c r="AP14" s="101" t="s">
        <v>487</v>
      </c>
      <c r="AQ14" s="94">
        <f t="shared" si="13"/>
        <v>83517522</v>
      </c>
      <c r="AR14" s="94">
        <f>SUMIFS('Federal Data'!AA2:AA501,'Federal Data'!$G2:$G501,"Medicare Taxes")</f>
        <v>92421573</v>
      </c>
      <c r="AS14" s="101" t="s">
        <v>487</v>
      </c>
      <c r="AT14" s="94">
        <f t="shared" si="14"/>
        <v>92421573</v>
      </c>
      <c r="AU14" s="94">
        <f>SUMIFS('Federal Data'!AB2:AB501,'Federal Data'!$G2:$G501,"Medicare Taxes")</f>
        <v>98412000</v>
      </c>
      <c r="AV14" s="101" t="s">
        <v>487</v>
      </c>
      <c r="AW14" s="94">
        <f t="shared" si="15"/>
        <v>98412000</v>
      </c>
      <c r="AX14" s="94">
        <f>SUMIFS('Federal Data'!AC2:AC501,'Federal Data'!$G2:$G501,"Medicare Taxes")</f>
        <v>107306000</v>
      </c>
      <c r="AY14" s="101" t="s">
        <v>487</v>
      </c>
      <c r="AZ14" s="94">
        <f t="shared" si="16"/>
        <v>107306000</v>
      </c>
      <c r="BA14" s="94">
        <f>SUMIFS('Federal Data'!AD2:AD501,'Federal Data'!$G2:$G501,"Medicare Taxes")</f>
        <v>113105000</v>
      </c>
      <c r="BB14" s="101" t="s">
        <v>487</v>
      </c>
      <c r="BC14" s="94">
        <f t="shared" si="17"/>
        <v>113105000</v>
      </c>
      <c r="BD14" s="94">
        <f>SUMIFS('Federal Data'!AE2:AE501,'Federal Data'!$G2:$G501,"Medicare Taxes")</f>
        <v>122295000</v>
      </c>
      <c r="BE14" s="101" t="s">
        <v>487</v>
      </c>
      <c r="BF14" s="94">
        <f t="shared" si="18"/>
        <v>122295000</v>
      </c>
      <c r="BG14" s="94">
        <f>SUMIFS('Federal Data'!AF2:AF501,'Federal Data'!$G2:$G501,"Medicare Taxes")</f>
        <v>134773000</v>
      </c>
      <c r="BH14" s="101" t="s">
        <v>487</v>
      </c>
      <c r="BI14" s="94">
        <f t="shared" si="19"/>
        <v>134773000</v>
      </c>
      <c r="BJ14" s="94">
        <f>SUMIFS('Federal Data'!AG2:AG501,'Federal Data'!$G2:$G501,"Medicare Taxes")</f>
        <v>138157000</v>
      </c>
      <c r="BK14" s="101" t="s">
        <v>487</v>
      </c>
      <c r="BL14" s="94">
        <f t="shared" si="20"/>
        <v>138157000</v>
      </c>
      <c r="BM14" s="94">
        <f>SUMIFS('Federal Data'!AH2:AH501,'Federal Data'!$G2:$G501,"Medicare Taxes")</f>
        <v>152353000</v>
      </c>
      <c r="BN14" s="101" t="s">
        <v>487</v>
      </c>
      <c r="BO14" s="94">
        <f t="shared" si="21"/>
        <v>152353000</v>
      </c>
      <c r="BP14" s="94">
        <f>SUMIFS('Federal Data'!AI2:AI501,'Federal Data'!$G2:$G501,"Medicare Taxes")</f>
        <v>151962000</v>
      </c>
      <c r="BQ14" s="101" t="s">
        <v>487</v>
      </c>
      <c r="BR14" s="94">
        <f t="shared" si="22"/>
        <v>151962000</v>
      </c>
      <c r="BS14" s="94">
        <f>SUMIFS('Federal Data'!AJ2:AJ501,'Federal Data'!$G2:$G501,"Medicare Taxes")</f>
        <v>150235000</v>
      </c>
      <c r="BT14" s="101" t="s">
        <v>487</v>
      </c>
      <c r="BU14" s="94">
        <f t="shared" si="23"/>
        <v>150235000</v>
      </c>
      <c r="BV14" s="94">
        <f>SUMIFS('Federal Data'!AK2:AK501,'Federal Data'!$G2:$G501,"Medicare Taxes")</f>
        <v>153839000</v>
      </c>
      <c r="BW14" s="101" t="s">
        <v>487</v>
      </c>
      <c r="BX14" s="94">
        <f t="shared" si="24"/>
        <v>153839000</v>
      </c>
      <c r="BY14" s="94">
        <f>SUMIFS('Federal Data'!AL2:AL501,'Federal Data'!$G2:$G501,"Medicare Taxes")</f>
        <v>169370000</v>
      </c>
      <c r="BZ14" s="101" t="s">
        <v>487</v>
      </c>
      <c r="CA14" s="94">
        <f t="shared" si="25"/>
        <v>169370000</v>
      </c>
      <c r="CB14" s="94">
        <f>SUMIFS('Federal Data'!AM2:AM501,'Federal Data'!$G2:$G501,"Medicare Taxes")</f>
        <v>180833000</v>
      </c>
      <c r="CC14" s="101" t="s">
        <v>487</v>
      </c>
      <c r="CD14" s="94">
        <f t="shared" si="26"/>
        <v>180833000</v>
      </c>
      <c r="CE14" s="94">
        <f>SUMIFS('Federal Data'!AN2:AN501,'Federal Data'!$G2:$G501,"Medicare Taxes")</f>
        <v>188446000</v>
      </c>
      <c r="CF14" s="101" t="s">
        <v>487</v>
      </c>
      <c r="CG14" s="94">
        <f t="shared" si="27"/>
        <v>188446000</v>
      </c>
      <c r="CH14" s="94">
        <f>SUMIFS('Federal Data'!AO2:AO501,'Federal Data'!$G2:$G501,"Medicare Taxes")</f>
        <v>197690000</v>
      </c>
      <c r="CI14" s="101" t="s">
        <v>487</v>
      </c>
      <c r="CJ14" s="94">
        <f t="shared" si="28"/>
        <v>197690000</v>
      </c>
      <c r="CK14" s="94">
        <f>SUMIFS('Federal Data'!AP2:AP501,'Federal Data'!$G2:$G501,"Medicare Taxes")</f>
        <v>194598000</v>
      </c>
      <c r="CL14" s="101" t="s">
        <v>487</v>
      </c>
      <c r="CM14" s="94">
        <f t="shared" si="29"/>
        <v>194598000</v>
      </c>
      <c r="CN14" s="94">
        <f>SUMIFS('Federal Data'!AQ2:AQ501,'Federal Data'!$G2:$G501,"Medicare Taxes")</f>
        <v>184110000</v>
      </c>
      <c r="CO14" s="101" t="s">
        <v>487</v>
      </c>
      <c r="CP14" s="94">
        <f t="shared" si="30"/>
        <v>184110000</v>
      </c>
      <c r="CQ14" s="94">
        <f>SUMIFS('Federal Data'!AR2:AR501,'Federal Data'!$G2:$G501,"Medicare Taxes")</f>
        <v>192515000</v>
      </c>
      <c r="CR14" s="101" t="s">
        <v>487</v>
      </c>
      <c r="CS14" s="94">
        <f t="shared" si="31"/>
        <v>192515000</v>
      </c>
      <c r="CT14" s="94">
        <f>SUMIFS('Federal Data'!AS2:AS501,'Federal Data'!$G2:$G501,"Medicare Taxes")</f>
        <v>205236000</v>
      </c>
      <c r="CU14" s="101" t="s">
        <v>487</v>
      </c>
      <c r="CV14" s="94">
        <f t="shared" si="32"/>
        <v>205236000</v>
      </c>
      <c r="CW14" s="94">
        <f>SUMIFS('Federal Data'!AT2:AT501,'Federal Data'!$G2:$G501,"Medicare Taxes")</f>
        <v>213448000</v>
      </c>
      <c r="CX14" s="101" t="s">
        <v>487</v>
      </c>
      <c r="CY14" s="94">
        <f t="shared" si="33"/>
        <v>213448000</v>
      </c>
      <c r="CZ14" s="94">
        <f>SUMIFS('Federal Data'!AU2:AU501,'Federal Data'!$G2:$G501,"Medicare Taxes")</f>
        <v>228159000</v>
      </c>
      <c r="DA14" s="101" t="s">
        <v>487</v>
      </c>
      <c r="DB14" s="94">
        <f t="shared" si="34"/>
        <v>228159000</v>
      </c>
      <c r="DC14" s="37">
        <f>SUMIFS('Federal Data'!AV2:AV501,'Federal Data'!$G2:$G501,"Medicare Taxes")</f>
        <v>238262000</v>
      </c>
      <c r="DD14" s="85" t="s">
        <v>487</v>
      </c>
      <c r="DE14" s="37">
        <f t="shared" si="35"/>
        <v>238262000</v>
      </c>
    </row>
    <row r="15" spans="1:109" outlineLevel="2">
      <c r="A15" s="28" t="s">
        <v>20</v>
      </c>
      <c r="B15" s="94">
        <f>SUMIFS('Federal Data'!M2:M501,'Federal Data'!$G2:$G501,"Unemployment Taxes")</f>
        <v>15335788</v>
      </c>
      <c r="C15" s="101" t="s">
        <v>487</v>
      </c>
      <c r="D15" s="94">
        <f t="shared" si="0"/>
        <v>15335788</v>
      </c>
      <c r="E15" s="94">
        <f>SUMIFS('Federal Data'!N2:N501,'Federal Data'!$G2:$G501,"Unemployment Taxes")</f>
        <v>15762948</v>
      </c>
      <c r="F15" s="101" t="s">
        <v>487</v>
      </c>
      <c r="G15" s="94">
        <f t="shared" si="1"/>
        <v>15762948</v>
      </c>
      <c r="H15" s="94">
        <f>SUMIFS('Federal Data'!O2:O501,'Federal Data'!$G2:$G501,"Unemployment Taxes")</f>
        <v>16636388</v>
      </c>
      <c r="I15" s="101" t="s">
        <v>487</v>
      </c>
      <c r="J15" s="94">
        <f t="shared" si="2"/>
        <v>16636388</v>
      </c>
      <c r="K15" s="94">
        <f>SUMIFS('Federal Data'!P2:P501,'Federal Data'!$G2:$G501,"Unemployment Taxes")</f>
        <v>19046634</v>
      </c>
      <c r="L15" s="101" t="s">
        <v>487</v>
      </c>
      <c r="M15" s="94">
        <f t="shared" si="3"/>
        <v>19046634</v>
      </c>
      <c r="N15" s="94">
        <f>SUMIFS('Federal Data'!Q2:Q501,'Federal Data'!$G2:$G501,"Unemployment Taxes")</f>
        <v>25307220</v>
      </c>
      <c r="O15" s="101" t="s">
        <v>487</v>
      </c>
      <c r="P15" s="94">
        <f t="shared" si="4"/>
        <v>25307220</v>
      </c>
      <c r="Q15" s="94">
        <f>SUMIFS('Federal Data'!R2:R501,'Federal Data'!$G2:$G501,"Unemployment Taxes")</f>
        <v>26099814</v>
      </c>
      <c r="R15" s="101" t="s">
        <v>487</v>
      </c>
      <c r="S15" s="94">
        <f t="shared" si="5"/>
        <v>26099814</v>
      </c>
      <c r="T15" s="94">
        <f>SUMIFS('Federal Data'!S2:S501,'Federal Data'!$G2:$G501,"Unemployment Taxes")</f>
        <v>24389574</v>
      </c>
      <c r="U15" s="101" t="s">
        <v>487</v>
      </c>
      <c r="V15" s="94">
        <f t="shared" si="6"/>
        <v>24389574</v>
      </c>
      <c r="W15" s="94">
        <f>SUMIFS('Federal Data'!T2:T501,'Federal Data'!$G2:$G501,"Unemployment Taxes")</f>
        <v>25860241</v>
      </c>
      <c r="X15" s="101" t="s">
        <v>487</v>
      </c>
      <c r="Y15" s="94">
        <f t="shared" si="7"/>
        <v>25860241</v>
      </c>
      <c r="Z15" s="94">
        <f>SUMIFS('Federal Data'!U2:U501,'Federal Data'!$G2:$G501,"Unemployment Taxes")</f>
        <v>24799893</v>
      </c>
      <c r="AA15" s="101" t="s">
        <v>487</v>
      </c>
      <c r="AB15" s="94">
        <f t="shared" si="8"/>
        <v>24799893</v>
      </c>
      <c r="AC15" s="94">
        <f>SUMIFS('Federal Data'!V2:V501,'Federal Data'!$G2:$G501,"Unemployment Taxes")</f>
        <v>22254272</v>
      </c>
      <c r="AD15" s="101" t="s">
        <v>487</v>
      </c>
      <c r="AE15" s="94">
        <f t="shared" si="9"/>
        <v>22254272</v>
      </c>
      <c r="AF15" s="94">
        <f>SUMIFS('Federal Data'!W2:W501,'Federal Data'!$G2:$G501,"Unemployment Taxes")</f>
        <v>21952439</v>
      </c>
      <c r="AG15" s="101" t="s">
        <v>487</v>
      </c>
      <c r="AH15" s="94">
        <f t="shared" si="10"/>
        <v>21952439</v>
      </c>
      <c r="AI15" s="94">
        <f>SUMIFS('Federal Data'!X2:X501,'Federal Data'!$G2:$G501,"Unemployment Taxes")</f>
        <v>21261062</v>
      </c>
      <c r="AJ15" s="101" t="s">
        <v>487</v>
      </c>
      <c r="AK15" s="94">
        <f t="shared" si="11"/>
        <v>21261062</v>
      </c>
      <c r="AL15" s="94">
        <f>SUMIFS('Federal Data'!Y2:Y501,'Federal Data'!$G2:$G501,"Unemployment Taxes")</f>
        <v>24154471</v>
      </c>
      <c r="AM15" s="101" t="s">
        <v>487</v>
      </c>
      <c r="AN15" s="94">
        <f t="shared" si="12"/>
        <v>24154471</v>
      </c>
      <c r="AO15" s="94">
        <f>SUMIFS('Federal Data'!Z2:Z501,'Federal Data'!$G2:$G501,"Unemployment Taxes")</f>
        <v>27520766</v>
      </c>
      <c r="AP15" s="101" t="s">
        <v>487</v>
      </c>
      <c r="AQ15" s="94">
        <f t="shared" si="13"/>
        <v>27520766</v>
      </c>
      <c r="AR15" s="94">
        <f>SUMIFS('Federal Data'!AA2:AA501,'Federal Data'!$G2:$G501,"Unemployment Taxes")</f>
        <v>28770505</v>
      </c>
      <c r="AS15" s="101" t="s">
        <v>487</v>
      </c>
      <c r="AT15" s="94">
        <f t="shared" si="14"/>
        <v>28770505</v>
      </c>
      <c r="AU15" s="94">
        <f>SUMIFS('Federal Data'!AB2:AB501,'Federal Data'!$G2:$G501,"Unemployment Taxes")</f>
        <v>29538000</v>
      </c>
      <c r="AV15" s="101" t="s">
        <v>487</v>
      </c>
      <c r="AW15" s="94">
        <f t="shared" si="15"/>
        <v>29538000</v>
      </c>
      <c r="AX15" s="94">
        <f>SUMIFS('Federal Data'!AC2:AC501,'Federal Data'!$G2:$G501,"Unemployment Taxes")</f>
        <v>29183000</v>
      </c>
      <c r="AY15" s="101" t="s">
        <v>487</v>
      </c>
      <c r="AZ15" s="94">
        <f t="shared" si="16"/>
        <v>29183000</v>
      </c>
      <c r="BA15" s="94">
        <f>SUMIFS('Federal Data'!AD2:AD501,'Federal Data'!$G2:$G501,"Unemployment Taxes")</f>
        <v>28804000</v>
      </c>
      <c r="BB15" s="101" t="s">
        <v>487</v>
      </c>
      <c r="BC15" s="94">
        <f t="shared" si="17"/>
        <v>28804000</v>
      </c>
      <c r="BD15" s="94">
        <f>SUMIFS('Federal Data'!AE2:AE501,'Federal Data'!$G2:$G501,"Unemployment Taxes")</f>
        <v>27992000</v>
      </c>
      <c r="BE15" s="101" t="s">
        <v>487</v>
      </c>
      <c r="BF15" s="94">
        <f t="shared" si="18"/>
        <v>27992000</v>
      </c>
      <c r="BG15" s="94">
        <f>SUMIFS('Federal Data'!AF2:AF501,'Federal Data'!$G2:$G501,"Unemployment Taxes")</f>
        <v>26883000</v>
      </c>
      <c r="BH15" s="101" t="s">
        <v>487</v>
      </c>
      <c r="BI15" s="94">
        <f t="shared" si="19"/>
        <v>26883000</v>
      </c>
      <c r="BJ15" s="94">
        <f>SUMIFS('Federal Data'!AG2:AG501,'Federal Data'!$G2:$G501,"Unemployment Taxes")</f>
        <v>28037000</v>
      </c>
      <c r="BK15" s="101" t="s">
        <v>487</v>
      </c>
      <c r="BL15" s="94">
        <f t="shared" si="20"/>
        <v>28037000</v>
      </c>
      <c r="BM15" s="94">
        <f>SUMIFS('Federal Data'!AH2:AH501,'Federal Data'!$G2:$G501,"Unemployment Taxes")</f>
        <v>28244000</v>
      </c>
      <c r="BN15" s="101" t="s">
        <v>487</v>
      </c>
      <c r="BO15" s="94">
        <f t="shared" si="21"/>
        <v>28244000</v>
      </c>
      <c r="BP15" s="94">
        <f>SUMIFS('Federal Data'!AI2:AI501,'Federal Data'!$G2:$G501,"Unemployment Taxes")</f>
        <v>28067000</v>
      </c>
      <c r="BQ15" s="101" t="s">
        <v>487</v>
      </c>
      <c r="BR15" s="94">
        <f t="shared" si="22"/>
        <v>28067000</v>
      </c>
      <c r="BS15" s="94">
        <f>SUMIFS('Federal Data'!AJ2:AJ501,'Federal Data'!$G2:$G501,"Unemployment Taxes")</f>
        <v>33992000</v>
      </c>
      <c r="BT15" s="101" t="s">
        <v>487</v>
      </c>
      <c r="BU15" s="94">
        <f t="shared" si="23"/>
        <v>33992000</v>
      </c>
      <c r="BV15" s="94">
        <f>SUMIFS('Federal Data'!AK2:AK501,'Federal Data'!$G2:$G501,"Unemployment Taxes")</f>
        <v>40197000</v>
      </c>
      <c r="BW15" s="101" t="s">
        <v>487</v>
      </c>
      <c r="BX15" s="94">
        <f t="shared" si="24"/>
        <v>40197000</v>
      </c>
      <c r="BY15" s="94">
        <f>SUMIFS('Federal Data'!AL2:AL501,'Federal Data'!$G2:$G501,"Unemployment Taxes")</f>
        <v>42775000</v>
      </c>
      <c r="BZ15" s="101" t="s">
        <v>487</v>
      </c>
      <c r="CA15" s="94">
        <f t="shared" si="25"/>
        <v>42775000</v>
      </c>
      <c r="CB15" s="94">
        <f>SUMIFS('Federal Data'!AM2:AM501,'Federal Data'!$G2:$G501,"Unemployment Taxes")</f>
        <v>44248000</v>
      </c>
      <c r="CC15" s="101" t="s">
        <v>487</v>
      </c>
      <c r="CD15" s="94">
        <f t="shared" si="26"/>
        <v>44248000</v>
      </c>
      <c r="CE15" s="94">
        <f>SUMIFS('Federal Data'!AN2:AN501,'Federal Data'!$G2:$G501,"Unemployment Taxes")</f>
        <v>41847000</v>
      </c>
      <c r="CF15" s="101" t="s">
        <v>487</v>
      </c>
      <c r="CG15" s="94">
        <f t="shared" si="27"/>
        <v>41847000</v>
      </c>
      <c r="CH15" s="94">
        <f>SUMIFS('Federal Data'!AO2:AO501,'Federal Data'!$G2:$G501,"Unemployment Taxes")</f>
        <v>40249000</v>
      </c>
      <c r="CI15" s="101" t="s">
        <v>487</v>
      </c>
      <c r="CJ15" s="94">
        <f t="shared" si="28"/>
        <v>40249000</v>
      </c>
      <c r="CK15" s="94">
        <f>SUMIFS('Federal Data'!AP2:AP501,'Federal Data'!$G2:$G501,"Unemployment Taxes")</f>
        <v>38959000</v>
      </c>
      <c r="CL15" s="101" t="s">
        <v>487</v>
      </c>
      <c r="CM15" s="94">
        <f t="shared" si="29"/>
        <v>38959000</v>
      </c>
      <c r="CN15" s="94">
        <f>SUMIFS('Federal Data'!AQ2:AQ501,'Federal Data'!$G2:$G501,"Unemployment Taxes")</f>
        <v>46051000</v>
      </c>
      <c r="CO15" s="101" t="s">
        <v>487</v>
      </c>
      <c r="CP15" s="94">
        <f t="shared" si="30"/>
        <v>46051000</v>
      </c>
      <c r="CQ15" s="94">
        <f>SUMIFS('Federal Data'!AR2:AR501,'Federal Data'!$G2:$G501,"Unemployment Taxes")</f>
        <v>57650000</v>
      </c>
      <c r="CR15" s="101" t="s">
        <v>487</v>
      </c>
      <c r="CS15" s="94">
        <f t="shared" si="31"/>
        <v>57650000</v>
      </c>
      <c r="CT15" s="94">
        <f>SUMIFS('Federal Data'!AS2:AS501,'Federal Data'!$G2:$G501,"Unemployment Taxes")</f>
        <v>68034000</v>
      </c>
      <c r="CU15" s="101" t="s">
        <v>487</v>
      </c>
      <c r="CV15" s="94">
        <f t="shared" si="32"/>
        <v>68034000</v>
      </c>
      <c r="CW15" s="94">
        <f>SUMIFS('Federal Data'!AT2:AT501,'Federal Data'!$G2:$G501,"Unemployment Taxes")</f>
        <v>57964000</v>
      </c>
      <c r="CX15" s="101" t="s">
        <v>487</v>
      </c>
      <c r="CY15" s="94">
        <f t="shared" si="33"/>
        <v>57964000</v>
      </c>
      <c r="CZ15" s="94">
        <f>SUMIFS('Federal Data'!AU2:AU501,'Federal Data'!$G2:$G501,"Unemployment Taxes")</f>
        <v>55955000</v>
      </c>
      <c r="DA15" s="101" t="s">
        <v>487</v>
      </c>
      <c r="DB15" s="94">
        <f t="shared" si="34"/>
        <v>55955000</v>
      </c>
      <c r="DC15" s="37">
        <f>SUMIFS('Federal Data'!AV2:AV501,'Federal Data'!$G2:$G501,"Unemployment Taxes")</f>
        <v>51953000</v>
      </c>
      <c r="DD15" s="85" t="s">
        <v>487</v>
      </c>
      <c r="DE15" s="37">
        <f t="shared" si="35"/>
        <v>51953000</v>
      </c>
    </row>
    <row r="16" spans="1:109" outlineLevel="1">
      <c r="A16" s="27" t="s">
        <v>4</v>
      </c>
      <c r="B16" s="94">
        <f>SUMIFS('Federal Data'!M2:M501,'Federal Data'!$F2:$F501,"Corporate Income Taxes")</f>
        <v>64599673</v>
      </c>
      <c r="C16" s="101">
        <f>'State and Local P&amp;L (detailed)'!$C$8</f>
        <v>13321331</v>
      </c>
      <c r="D16" s="94">
        <f t="shared" si="0"/>
        <v>77921004</v>
      </c>
      <c r="E16" s="94">
        <f>SUMIFS('Federal Data'!N2:N501,'Federal Data'!$F2:$F501,"Corporate Income Taxes")</f>
        <v>61137136</v>
      </c>
      <c r="F16" s="101">
        <f>'State and Local P&amp;L (detailed)'!$D$8</f>
        <v>14143497</v>
      </c>
      <c r="G16" s="94">
        <f t="shared" si="1"/>
        <v>75280633</v>
      </c>
      <c r="H16" s="94">
        <f>SUMIFS('Federal Data'!O2:O501,'Federal Data'!$F2:$F501,"Corporate Income Taxes")</f>
        <v>49206969</v>
      </c>
      <c r="I16" s="101">
        <f>'State and Local P&amp;L (detailed)'!$E$8</f>
        <v>15028326</v>
      </c>
      <c r="J16" s="94">
        <f t="shared" si="2"/>
        <v>64235295</v>
      </c>
      <c r="K16" s="94">
        <f>SUMIFS('Federal Data'!P2:P501,'Federal Data'!$F2:$F501,"Corporate Income Taxes")</f>
        <v>37021566</v>
      </c>
      <c r="L16" s="101">
        <f>'State and Local P&amp;L (detailed)'!$F$8</f>
        <v>14257647</v>
      </c>
      <c r="M16" s="94">
        <f t="shared" si="3"/>
        <v>51279213</v>
      </c>
      <c r="N16" s="94">
        <f>SUMIFS('Federal Data'!Q2:Q501,'Federal Data'!$F2:$F501,"Corporate Income Taxes")</f>
        <v>56892983</v>
      </c>
      <c r="O16" s="101">
        <f>'State and Local P&amp;L (detailed)'!$G$8</f>
        <v>16798087</v>
      </c>
      <c r="P16" s="94">
        <f t="shared" si="4"/>
        <v>73691070</v>
      </c>
      <c r="Q16" s="94">
        <f>SUMIFS('Federal Data'!R2:R501,'Federal Data'!$F2:$F501,"Corporate Income Taxes")</f>
        <v>61330690</v>
      </c>
      <c r="R16" s="101">
        <f>'State and Local P&amp;L (detailed)'!$H$8</f>
        <v>19152186</v>
      </c>
      <c r="S16" s="94">
        <f t="shared" si="5"/>
        <v>80482876</v>
      </c>
      <c r="T16" s="94">
        <f>SUMIFS('Federal Data'!S2:S501,'Federal Data'!$F2:$F501,"Corporate Income Taxes")</f>
        <v>63143307</v>
      </c>
      <c r="U16" s="101">
        <f>'State and Local P&amp;L (detailed)'!$I$8</f>
        <v>19994145</v>
      </c>
      <c r="V16" s="94">
        <f t="shared" si="6"/>
        <v>83137452</v>
      </c>
      <c r="W16" s="94">
        <f>SUMIFS('Federal Data'!T2:T501,'Federal Data'!$F2:$F501,"Corporate Income Taxes")</f>
        <v>83925770</v>
      </c>
      <c r="X16" s="101">
        <f>'State and Local P&amp;L (detailed)'!$J$8</f>
        <v>22424627</v>
      </c>
      <c r="Y16" s="94">
        <f t="shared" si="7"/>
        <v>106350397</v>
      </c>
      <c r="Z16" s="94">
        <f>SUMIFS('Federal Data'!U2:U501,'Federal Data'!$F2:$F501,"Corporate Income Taxes")</f>
        <v>94508098</v>
      </c>
      <c r="AA16" s="101">
        <f>'State and Local P&amp;L (detailed)'!$K$8</f>
        <v>23663438</v>
      </c>
      <c r="AB16" s="94">
        <f t="shared" si="8"/>
        <v>118171536</v>
      </c>
      <c r="AC16" s="94">
        <f>SUMIFS('Federal Data'!V2:V501,'Federal Data'!$F2:$F501,"Corporate Income Taxes")</f>
        <v>103291115</v>
      </c>
      <c r="AD16" s="101">
        <f>'State and Local P&amp;L (detailed)'!$L$8</f>
        <v>25925885</v>
      </c>
      <c r="AE16" s="94">
        <f t="shared" si="9"/>
        <v>129217000</v>
      </c>
      <c r="AF16" s="94">
        <f>SUMIFS('Federal Data'!W2:W501,'Federal Data'!$F2:$F501,"Corporate Income Taxes")</f>
        <v>93506698</v>
      </c>
      <c r="AG16" s="101">
        <f>'State and Local P&amp;L (detailed)'!$M$8</f>
        <v>23566322</v>
      </c>
      <c r="AH16" s="94">
        <f t="shared" si="10"/>
        <v>117073020</v>
      </c>
      <c r="AI16" s="94">
        <f>SUMIFS('Federal Data'!X2:X501,'Federal Data'!$F2:$F501,"Corporate Income Taxes")</f>
        <v>98085822</v>
      </c>
      <c r="AJ16" s="101">
        <f>'State and Local P&amp;L (detailed)'!$N$8</f>
        <v>22242445</v>
      </c>
      <c r="AK16" s="94">
        <f t="shared" si="11"/>
        <v>120328267</v>
      </c>
      <c r="AL16" s="94">
        <f>SUMIFS('Federal Data'!Y2:Y501,'Federal Data'!$F2:$F501,"Corporate Income Taxes")</f>
        <v>100270366</v>
      </c>
      <c r="AM16" s="101">
        <f>'State and Local P&amp;L (detailed)'!$O$8</f>
        <v>23870449</v>
      </c>
      <c r="AN16" s="94">
        <f t="shared" si="12"/>
        <v>124140815</v>
      </c>
      <c r="AO16" s="94">
        <f>SUMIFS('Federal Data'!Z2:Z501,'Federal Data'!$F2:$F501,"Corporate Income Taxes")</f>
        <v>117520182</v>
      </c>
      <c r="AP16" s="101">
        <f>'State and Local P&amp;L (detailed)'!$P$8</f>
        <v>26417292</v>
      </c>
      <c r="AQ16" s="94">
        <f t="shared" si="13"/>
        <v>143937474</v>
      </c>
      <c r="AR16" s="94">
        <f>SUMIFS('Federal Data'!AA2:AA501,'Federal Data'!$F2:$F501,"Corporate Income Taxes")</f>
        <v>140384725</v>
      </c>
      <c r="AS16" s="101">
        <f>'State and Local P&amp;L (detailed)'!$Q$8</f>
        <v>28319516</v>
      </c>
      <c r="AT16" s="94">
        <f t="shared" si="14"/>
        <v>168704241</v>
      </c>
      <c r="AU16" s="94">
        <f>SUMIFS('Federal Data'!AB2:AB501,'Federal Data'!$F2:$F501,"Corporate Income Taxes")</f>
        <v>157004000</v>
      </c>
      <c r="AV16" s="101">
        <f>'State and Local P&amp;L (detailed)'!$R$8</f>
        <v>31405814</v>
      </c>
      <c r="AW16" s="94">
        <f t="shared" si="15"/>
        <v>188409814</v>
      </c>
      <c r="AX16" s="94">
        <f>SUMIFS('Federal Data'!AC2:AC501,'Federal Data'!$F2:$F501,"Corporate Income Taxes")</f>
        <v>171824000</v>
      </c>
      <c r="AY16" s="101">
        <f>'State and Local P&amp;L (detailed)'!$S$8</f>
        <v>32009111</v>
      </c>
      <c r="AZ16" s="94">
        <f t="shared" si="16"/>
        <v>203833111</v>
      </c>
      <c r="BA16" s="94">
        <f>SUMIFS('Federal Data'!AD2:AD501,'Federal Data'!$F2:$F501,"Corporate Income Taxes")</f>
        <v>182293000</v>
      </c>
      <c r="BB16" s="101">
        <f>'State and Local P&amp;L (detailed)'!$T$8</f>
        <v>33820422</v>
      </c>
      <c r="BC16" s="94">
        <f t="shared" si="17"/>
        <v>216113422</v>
      </c>
      <c r="BD16" s="94">
        <f>SUMIFS('Federal Data'!AE2:AE501,'Federal Data'!$F2:$F501,"Corporate Income Taxes")</f>
        <v>188677000</v>
      </c>
      <c r="BE16" s="101">
        <f>'State and Local P&amp;L (detailed)'!$U$8</f>
        <v>34411615</v>
      </c>
      <c r="BF16" s="94">
        <f t="shared" si="18"/>
        <v>223088615</v>
      </c>
      <c r="BG16" s="94">
        <f>SUMIFS('Federal Data'!AF2:AF501,'Federal Data'!$F2:$F501,"Corporate Income Taxes")</f>
        <v>184680000</v>
      </c>
      <c r="BH16" s="101">
        <f>'State and Local P&amp;L (detailed)'!$V$8</f>
        <v>33922371</v>
      </c>
      <c r="BI16" s="94">
        <f t="shared" si="19"/>
        <v>218602371</v>
      </c>
      <c r="BJ16" s="94">
        <f>SUMIFS('Federal Data'!AG2:AG501,'Federal Data'!$F2:$F501,"Corporate Income Taxes")</f>
        <v>207289000</v>
      </c>
      <c r="BK16" s="101">
        <f>'State and Local P&amp;L (detailed)'!$W$8</f>
        <v>36058903</v>
      </c>
      <c r="BL16" s="94">
        <f t="shared" si="20"/>
        <v>243347903</v>
      </c>
      <c r="BM16" s="94">
        <f>SUMIFS('Federal Data'!AH2:AH501,'Federal Data'!$F2:$F501,"Corporate Income Taxes")</f>
        <v>151075000</v>
      </c>
      <c r="BN16" s="101">
        <f>'State and Local P&amp;L (detailed)'!$X$8</f>
        <v>35296152</v>
      </c>
      <c r="BO16" s="94">
        <f t="shared" si="21"/>
        <v>186371152</v>
      </c>
      <c r="BP16" s="94">
        <f>SUMIFS('Federal Data'!AI2:AI501,'Federal Data'!$F2:$F501,"Corporate Income Taxes")</f>
        <v>148044000</v>
      </c>
      <c r="BQ16" s="101">
        <f>'State and Local P&amp;L (detailed)'!$Y$8</f>
        <v>28151862</v>
      </c>
      <c r="BR16" s="94">
        <f t="shared" si="22"/>
        <v>176195862</v>
      </c>
      <c r="BS16" s="94">
        <f>SUMIFS('Federal Data'!AJ2:AJ501,'Federal Data'!$F2:$F501,"Corporate Income Taxes")</f>
        <v>131778000</v>
      </c>
      <c r="BT16" s="101">
        <f>'State and Local P&amp;L (detailed)'!$Z$8</f>
        <v>31369064</v>
      </c>
      <c r="BU16" s="94">
        <f t="shared" si="23"/>
        <v>163147064</v>
      </c>
      <c r="BV16" s="94">
        <f>SUMIFS('Federal Data'!AK2:AK501,'Federal Data'!$F2:$F501,"Corporate Income Taxes")</f>
        <v>189371000</v>
      </c>
      <c r="BW16" s="101">
        <f>'State and Local P&amp;L (detailed)'!$AA$8</f>
        <v>33715793</v>
      </c>
      <c r="BX16" s="94">
        <f t="shared" si="24"/>
        <v>223086793</v>
      </c>
      <c r="BY16" s="94">
        <f>SUMIFS('Federal Data'!AL2:AL501,'Federal Data'!$F2:$F501,"Corporate Income Taxes")</f>
        <v>278282000</v>
      </c>
      <c r="BZ16" s="101">
        <f>'State and Local P&amp;L (detailed)'!$AB$8</f>
        <v>43255712</v>
      </c>
      <c r="CA16" s="94">
        <f t="shared" si="25"/>
        <v>321537712</v>
      </c>
      <c r="CB16" s="94">
        <f>SUMIFS('Federal Data'!AM2:AM501,'Federal Data'!$F2:$F501,"Corporate Income Taxes")</f>
        <v>353915000</v>
      </c>
      <c r="CC16" s="101">
        <f>'State and Local P&amp;L (detailed)'!$AC$8</f>
        <v>53080748</v>
      </c>
      <c r="CD16" s="94">
        <f t="shared" si="26"/>
        <v>406995748</v>
      </c>
      <c r="CE16" s="94">
        <f>SUMIFS('Federal Data'!AN2:AN501,'Federal Data'!$F2:$F501,"Corporate Income Taxes")</f>
        <v>370243000</v>
      </c>
      <c r="CF16" s="101">
        <f>'State and Local P&amp;L (detailed)'!$AD$8</f>
        <v>60954942</v>
      </c>
      <c r="CG16" s="94">
        <f t="shared" si="27"/>
        <v>431197942</v>
      </c>
      <c r="CH16" s="94">
        <f>SUMIFS('Federal Data'!AO2:AO501,'Federal Data'!$F2:$F501,"Corporate Income Taxes")</f>
        <v>304346000</v>
      </c>
      <c r="CI16" s="101">
        <f>'State and Local P&amp;L (detailed)'!$AE$8</f>
        <v>57230891</v>
      </c>
      <c r="CJ16" s="94">
        <f t="shared" si="28"/>
        <v>361576891</v>
      </c>
      <c r="CK16" s="94">
        <f>SUMIFS('Federal Data'!AP2:AP501,'Federal Data'!$F2:$F501,"Corporate Income Taxes")</f>
        <v>138229000</v>
      </c>
      <c r="CL16" s="101">
        <f>'State and Local P&amp;L (detailed)'!$AF$8</f>
        <v>46279861</v>
      </c>
      <c r="CM16" s="94">
        <f t="shared" si="29"/>
        <v>184508861</v>
      </c>
      <c r="CN16" s="94">
        <f>SUMIFS('Federal Data'!AQ2:AQ501,'Federal Data'!$F2:$F501,"Corporate Income Taxes")</f>
        <v>191437000</v>
      </c>
      <c r="CO16" s="101">
        <f>'State and Local P&amp;L (detailed)'!$AG$8</f>
        <v>44107796</v>
      </c>
      <c r="CP16" s="94">
        <f t="shared" si="30"/>
        <v>235544796</v>
      </c>
      <c r="CQ16" s="94">
        <f>SUMIFS('Federal Data'!AR2:AR501,'Federal Data'!$F2:$F501,"Corporate Income Taxes")</f>
        <v>181085000</v>
      </c>
      <c r="CR16" s="101">
        <f>'State and Local P&amp;L (detailed)'!$AH$8</f>
        <v>48421906</v>
      </c>
      <c r="CS16" s="94">
        <f t="shared" si="31"/>
        <v>229506906</v>
      </c>
      <c r="CT16" s="94">
        <f>SUMIFS('Federal Data'!AS2:AS501,'Federal Data'!$F2:$F501,"Corporate Income Taxes")</f>
        <v>242289000</v>
      </c>
      <c r="CU16" s="101">
        <f>'State and Local P&amp;L (detailed)'!$AI$8</f>
        <v>48933513</v>
      </c>
      <c r="CV16" s="94">
        <f t="shared" si="32"/>
        <v>291222513</v>
      </c>
      <c r="CW16" s="94">
        <f>SUMIFS('Federal Data'!AT2:AT501,'Federal Data'!$F2:$F501,"Corporate Income Taxes")</f>
        <v>273506000</v>
      </c>
      <c r="CX16" s="101">
        <f>'State and Local P&amp;L (detailed)'!$AJ$8</f>
        <v>52908727</v>
      </c>
      <c r="CY16" s="94">
        <f t="shared" si="33"/>
        <v>326414727</v>
      </c>
      <c r="CZ16" s="94">
        <f>SUMIFS('Federal Data'!AU2:AU501,'Federal Data'!$F2:$F501,"Corporate Income Taxes")</f>
        <v>320731000</v>
      </c>
      <c r="DA16" s="101">
        <f>'State and Local P&amp;L (detailed)'!$AK$8</f>
        <v>54559763</v>
      </c>
      <c r="DB16" s="94">
        <f t="shared" si="34"/>
        <v>375290763</v>
      </c>
      <c r="DC16" s="37">
        <f>SUMIFS('Federal Data'!AV2:AV501,'Federal Data'!$F2:$F501,"Corporate Income Taxes")</f>
        <v>343797000</v>
      </c>
      <c r="DD16" s="85">
        <f>'State and Local P&amp;L (detailed)'!$AL$8</f>
        <v>0</v>
      </c>
      <c r="DE16" s="37">
        <f t="shared" si="35"/>
        <v>343797000</v>
      </c>
    </row>
    <row r="17" spans="1:109" outlineLevel="1">
      <c r="A17" s="27" t="s">
        <v>5</v>
      </c>
      <c r="B17" s="94">
        <f t="shared" ref="B17:AG17" si="36">SUM(B18:B19)</f>
        <v>24329156</v>
      </c>
      <c r="C17" s="94">
        <f t="shared" si="36"/>
        <v>79926588</v>
      </c>
      <c r="D17" s="94">
        <f t="shared" si="36"/>
        <v>104255744</v>
      </c>
      <c r="E17" s="94">
        <f t="shared" si="36"/>
        <v>40839143</v>
      </c>
      <c r="F17" s="94">
        <f t="shared" si="36"/>
        <v>85971420</v>
      </c>
      <c r="G17" s="94">
        <f t="shared" si="36"/>
        <v>126810563</v>
      </c>
      <c r="H17" s="94">
        <f t="shared" si="36"/>
        <v>36310764</v>
      </c>
      <c r="I17" s="94">
        <f t="shared" si="36"/>
        <v>93612948</v>
      </c>
      <c r="J17" s="94">
        <f t="shared" si="36"/>
        <v>129923712</v>
      </c>
      <c r="K17" s="94">
        <f t="shared" si="36"/>
        <v>35300063</v>
      </c>
      <c r="L17" s="94">
        <f t="shared" si="36"/>
        <v>100246638</v>
      </c>
      <c r="M17" s="94">
        <f t="shared" si="36"/>
        <v>135546701</v>
      </c>
      <c r="N17" s="94">
        <f t="shared" si="36"/>
        <v>37361427</v>
      </c>
      <c r="O17" s="94">
        <f t="shared" si="36"/>
        <v>114097342</v>
      </c>
      <c r="P17" s="94">
        <f t="shared" si="36"/>
        <v>151458769</v>
      </c>
      <c r="Q17" s="94">
        <f t="shared" si="36"/>
        <v>35991683</v>
      </c>
      <c r="R17" s="94">
        <f t="shared" si="36"/>
        <v>126375711</v>
      </c>
      <c r="S17" s="94">
        <f t="shared" si="36"/>
        <v>162367394</v>
      </c>
      <c r="T17" s="94">
        <f t="shared" si="36"/>
        <v>32918545</v>
      </c>
      <c r="U17" s="94">
        <f t="shared" si="36"/>
        <v>135004563</v>
      </c>
      <c r="V17" s="94">
        <f t="shared" si="36"/>
        <v>167923108</v>
      </c>
      <c r="W17" s="94">
        <f t="shared" si="36"/>
        <v>32457474</v>
      </c>
      <c r="X17" s="94">
        <f t="shared" si="36"/>
        <v>144090686</v>
      </c>
      <c r="Y17" s="94">
        <f t="shared" si="36"/>
        <v>176548160</v>
      </c>
      <c r="Z17" s="94">
        <f t="shared" si="36"/>
        <v>35226868</v>
      </c>
      <c r="AA17" s="94">
        <f t="shared" si="36"/>
        <v>156452331</v>
      </c>
      <c r="AB17" s="94">
        <f t="shared" si="36"/>
        <v>191679199</v>
      </c>
      <c r="AC17" s="94">
        <f t="shared" si="36"/>
        <v>34385794</v>
      </c>
      <c r="AD17" s="94">
        <f t="shared" si="36"/>
        <v>166335997</v>
      </c>
      <c r="AE17" s="94">
        <f t="shared" si="36"/>
        <v>200721791</v>
      </c>
      <c r="AF17" s="94">
        <f t="shared" si="36"/>
        <v>35345204</v>
      </c>
      <c r="AG17" s="94">
        <f t="shared" si="36"/>
        <v>177884755</v>
      </c>
      <c r="AH17" s="94">
        <f t="shared" ref="AH17:BM17" si="37">SUM(AH18:AH19)</f>
        <v>213229959</v>
      </c>
      <c r="AI17" s="94">
        <f t="shared" si="37"/>
        <v>42402120</v>
      </c>
      <c r="AJ17" s="94">
        <f t="shared" si="37"/>
        <v>185570228</v>
      </c>
      <c r="AK17" s="94">
        <f t="shared" si="37"/>
        <v>227972348</v>
      </c>
      <c r="AL17" s="94">
        <f t="shared" si="37"/>
        <v>45569482</v>
      </c>
      <c r="AM17" s="94">
        <f t="shared" si="37"/>
        <v>197726682</v>
      </c>
      <c r="AN17" s="94">
        <f t="shared" si="37"/>
        <v>243296164</v>
      </c>
      <c r="AO17" s="94">
        <f t="shared" si="37"/>
        <v>48057224</v>
      </c>
      <c r="AP17" s="94">
        <f t="shared" si="37"/>
        <v>209648859</v>
      </c>
      <c r="AQ17" s="94">
        <f t="shared" si="37"/>
        <v>257706083</v>
      </c>
      <c r="AR17" s="94">
        <f t="shared" si="37"/>
        <v>55224799</v>
      </c>
      <c r="AS17" s="94">
        <f t="shared" si="37"/>
        <v>223628301</v>
      </c>
      <c r="AT17" s="94">
        <f t="shared" si="37"/>
        <v>278853100</v>
      </c>
      <c r="AU17" s="94">
        <f t="shared" si="37"/>
        <v>57484000</v>
      </c>
      <c r="AV17" s="94">
        <f t="shared" si="37"/>
        <v>237268397</v>
      </c>
      <c r="AW17" s="94">
        <f t="shared" si="37"/>
        <v>294752397</v>
      </c>
      <c r="AX17" s="94">
        <f t="shared" si="37"/>
        <v>54014000</v>
      </c>
      <c r="AY17" s="94">
        <f t="shared" si="37"/>
        <v>248947062</v>
      </c>
      <c r="AZ17" s="94">
        <f t="shared" si="37"/>
        <v>302961062</v>
      </c>
      <c r="BA17" s="94">
        <f t="shared" si="37"/>
        <v>56924000</v>
      </c>
      <c r="BB17" s="94">
        <f t="shared" si="37"/>
        <v>261734150</v>
      </c>
      <c r="BC17" s="94">
        <f t="shared" si="37"/>
        <v>318658150</v>
      </c>
      <c r="BD17" s="94">
        <f t="shared" si="37"/>
        <v>57673000</v>
      </c>
      <c r="BE17" s="94">
        <f t="shared" si="37"/>
        <v>274883406</v>
      </c>
      <c r="BF17" s="94">
        <f t="shared" si="37"/>
        <v>332556406</v>
      </c>
      <c r="BG17" s="94">
        <f t="shared" si="37"/>
        <v>70414000</v>
      </c>
      <c r="BH17" s="94">
        <f t="shared" si="37"/>
        <v>290992942</v>
      </c>
      <c r="BI17" s="94">
        <f t="shared" si="37"/>
        <v>361406942</v>
      </c>
      <c r="BJ17" s="94">
        <f t="shared" si="37"/>
        <v>68865000</v>
      </c>
      <c r="BK17" s="94">
        <f t="shared" si="37"/>
        <v>309289792</v>
      </c>
      <c r="BL17" s="94">
        <f t="shared" si="37"/>
        <v>378154792</v>
      </c>
      <c r="BM17" s="94">
        <f t="shared" si="37"/>
        <v>66232000</v>
      </c>
      <c r="BN17" s="94">
        <f t="shared" ref="BN17:CS17" si="38">SUM(BN18:BN19)</f>
        <v>320216988</v>
      </c>
      <c r="BO17" s="94">
        <f t="shared" si="38"/>
        <v>386448988</v>
      </c>
      <c r="BP17" s="94">
        <f t="shared" si="38"/>
        <v>66989000</v>
      </c>
      <c r="BQ17" s="94">
        <f t="shared" si="38"/>
        <v>324122506</v>
      </c>
      <c r="BR17" s="94">
        <f t="shared" si="38"/>
        <v>391111506</v>
      </c>
      <c r="BS17" s="94">
        <f t="shared" si="38"/>
        <v>67524000</v>
      </c>
      <c r="BT17" s="94">
        <f t="shared" si="38"/>
        <v>337786567</v>
      </c>
      <c r="BU17" s="94">
        <f t="shared" si="38"/>
        <v>405310567</v>
      </c>
      <c r="BV17" s="94">
        <f t="shared" si="38"/>
        <v>69855000</v>
      </c>
      <c r="BW17" s="94">
        <f t="shared" si="38"/>
        <v>361026946</v>
      </c>
      <c r="BX17" s="94">
        <f t="shared" si="38"/>
        <v>430881946</v>
      </c>
      <c r="BY17" s="94">
        <f t="shared" si="38"/>
        <v>73094000</v>
      </c>
      <c r="BZ17" s="94">
        <f t="shared" si="38"/>
        <v>384266166</v>
      </c>
      <c r="CA17" s="94">
        <f t="shared" si="38"/>
        <v>457360166</v>
      </c>
      <c r="CB17" s="94">
        <f t="shared" si="38"/>
        <v>73961000</v>
      </c>
      <c r="CC17" s="94">
        <f t="shared" si="38"/>
        <v>417734525</v>
      </c>
      <c r="CD17" s="94">
        <f t="shared" si="38"/>
        <v>491695525</v>
      </c>
      <c r="CE17" s="94">
        <f t="shared" si="38"/>
        <v>65069000</v>
      </c>
      <c r="CF17" s="94">
        <f t="shared" si="38"/>
        <v>440469533</v>
      </c>
      <c r="CG17" s="94">
        <f t="shared" si="38"/>
        <v>505538533</v>
      </c>
      <c r="CH17" s="94">
        <f t="shared" si="38"/>
        <v>67334000</v>
      </c>
      <c r="CI17" s="94">
        <f t="shared" si="38"/>
        <v>449944957</v>
      </c>
      <c r="CJ17" s="94">
        <f t="shared" si="38"/>
        <v>517278957</v>
      </c>
      <c r="CK17" s="94">
        <f t="shared" si="38"/>
        <v>62483000</v>
      </c>
      <c r="CL17" s="94">
        <f t="shared" si="38"/>
        <v>434128330</v>
      </c>
      <c r="CM17" s="94">
        <f t="shared" si="38"/>
        <v>496611330</v>
      </c>
      <c r="CN17" s="94">
        <f t="shared" si="38"/>
        <v>66909000</v>
      </c>
      <c r="CO17" s="94">
        <f t="shared" si="38"/>
        <v>435570729</v>
      </c>
      <c r="CP17" s="94">
        <f t="shared" si="38"/>
        <v>502479729</v>
      </c>
      <c r="CQ17" s="94">
        <f t="shared" si="38"/>
        <v>72381000</v>
      </c>
      <c r="CR17" s="94">
        <f t="shared" si="38"/>
        <v>463979488</v>
      </c>
      <c r="CS17" s="94">
        <f t="shared" si="38"/>
        <v>536360488</v>
      </c>
      <c r="CT17" s="94">
        <f t="shared" ref="CT17:DE17" si="39">SUM(CT18:CT19)</f>
        <v>79061000</v>
      </c>
      <c r="CU17" s="94">
        <f t="shared" si="39"/>
        <v>476544283</v>
      </c>
      <c r="CV17" s="94">
        <f t="shared" si="39"/>
        <v>555605283</v>
      </c>
      <c r="CW17" s="94">
        <f t="shared" si="39"/>
        <v>84007000</v>
      </c>
      <c r="CX17" s="94">
        <f t="shared" si="39"/>
        <v>495238236</v>
      </c>
      <c r="CY17" s="94">
        <f t="shared" si="39"/>
        <v>579245236</v>
      </c>
      <c r="CZ17" s="94">
        <f t="shared" si="39"/>
        <v>93368000</v>
      </c>
      <c r="DA17" s="94">
        <f t="shared" si="39"/>
        <v>517368126</v>
      </c>
      <c r="DB17" s="94">
        <f t="shared" si="39"/>
        <v>610736126</v>
      </c>
      <c r="DC17" s="37">
        <f t="shared" si="39"/>
        <v>98279000</v>
      </c>
      <c r="DD17" s="37">
        <f t="shared" si="39"/>
        <v>0</v>
      </c>
      <c r="DE17" s="37">
        <f t="shared" si="39"/>
        <v>98279000</v>
      </c>
    </row>
    <row r="18" spans="1:109" outlineLevel="2">
      <c r="A18" s="28" t="s">
        <v>21</v>
      </c>
      <c r="B18" s="101" t="s">
        <v>487</v>
      </c>
      <c r="C18" s="101">
        <f>'State and Local P&amp;L (detailed)'!$C$10</f>
        <v>51327616</v>
      </c>
      <c r="D18" s="94">
        <f t="shared" ref="D18:D34" si="40">SUM(B18:C18)</f>
        <v>51327616</v>
      </c>
      <c r="E18" s="94"/>
      <c r="F18" s="101">
        <f>'State and Local P&amp;L (detailed)'!$D$10</f>
        <v>55641390</v>
      </c>
      <c r="G18" s="94">
        <f t="shared" ref="G18:G34" si="41">SUM(E18:F18)</f>
        <v>55641390</v>
      </c>
      <c r="H18" s="94"/>
      <c r="I18" s="101">
        <f>'State and Local P&amp;L (detailed)'!$E$10</f>
        <v>60573300</v>
      </c>
      <c r="J18" s="94">
        <f t="shared" ref="J18:J34" si="42">SUM(H18:I18)</f>
        <v>60573300</v>
      </c>
      <c r="K18" s="94"/>
      <c r="L18" s="101">
        <f>'State and Local P&amp;L (detailed)'!$F$10</f>
        <v>64889896</v>
      </c>
      <c r="M18" s="94">
        <f t="shared" ref="M18:M34" si="43">SUM(K18:L18)</f>
        <v>64889896</v>
      </c>
      <c r="N18" s="94"/>
      <c r="O18" s="101">
        <f>'State and Local P&amp;L (detailed)'!$G$10</f>
        <v>75211609</v>
      </c>
      <c r="P18" s="94">
        <f t="shared" ref="P18:P34" si="44">SUM(N18:O18)</f>
        <v>75211609</v>
      </c>
      <c r="Q18" s="94"/>
      <c r="R18" s="101">
        <f>'State and Local P&amp;L (detailed)'!$H$10</f>
        <v>84295648</v>
      </c>
      <c r="S18" s="94">
        <f t="shared" ref="S18:S34" si="45">SUM(Q18:R18)</f>
        <v>84295648</v>
      </c>
      <c r="T18" s="94"/>
      <c r="U18" s="101">
        <f>'State and Local P&amp;L (detailed)'!$I$10</f>
        <v>90694713</v>
      </c>
      <c r="V18" s="94">
        <f t="shared" ref="V18:V34" si="46">SUM(T18:U18)</f>
        <v>90694713</v>
      </c>
      <c r="W18" s="94"/>
      <c r="X18" s="101">
        <f>'State and Local P&amp;L (detailed)'!$J$10</f>
        <v>96602538</v>
      </c>
      <c r="Y18" s="94">
        <f t="shared" ref="Y18:Y34" si="47">SUM(W18:X18)</f>
        <v>96602538</v>
      </c>
      <c r="Z18" s="94"/>
      <c r="AA18" s="101">
        <f>'State and Local P&amp;L (detailed)'!$K$10</f>
        <v>105237831</v>
      </c>
      <c r="AB18" s="94">
        <f t="shared" ref="AB18:AB34" si="48">SUM(Z18:AA18)</f>
        <v>105237831</v>
      </c>
      <c r="AC18" s="94"/>
      <c r="AD18" s="101">
        <f>'State and Local P&amp;L (detailed)'!$L$10</f>
        <v>112673222</v>
      </c>
      <c r="AE18" s="94">
        <f t="shared" ref="AE18:AE34" si="49">SUM(AC18:AD18)</f>
        <v>112673222</v>
      </c>
      <c r="AF18" s="94"/>
      <c r="AG18" s="101">
        <f>'State and Local P&amp;L (detailed)'!$M$10</f>
        <v>121286594</v>
      </c>
      <c r="AH18" s="94">
        <f t="shared" ref="AH18:AH34" si="50">SUM(AF18:AG18)</f>
        <v>121286594</v>
      </c>
      <c r="AI18" s="94"/>
      <c r="AJ18" s="101">
        <f>'State and Local P&amp;L (detailed)'!$N$10</f>
        <v>125448814</v>
      </c>
      <c r="AK18" s="94">
        <f t="shared" ref="AK18:AK34" si="51">SUM(AI18:AJ18)</f>
        <v>125448814</v>
      </c>
      <c r="AL18" s="94"/>
      <c r="AM18" s="101">
        <f>'State and Local P&amp;L (detailed)'!$O$10</f>
        <v>131978309</v>
      </c>
      <c r="AN18" s="94">
        <f t="shared" ref="AN18:AN34" si="52">SUM(AL18:AM18)</f>
        <v>131978309</v>
      </c>
      <c r="AO18" s="94"/>
      <c r="AP18" s="101">
        <f>'State and Local P&amp;L (detailed)'!$P$10</f>
        <v>138822010</v>
      </c>
      <c r="AQ18" s="94">
        <f t="shared" ref="AQ18:AQ34" si="53">SUM(AO18:AP18)</f>
        <v>138822010</v>
      </c>
      <c r="AR18" s="94"/>
      <c r="AS18" s="101">
        <f>'State and Local P&amp;L (detailed)'!$Q$10</f>
        <v>149039888</v>
      </c>
      <c r="AT18" s="94">
        <f t="shared" ref="AT18:AT34" si="54">SUM(AR18:AS18)</f>
        <v>149039888</v>
      </c>
      <c r="AU18" s="94"/>
      <c r="AV18" s="101">
        <f>'State and Local P&amp;L (detailed)'!$R$10</f>
        <v>160166175</v>
      </c>
      <c r="AW18" s="94">
        <f t="shared" ref="AW18:AW34" si="55">SUM(AU18:AV18)</f>
        <v>160166175</v>
      </c>
      <c r="AX18" s="94"/>
      <c r="AY18" s="101">
        <f>'State and Local P&amp;L (detailed)'!$S$10</f>
        <v>169072372</v>
      </c>
      <c r="AZ18" s="94">
        <f t="shared" ref="AZ18:AZ34" si="56">SUM(AX18:AY18)</f>
        <v>169072372</v>
      </c>
      <c r="BA18" s="94"/>
      <c r="BB18" s="101">
        <f>'State and Local P&amp;L (detailed)'!$T$10</f>
        <v>178746275</v>
      </c>
      <c r="BC18" s="94">
        <f t="shared" ref="BC18:BC34" si="57">SUM(BA18:BB18)</f>
        <v>178746275</v>
      </c>
      <c r="BD18" s="94"/>
      <c r="BE18" s="101">
        <f>'State and Local P&amp;L (detailed)'!$U$10</f>
        <v>188752895</v>
      </c>
      <c r="BF18" s="94">
        <f t="shared" ref="BF18:BF34" si="58">SUM(BD18:BE18)</f>
        <v>188752895</v>
      </c>
      <c r="BG18" s="94"/>
      <c r="BH18" s="101">
        <f>'State and Local P&amp;L (detailed)'!$V$10</f>
        <v>200626752</v>
      </c>
      <c r="BI18" s="94">
        <f t="shared" ref="BI18:BI34" si="59">SUM(BG18:BH18)</f>
        <v>200626752</v>
      </c>
      <c r="BJ18" s="94"/>
      <c r="BK18" s="101">
        <f>'State and Local P&amp;L (detailed)'!$W$10</f>
        <v>215112414</v>
      </c>
      <c r="BL18" s="94">
        <f t="shared" ref="BL18:BL34" si="60">SUM(BJ18:BK18)</f>
        <v>215112414</v>
      </c>
      <c r="BM18" s="94"/>
      <c r="BN18" s="101">
        <f>'State and Local P&amp;L (detailed)'!$X$10</f>
        <v>223428227</v>
      </c>
      <c r="BO18" s="94">
        <f t="shared" ref="BO18:BO34" si="61">SUM(BM18:BN18)</f>
        <v>223428227</v>
      </c>
      <c r="BP18" s="94"/>
      <c r="BQ18" s="101">
        <f>'State and Local P&amp;L (detailed)'!$Y$10</f>
        <v>222986687</v>
      </c>
      <c r="BR18" s="94">
        <f t="shared" ref="BR18:BR34" si="62">SUM(BP18:BQ18)</f>
        <v>222986687</v>
      </c>
      <c r="BS18" s="94"/>
      <c r="BT18" s="101">
        <f>'State and Local P&amp;L (detailed)'!$Z$10</f>
        <v>229222301</v>
      </c>
      <c r="BU18" s="94">
        <f t="shared" ref="BU18:BU34" si="63">SUM(BS18:BT18)</f>
        <v>229222301</v>
      </c>
      <c r="BV18" s="94"/>
      <c r="BW18" s="101">
        <f>'State and Local P&amp;L (detailed)'!$AA$10</f>
        <v>245342513</v>
      </c>
      <c r="BX18" s="94">
        <f t="shared" ref="BX18:BX34" si="64">SUM(BV18:BW18)</f>
        <v>245342513</v>
      </c>
      <c r="BY18" s="94"/>
      <c r="BZ18" s="101">
        <f>'State and Local P&amp;L (detailed)'!$AB$10</f>
        <v>262951838</v>
      </c>
      <c r="CA18" s="94">
        <f t="shared" ref="CA18:CA34" si="65">SUM(BY18:BZ18)</f>
        <v>262951838</v>
      </c>
      <c r="CB18" s="94"/>
      <c r="CC18" s="101">
        <f>'State and Local P&amp;L (detailed)'!$AC$10</f>
        <v>285829129</v>
      </c>
      <c r="CD18" s="94">
        <f t="shared" ref="CD18:CD34" si="66">SUM(CB18:CC18)</f>
        <v>285829129</v>
      </c>
      <c r="CE18" s="94"/>
      <c r="CF18" s="101">
        <f>'State and Local P&amp;L (detailed)'!$AD$10</f>
        <v>300601232</v>
      </c>
      <c r="CG18" s="94">
        <f t="shared" ref="CG18:CG34" si="67">SUM(CE18:CF18)</f>
        <v>300601232</v>
      </c>
      <c r="CH18" s="94"/>
      <c r="CI18" s="101">
        <f>'State and Local P&amp;L (detailed)'!$AE$10</f>
        <v>304739498</v>
      </c>
      <c r="CJ18" s="94">
        <f t="shared" ref="CJ18:CJ34" si="68">SUM(CH18:CI18)</f>
        <v>304739498</v>
      </c>
      <c r="CK18" s="94"/>
      <c r="CL18" s="101">
        <f>'State and Local P&amp;L (detailed)'!$AF$10</f>
        <v>291300296</v>
      </c>
      <c r="CM18" s="94">
        <f t="shared" ref="CM18:CM34" si="69">SUM(CK18:CL18)</f>
        <v>291300296</v>
      </c>
      <c r="CN18" s="94"/>
      <c r="CO18" s="101">
        <f>'State and Local P&amp;L (detailed)'!$AG$10</f>
        <v>288499186</v>
      </c>
      <c r="CP18" s="94">
        <f t="shared" ref="CP18:CP34" si="70">SUM(CN18:CO18)</f>
        <v>288499186</v>
      </c>
      <c r="CQ18" s="94"/>
      <c r="CR18" s="101">
        <f>'State and Local P&amp;L (detailed)'!$AH$10</f>
        <v>304668034</v>
      </c>
      <c r="CS18" s="94">
        <f t="shared" ref="CS18:CS34" si="71">SUM(CQ18:CR18)</f>
        <v>304668034</v>
      </c>
      <c r="CT18" s="94"/>
      <c r="CU18" s="101">
        <f>'State and Local P&amp;L (detailed)'!$AI$10</f>
        <v>314135839</v>
      </c>
      <c r="CV18" s="94">
        <f t="shared" ref="CV18:CV34" si="72">SUM(CT18:CU18)</f>
        <v>314135839</v>
      </c>
      <c r="CW18" s="94"/>
      <c r="CX18" s="101">
        <f>'State and Local P&amp;L (detailed)'!$AJ$10</f>
        <v>327036761</v>
      </c>
      <c r="CY18" s="94">
        <f t="shared" ref="CY18:CY34" si="73">SUM(CW18:CX18)</f>
        <v>327036761</v>
      </c>
      <c r="CZ18" s="94"/>
      <c r="DA18" s="101">
        <f>'State and Local P&amp;L (detailed)'!$AK$10</f>
        <v>347183136</v>
      </c>
      <c r="DB18" s="94">
        <f t="shared" ref="DB18:DB34" si="74">SUM(CZ18:DA18)</f>
        <v>347183136</v>
      </c>
      <c r="DC18" s="37"/>
      <c r="DD18" s="85">
        <f>'State and Local P&amp;L (detailed)'!$AL$10</f>
        <v>0</v>
      </c>
      <c r="DE18" s="37">
        <f t="shared" ref="DE18:DE34" si="75">SUM(DC18:DD18)</f>
        <v>0</v>
      </c>
    </row>
    <row r="19" spans="1:109" outlineLevel="2">
      <c r="A19" s="28" t="s">
        <v>74</v>
      </c>
      <c r="B19" s="94">
        <f>SUMIFS('Federal Data'!M2:M501,'Federal Data'!$F2:$F501,"Sales and Excise Taxes")</f>
        <v>24329156</v>
      </c>
      <c r="C19" s="101">
        <f>'State and Local P&amp;L (detailed)'!$C$11</f>
        <v>28598972</v>
      </c>
      <c r="D19" s="94">
        <f t="shared" si="40"/>
        <v>52928128</v>
      </c>
      <c r="E19" s="94">
        <f>SUMIFS('Federal Data'!N2:N501,'Federal Data'!$F2:$F501,"Sales and Excise Taxes")</f>
        <v>40839143</v>
      </c>
      <c r="F19" s="101">
        <f>'State and Local P&amp;L (detailed)'!$D$11</f>
        <v>30330030</v>
      </c>
      <c r="G19" s="94">
        <f t="shared" si="41"/>
        <v>71169173</v>
      </c>
      <c r="H19" s="94">
        <f>SUMIFS('Federal Data'!O2:O501,'Federal Data'!$F2:$F501,"Sales and Excise Taxes")</f>
        <v>36310764</v>
      </c>
      <c r="I19" s="101">
        <f>'State and Local P&amp;L (detailed)'!$E$11</f>
        <v>33039648</v>
      </c>
      <c r="J19" s="94">
        <f t="shared" si="42"/>
        <v>69350412</v>
      </c>
      <c r="K19" s="94">
        <f>SUMIFS('Federal Data'!P2:P501,'Federal Data'!$F2:$F501,"Sales and Excise Taxes")</f>
        <v>35300063</v>
      </c>
      <c r="L19" s="101">
        <f>'State and Local P&amp;L (detailed)'!$F$11</f>
        <v>35356742</v>
      </c>
      <c r="M19" s="94">
        <f t="shared" si="43"/>
        <v>70656805</v>
      </c>
      <c r="N19" s="94">
        <f>SUMIFS('Federal Data'!Q2:Q501,'Federal Data'!$F2:$F501,"Sales and Excise Taxes")</f>
        <v>37361427</v>
      </c>
      <c r="O19" s="101">
        <f>'State and Local P&amp;L (detailed)'!$G$11</f>
        <v>38885733</v>
      </c>
      <c r="P19" s="94">
        <f t="shared" si="44"/>
        <v>76247160</v>
      </c>
      <c r="Q19" s="94">
        <f>SUMIFS('Federal Data'!R2:R501,'Federal Data'!$F2:$F501,"Sales and Excise Taxes")</f>
        <v>35991683</v>
      </c>
      <c r="R19" s="101">
        <f>'State and Local P&amp;L (detailed)'!$H$11</f>
        <v>42080063</v>
      </c>
      <c r="S19" s="94">
        <f t="shared" si="45"/>
        <v>78071746</v>
      </c>
      <c r="T19" s="94">
        <f>SUMIFS('Federal Data'!S2:S501,'Federal Data'!$F2:$F501,"Sales and Excise Taxes")</f>
        <v>32918545</v>
      </c>
      <c r="U19" s="101">
        <f>'State and Local P&amp;L (detailed)'!$I$11</f>
        <v>44309850</v>
      </c>
      <c r="V19" s="94">
        <f t="shared" si="46"/>
        <v>77228395</v>
      </c>
      <c r="W19" s="94">
        <f>SUMIFS('Federal Data'!T2:T501,'Federal Data'!$F2:$F501,"Sales and Excise Taxes")</f>
        <v>32457474</v>
      </c>
      <c r="X19" s="101">
        <f>'State and Local P&amp;L (detailed)'!$J$11</f>
        <v>47488148</v>
      </c>
      <c r="Y19" s="94">
        <f t="shared" si="47"/>
        <v>79945622</v>
      </c>
      <c r="Z19" s="94">
        <f>SUMIFS('Federal Data'!U2:U501,'Federal Data'!$F2:$F501,"Sales and Excise Taxes")</f>
        <v>35226868</v>
      </c>
      <c r="AA19" s="101">
        <f>'State and Local P&amp;L (detailed)'!$K$11</f>
        <v>51214500</v>
      </c>
      <c r="AB19" s="94">
        <f t="shared" si="48"/>
        <v>86441368</v>
      </c>
      <c r="AC19" s="94">
        <f>SUMIFS('Federal Data'!V2:V501,'Federal Data'!$F2:$F501,"Sales and Excise Taxes")</f>
        <v>34385794</v>
      </c>
      <c r="AD19" s="101">
        <f>'State and Local P&amp;L (detailed)'!$L$11</f>
        <v>53662775</v>
      </c>
      <c r="AE19" s="94">
        <f t="shared" si="49"/>
        <v>88048569</v>
      </c>
      <c r="AF19" s="94">
        <f>SUMIFS('Federal Data'!W2:W501,'Federal Data'!$F2:$F501,"Sales and Excise Taxes")</f>
        <v>35345204</v>
      </c>
      <c r="AG19" s="101">
        <f>'State and Local P&amp;L (detailed)'!$M$11</f>
        <v>56598161</v>
      </c>
      <c r="AH19" s="94">
        <f t="shared" si="50"/>
        <v>91943365</v>
      </c>
      <c r="AI19" s="94">
        <f>SUMIFS('Federal Data'!X2:X501,'Federal Data'!$F2:$F501,"Sales and Excise Taxes")</f>
        <v>42402120</v>
      </c>
      <c r="AJ19" s="101">
        <f>'State and Local P&amp;L (detailed)'!$N$11</f>
        <v>60121414</v>
      </c>
      <c r="AK19" s="94">
        <f t="shared" si="51"/>
        <v>102523534</v>
      </c>
      <c r="AL19" s="94">
        <f>SUMIFS('Federal Data'!Y2:Y501,'Federal Data'!$F2:$F501,"Sales and Excise Taxes")</f>
        <v>45569482</v>
      </c>
      <c r="AM19" s="101">
        <f>'State and Local P&amp;L (detailed)'!$O$11</f>
        <v>65748373</v>
      </c>
      <c r="AN19" s="94">
        <f t="shared" si="52"/>
        <v>111317855</v>
      </c>
      <c r="AO19" s="94">
        <f>SUMIFS('Federal Data'!Z2:Z501,'Federal Data'!$F2:$F501,"Sales and Excise Taxes")</f>
        <v>48057224</v>
      </c>
      <c r="AP19" s="101">
        <f>'State and Local P&amp;L (detailed)'!$P$11</f>
        <v>70826849</v>
      </c>
      <c r="AQ19" s="94">
        <f t="shared" si="53"/>
        <v>118884073</v>
      </c>
      <c r="AR19" s="94">
        <f>SUMIFS('Federal Data'!AA2:AA501,'Federal Data'!$F2:$F501,"Sales and Excise Taxes")</f>
        <v>55224799</v>
      </c>
      <c r="AS19" s="101">
        <f>'State and Local P&amp;L (detailed)'!$Q$11</f>
        <v>74588413</v>
      </c>
      <c r="AT19" s="94">
        <f t="shared" si="54"/>
        <v>129813212</v>
      </c>
      <c r="AU19" s="94">
        <f>SUMIFS('Federal Data'!AB2:AB501,'Federal Data'!$F2:$F501,"Sales and Excise Taxes")</f>
        <v>57484000</v>
      </c>
      <c r="AV19" s="101">
        <f>'State and Local P&amp;L (detailed)'!$R$11</f>
        <v>77102222</v>
      </c>
      <c r="AW19" s="94">
        <f t="shared" si="55"/>
        <v>134586222</v>
      </c>
      <c r="AX19" s="94">
        <f>SUMIFS('Federal Data'!AC2:AC501,'Federal Data'!$F2:$F501,"Sales and Excise Taxes")</f>
        <v>54014000</v>
      </c>
      <c r="AY19" s="101">
        <f>'State and Local P&amp;L (detailed)'!$S$11</f>
        <v>79874690</v>
      </c>
      <c r="AZ19" s="94">
        <f t="shared" si="56"/>
        <v>133888690</v>
      </c>
      <c r="BA19" s="94">
        <f>SUMIFS('Federal Data'!AD2:AD501,'Federal Data'!$F2:$F501,"Sales and Excise Taxes")</f>
        <v>56924000</v>
      </c>
      <c r="BB19" s="101">
        <f>'State and Local P&amp;L (detailed)'!$T$11</f>
        <v>82987875</v>
      </c>
      <c r="BC19" s="94">
        <f t="shared" si="57"/>
        <v>139911875</v>
      </c>
      <c r="BD19" s="94">
        <f>SUMIFS('Federal Data'!AE2:AE501,'Federal Data'!$F2:$F501,"Sales and Excise Taxes")</f>
        <v>57673000</v>
      </c>
      <c r="BE19" s="101">
        <f>'State and Local P&amp;L (detailed)'!$U$11</f>
        <v>86130511</v>
      </c>
      <c r="BF19" s="94">
        <f t="shared" si="58"/>
        <v>143803511</v>
      </c>
      <c r="BG19" s="94">
        <f>SUMIFS('Federal Data'!AF2:AF501,'Federal Data'!$F2:$F501,"Sales and Excise Taxes")</f>
        <v>70414000</v>
      </c>
      <c r="BH19" s="101">
        <f>'State and Local P&amp;L (detailed)'!$V$11</f>
        <v>90366190</v>
      </c>
      <c r="BI19" s="94">
        <f t="shared" si="59"/>
        <v>160780190</v>
      </c>
      <c r="BJ19" s="94">
        <f>SUMIFS('Federal Data'!AG2:AG501,'Federal Data'!$F2:$F501,"Sales and Excise Taxes")</f>
        <v>68865000</v>
      </c>
      <c r="BK19" s="101">
        <f>'State and Local P&amp;L (detailed)'!$W$11</f>
        <v>94177378</v>
      </c>
      <c r="BL19" s="94">
        <f t="shared" si="60"/>
        <v>163042378</v>
      </c>
      <c r="BM19" s="94">
        <f>SUMIFS('Federal Data'!AH2:AH501,'Federal Data'!$F2:$F501,"Sales and Excise Taxes")</f>
        <v>66232000</v>
      </c>
      <c r="BN19" s="101">
        <f>'State and Local P&amp;L (detailed)'!$X$11</f>
        <v>96788761</v>
      </c>
      <c r="BO19" s="94">
        <f t="shared" si="61"/>
        <v>163020761</v>
      </c>
      <c r="BP19" s="94">
        <f>SUMIFS('Federal Data'!AI2:AI501,'Federal Data'!$F2:$F501,"Sales and Excise Taxes")</f>
        <v>66989000</v>
      </c>
      <c r="BQ19" s="101">
        <f>'State and Local P&amp;L (detailed)'!$Y$11</f>
        <v>101135819</v>
      </c>
      <c r="BR19" s="94">
        <f t="shared" si="62"/>
        <v>168124819</v>
      </c>
      <c r="BS19" s="94">
        <f>SUMIFS('Federal Data'!AJ2:AJ501,'Federal Data'!$F2:$F501,"Sales and Excise Taxes")</f>
        <v>67524000</v>
      </c>
      <c r="BT19" s="101">
        <f>'State and Local P&amp;L (detailed)'!$Z$11</f>
        <v>108564266</v>
      </c>
      <c r="BU19" s="94">
        <f t="shared" si="63"/>
        <v>176088266</v>
      </c>
      <c r="BV19" s="94">
        <f>SUMIFS('Federal Data'!AK2:AK501,'Federal Data'!$F2:$F501,"Sales and Excise Taxes")</f>
        <v>69855000</v>
      </c>
      <c r="BW19" s="101">
        <f>'State and Local P&amp;L (detailed)'!$AA$11</f>
        <v>115684433</v>
      </c>
      <c r="BX19" s="94">
        <f t="shared" si="64"/>
        <v>185539433</v>
      </c>
      <c r="BY19" s="94">
        <f>SUMIFS('Federal Data'!AL2:AL501,'Federal Data'!$F2:$F501,"Sales and Excise Taxes")</f>
        <v>73094000</v>
      </c>
      <c r="BZ19" s="101">
        <f>'State and Local P&amp;L (detailed)'!$AB$11</f>
        <v>121314328</v>
      </c>
      <c r="CA19" s="94">
        <f t="shared" si="65"/>
        <v>194408328</v>
      </c>
      <c r="CB19" s="94">
        <f>SUMIFS('Federal Data'!AM2:AM501,'Federal Data'!$F2:$F501,"Sales and Excise Taxes")</f>
        <v>73961000</v>
      </c>
      <c r="CC19" s="101">
        <f>'State and Local P&amp;L (detailed)'!$AC$11</f>
        <v>131905396</v>
      </c>
      <c r="CD19" s="94">
        <f t="shared" si="66"/>
        <v>205866396</v>
      </c>
      <c r="CE19" s="94">
        <f>SUMIFS('Federal Data'!AN2:AN501,'Federal Data'!$F2:$F501,"Sales and Excise Taxes")</f>
        <v>65069000</v>
      </c>
      <c r="CF19" s="101">
        <f>'State and Local P&amp;L (detailed)'!$AD$11</f>
        <v>139868301</v>
      </c>
      <c r="CG19" s="94">
        <f t="shared" si="67"/>
        <v>204937301</v>
      </c>
      <c r="CH19" s="94">
        <f>SUMIFS('Federal Data'!AO2:AO501,'Federal Data'!$F2:$F501,"Sales and Excise Taxes")</f>
        <v>67334000</v>
      </c>
      <c r="CI19" s="101">
        <f>'State and Local P&amp;L (detailed)'!$AE$11</f>
        <v>145205459</v>
      </c>
      <c r="CJ19" s="94">
        <f t="shared" si="68"/>
        <v>212539459</v>
      </c>
      <c r="CK19" s="94">
        <f>SUMIFS('Federal Data'!AP2:AP501,'Federal Data'!$F2:$F501,"Sales and Excise Taxes")</f>
        <v>62483000</v>
      </c>
      <c r="CL19" s="101">
        <f>'State and Local P&amp;L (detailed)'!$AF$11</f>
        <v>142828034</v>
      </c>
      <c r="CM19" s="94">
        <f t="shared" si="69"/>
        <v>205311034</v>
      </c>
      <c r="CN19" s="94">
        <f>SUMIFS('Federal Data'!AQ2:AQ501,'Federal Data'!$F2:$F501,"Sales and Excise Taxes")</f>
        <v>66909000</v>
      </c>
      <c r="CO19" s="101">
        <f>'State and Local P&amp;L (detailed)'!$AG$11</f>
        <v>147071543</v>
      </c>
      <c r="CP19" s="94">
        <f t="shared" si="70"/>
        <v>213980543</v>
      </c>
      <c r="CQ19" s="94">
        <f>SUMIFS('Federal Data'!AR2:AR501,'Federal Data'!$F2:$F501,"Sales and Excise Taxes")</f>
        <v>72381000</v>
      </c>
      <c r="CR19" s="101">
        <f>'State and Local P&amp;L (detailed)'!$AH$11</f>
        <v>159311454</v>
      </c>
      <c r="CS19" s="94">
        <f t="shared" si="71"/>
        <v>231692454</v>
      </c>
      <c r="CT19" s="94">
        <f>SUMIFS('Federal Data'!AS2:AS501,'Federal Data'!$F2:$F501,"Sales and Excise Taxes")</f>
        <v>79061000</v>
      </c>
      <c r="CU19" s="101">
        <f>'State and Local P&amp;L (detailed)'!$AI$11</f>
        <v>162408444</v>
      </c>
      <c r="CV19" s="94">
        <f t="shared" si="72"/>
        <v>241469444</v>
      </c>
      <c r="CW19" s="94">
        <f>SUMIFS('Federal Data'!AT2:AT501,'Federal Data'!$F2:$F501,"Sales and Excise Taxes")</f>
        <v>84007000</v>
      </c>
      <c r="CX19" s="101">
        <f>'State and Local P&amp;L (detailed)'!$AJ$11</f>
        <v>168201475</v>
      </c>
      <c r="CY19" s="94">
        <f t="shared" si="73"/>
        <v>252208475</v>
      </c>
      <c r="CZ19" s="94">
        <f>SUMIFS('Federal Data'!AU2:AU501,'Federal Data'!$F2:$F501,"Sales and Excise Taxes")</f>
        <v>93368000</v>
      </c>
      <c r="DA19" s="101">
        <f>'State and Local P&amp;L (detailed)'!$AK$11</f>
        <v>170184990</v>
      </c>
      <c r="DB19" s="94">
        <f t="shared" si="74"/>
        <v>263552990</v>
      </c>
      <c r="DC19" s="37">
        <f>SUMIFS('Federal Data'!AV2:AV501,'Federal Data'!$F2:$F501,"Sales and Excise Taxes")</f>
        <v>98279000</v>
      </c>
      <c r="DD19" s="85">
        <f>'State and Local P&amp;L (detailed)'!$AL$11</f>
        <v>0</v>
      </c>
      <c r="DE19" s="37">
        <f t="shared" si="75"/>
        <v>98279000</v>
      </c>
    </row>
    <row r="20" spans="1:109" outlineLevel="1">
      <c r="A20" s="27" t="s">
        <v>7</v>
      </c>
      <c r="B20" s="101" t="s">
        <v>487</v>
      </c>
      <c r="C20" s="101">
        <f>'State and Local P&amp;L (detailed)'!$C$16</f>
        <v>68498743</v>
      </c>
      <c r="D20" s="94">
        <f t="shared" si="40"/>
        <v>68498743</v>
      </c>
      <c r="E20" s="101" t="s">
        <v>487</v>
      </c>
      <c r="F20" s="101">
        <f>'State and Local P&amp;L (detailed)'!$D$16</f>
        <v>74969444</v>
      </c>
      <c r="G20" s="94">
        <f t="shared" si="41"/>
        <v>74969444</v>
      </c>
      <c r="H20" s="101" t="s">
        <v>487</v>
      </c>
      <c r="I20" s="101">
        <f>'State and Local P&amp;L (detailed)'!$E$16</f>
        <v>82067442</v>
      </c>
      <c r="J20" s="94">
        <f t="shared" si="42"/>
        <v>82067442</v>
      </c>
      <c r="K20" s="101" t="s">
        <v>487</v>
      </c>
      <c r="L20" s="101">
        <f>'State and Local P&amp;L (detailed)'!$F$16</f>
        <v>89104863</v>
      </c>
      <c r="M20" s="94">
        <f t="shared" si="43"/>
        <v>89104863</v>
      </c>
      <c r="N20" s="101" t="s">
        <v>487</v>
      </c>
      <c r="O20" s="101">
        <f>'State and Local P&amp;L (detailed)'!$G$16</f>
        <v>96456745</v>
      </c>
      <c r="P20" s="94">
        <f t="shared" si="44"/>
        <v>96456745</v>
      </c>
      <c r="Q20" s="101" t="s">
        <v>487</v>
      </c>
      <c r="R20" s="101">
        <f>'State and Local P&amp;L (detailed)'!$H$16</f>
        <v>103756624</v>
      </c>
      <c r="S20" s="94">
        <f t="shared" si="45"/>
        <v>103756624</v>
      </c>
      <c r="T20" s="101" t="s">
        <v>487</v>
      </c>
      <c r="U20" s="101">
        <f>'State and Local P&amp;L (detailed)'!$I$16</f>
        <v>111709287</v>
      </c>
      <c r="V20" s="94">
        <f t="shared" si="46"/>
        <v>111709287</v>
      </c>
      <c r="W20" s="101" t="s">
        <v>487</v>
      </c>
      <c r="X20" s="101">
        <f>'State and Local P&amp;L (detailed)'!$J$16</f>
        <v>121202638</v>
      </c>
      <c r="Y20" s="94">
        <f t="shared" si="47"/>
        <v>121202638</v>
      </c>
      <c r="Z20" s="101" t="s">
        <v>487</v>
      </c>
      <c r="AA20" s="101">
        <f>'State and Local P&amp;L (detailed)'!$K$16</f>
        <v>132212301</v>
      </c>
      <c r="AB20" s="94">
        <f t="shared" si="48"/>
        <v>132212301</v>
      </c>
      <c r="AC20" s="101" t="s">
        <v>487</v>
      </c>
      <c r="AD20" s="101">
        <f>'State and Local P&amp;L (detailed)'!$L$16</f>
        <v>142400237</v>
      </c>
      <c r="AE20" s="94">
        <f t="shared" si="49"/>
        <v>142400237</v>
      </c>
      <c r="AF20" s="101" t="s">
        <v>487</v>
      </c>
      <c r="AG20" s="101">
        <f>'State and Local P&amp;L (detailed)'!$M$16</f>
        <v>155613321</v>
      </c>
      <c r="AH20" s="94">
        <f t="shared" si="50"/>
        <v>155613321</v>
      </c>
      <c r="AI20" s="101" t="s">
        <v>487</v>
      </c>
      <c r="AJ20" s="101">
        <f>'State and Local P&amp;L (detailed)'!$N$16</f>
        <v>167999489</v>
      </c>
      <c r="AK20" s="94">
        <f t="shared" si="51"/>
        <v>167999489</v>
      </c>
      <c r="AL20" s="101" t="s">
        <v>487</v>
      </c>
      <c r="AM20" s="101">
        <f>'State and Local P&amp;L (detailed)'!$O$16</f>
        <v>180320503</v>
      </c>
      <c r="AN20" s="94">
        <f t="shared" si="52"/>
        <v>180320503</v>
      </c>
      <c r="AO20" s="101" t="s">
        <v>487</v>
      </c>
      <c r="AP20" s="101">
        <f>'State and Local P&amp;L (detailed)'!$P$16</f>
        <v>189743930</v>
      </c>
      <c r="AQ20" s="94">
        <f t="shared" si="53"/>
        <v>189743930</v>
      </c>
      <c r="AR20" s="101" t="s">
        <v>487</v>
      </c>
      <c r="AS20" s="101">
        <f>'State and Local P&amp;L (detailed)'!$Q$16</f>
        <v>197141008</v>
      </c>
      <c r="AT20" s="94">
        <f t="shared" si="54"/>
        <v>197141008</v>
      </c>
      <c r="AU20" s="101" t="s">
        <v>487</v>
      </c>
      <c r="AV20" s="101">
        <f>'State and Local P&amp;L (detailed)'!$R$16</f>
        <v>203451246</v>
      </c>
      <c r="AW20" s="94">
        <f t="shared" si="55"/>
        <v>203451246</v>
      </c>
      <c r="AX20" s="101" t="s">
        <v>487</v>
      </c>
      <c r="AY20" s="101">
        <f>'State and Local P&amp;L (detailed)'!$S$16</f>
        <v>209440794</v>
      </c>
      <c r="AZ20" s="94">
        <f t="shared" si="56"/>
        <v>209440794</v>
      </c>
      <c r="BA20" s="101" t="s">
        <v>487</v>
      </c>
      <c r="BB20" s="101">
        <f>'State and Local P&amp;L (detailed)'!$T$16</f>
        <v>218760306</v>
      </c>
      <c r="BC20" s="94">
        <f t="shared" si="57"/>
        <v>218760306</v>
      </c>
      <c r="BD20" s="101" t="s">
        <v>487</v>
      </c>
      <c r="BE20" s="101">
        <f>'State and Local P&amp;L (detailed)'!$U$16</f>
        <v>230150058</v>
      </c>
      <c r="BF20" s="94">
        <f t="shared" si="58"/>
        <v>230150058</v>
      </c>
      <c r="BG20" s="101" t="s">
        <v>487</v>
      </c>
      <c r="BH20" s="101">
        <f>'State and Local P&amp;L (detailed)'!$V$16</f>
        <v>239671604</v>
      </c>
      <c r="BI20" s="94">
        <f t="shared" si="59"/>
        <v>239671604</v>
      </c>
      <c r="BJ20" s="101" t="s">
        <v>487</v>
      </c>
      <c r="BK20" s="101">
        <f>'State and Local P&amp;L (detailed)'!$W$16</f>
        <v>249177604</v>
      </c>
      <c r="BL20" s="94">
        <f t="shared" si="60"/>
        <v>249177604</v>
      </c>
      <c r="BM20" s="101" t="s">
        <v>487</v>
      </c>
      <c r="BN20" s="101">
        <f>'State and Local P&amp;L (detailed)'!$X$16</f>
        <v>263689177</v>
      </c>
      <c r="BO20" s="94">
        <f t="shared" si="61"/>
        <v>263689177</v>
      </c>
      <c r="BP20" s="101" t="s">
        <v>487</v>
      </c>
      <c r="BQ20" s="101">
        <f>'State and Local P&amp;L (detailed)'!$Y$16</f>
        <v>279191478</v>
      </c>
      <c r="BR20" s="94">
        <f t="shared" si="62"/>
        <v>279191478</v>
      </c>
      <c r="BS20" s="101" t="s">
        <v>487</v>
      </c>
      <c r="BT20" s="101">
        <f>'State and Local P&amp;L (detailed)'!$Z$16</f>
        <v>296683185</v>
      </c>
      <c r="BU20" s="94">
        <f t="shared" si="63"/>
        <v>296683185</v>
      </c>
      <c r="BV20" s="101" t="s">
        <v>487</v>
      </c>
      <c r="BW20" s="101">
        <f>'State and Local P&amp;L (detailed)'!$AA$16</f>
        <v>317941413</v>
      </c>
      <c r="BX20" s="94">
        <f t="shared" si="64"/>
        <v>317941413</v>
      </c>
      <c r="BY20" s="101" t="s">
        <v>487</v>
      </c>
      <c r="BZ20" s="101">
        <f>'State and Local P&amp;L (detailed)'!$AB$16</f>
        <v>335779002</v>
      </c>
      <c r="CA20" s="94">
        <f t="shared" si="65"/>
        <v>335779002</v>
      </c>
      <c r="CB20" s="101" t="s">
        <v>487</v>
      </c>
      <c r="CC20" s="101">
        <f>'State and Local P&amp;L (detailed)'!$AC$16</f>
        <v>364558999</v>
      </c>
      <c r="CD20" s="94">
        <f t="shared" si="66"/>
        <v>364558999</v>
      </c>
      <c r="CE20" s="101" t="s">
        <v>487</v>
      </c>
      <c r="CF20" s="101">
        <f>'State and Local P&amp;L (detailed)'!$AD$16</f>
        <v>388905357</v>
      </c>
      <c r="CG20" s="94">
        <f t="shared" si="67"/>
        <v>388905357</v>
      </c>
      <c r="CH20" s="101" t="s">
        <v>487</v>
      </c>
      <c r="CI20" s="101">
        <f>'State and Local P&amp;L (detailed)'!$AE$16</f>
        <v>409539657</v>
      </c>
      <c r="CJ20" s="94">
        <f t="shared" si="68"/>
        <v>409539657</v>
      </c>
      <c r="CK20" s="101" t="s">
        <v>487</v>
      </c>
      <c r="CL20" s="101">
        <f>'State and Local P&amp;L (detailed)'!$AF$16</f>
        <v>434818264</v>
      </c>
      <c r="CM20" s="94">
        <f t="shared" si="69"/>
        <v>434818264</v>
      </c>
      <c r="CN20" s="101" t="s">
        <v>487</v>
      </c>
      <c r="CO20" s="101">
        <f>'State and Local P&amp;L (detailed)'!$AG$16</f>
        <v>443947292</v>
      </c>
      <c r="CP20" s="94">
        <f t="shared" si="70"/>
        <v>443947292</v>
      </c>
      <c r="CQ20" s="101" t="s">
        <v>487</v>
      </c>
      <c r="CR20" s="101">
        <f>'State and Local P&amp;L (detailed)'!$AH$16</f>
        <v>445771236</v>
      </c>
      <c r="CS20" s="94">
        <f t="shared" si="71"/>
        <v>445771236</v>
      </c>
      <c r="CT20" s="101" t="s">
        <v>487</v>
      </c>
      <c r="CU20" s="101">
        <f>'State and Local P&amp;L (detailed)'!$AI$16</f>
        <v>447120120</v>
      </c>
      <c r="CV20" s="94">
        <f t="shared" si="72"/>
        <v>447120120</v>
      </c>
      <c r="CW20" s="101" t="s">
        <v>487</v>
      </c>
      <c r="CX20" s="101">
        <f>'State and Local P&amp;L (detailed)'!$AJ$16</f>
        <v>453052504</v>
      </c>
      <c r="CY20" s="94">
        <f t="shared" si="73"/>
        <v>453052504</v>
      </c>
      <c r="CZ20" s="101" t="s">
        <v>487</v>
      </c>
      <c r="DA20" s="101">
        <f>'State and Local P&amp;L (detailed)'!$AK$16</f>
        <v>466391552</v>
      </c>
      <c r="DB20" s="94">
        <f t="shared" si="74"/>
        <v>466391552</v>
      </c>
      <c r="DC20" s="85" t="s">
        <v>487</v>
      </c>
      <c r="DD20" s="85">
        <f>'State and Local P&amp;L (detailed)'!$AL$16</f>
        <v>0</v>
      </c>
      <c r="DE20" s="37">
        <f t="shared" si="75"/>
        <v>0</v>
      </c>
    </row>
    <row r="21" spans="1:109" outlineLevel="1">
      <c r="A21" s="27" t="s">
        <v>8</v>
      </c>
      <c r="B21" s="94">
        <f>SUMIFS('Federal Data'!M2:M501,'Federal Data'!$F2:$F501,"Estate and Gift Taxes")</f>
        <v>6389480</v>
      </c>
      <c r="C21" s="101">
        <f>'State and Local P&amp;L (detailed)'!$C$17</f>
        <v>2035269</v>
      </c>
      <c r="D21" s="94">
        <f t="shared" si="40"/>
        <v>8424749</v>
      </c>
      <c r="E21" s="94">
        <f>SUMIFS('Federal Data'!N2:N501,'Federal Data'!$F2:$F501,"Estate and Gift Taxes")</f>
        <v>6786537</v>
      </c>
      <c r="F21" s="101">
        <f>'State and Local P&amp;L (detailed)'!$D$17</f>
        <v>2228968</v>
      </c>
      <c r="G21" s="94">
        <f t="shared" si="41"/>
        <v>9015505</v>
      </c>
      <c r="H21" s="94">
        <f>SUMIFS('Federal Data'!O2:O501,'Federal Data'!$F2:$F501,"Estate and Gift Taxes")</f>
        <v>7990595</v>
      </c>
      <c r="I21" s="101">
        <f>'State and Local P&amp;L (detailed)'!$E$17</f>
        <v>2350092</v>
      </c>
      <c r="J21" s="94">
        <f t="shared" si="42"/>
        <v>10340687</v>
      </c>
      <c r="K21" s="94">
        <f>SUMIFS('Federal Data'!P2:P501,'Federal Data'!$F2:$F501,"Estate and Gift Taxes")</f>
        <v>6053368</v>
      </c>
      <c r="L21" s="101">
        <f>'State and Local P&amp;L (detailed)'!$F$17</f>
        <v>2544640</v>
      </c>
      <c r="M21" s="94">
        <f t="shared" si="43"/>
        <v>8598008</v>
      </c>
      <c r="N21" s="94">
        <f>SUMIFS('Federal Data'!Q2:Q501,'Federal Data'!$F2:$F501,"Estate and Gift Taxes")</f>
        <v>6010472</v>
      </c>
      <c r="O21" s="101">
        <f>'State and Local P&amp;L (detailed)'!$G$17</f>
        <v>2226041</v>
      </c>
      <c r="P21" s="94">
        <f t="shared" si="44"/>
        <v>8236513</v>
      </c>
      <c r="Q21" s="94">
        <f>SUMIFS('Federal Data'!R2:R501,'Federal Data'!$F2:$F501,"Estate and Gift Taxes")</f>
        <v>6422489</v>
      </c>
      <c r="R21" s="101">
        <f>'State and Local P&amp;L (detailed)'!$H$17</f>
        <v>2327515</v>
      </c>
      <c r="S21" s="94">
        <f t="shared" si="45"/>
        <v>8750004</v>
      </c>
      <c r="T21" s="94">
        <f>SUMIFS('Federal Data'!S2:S501,'Federal Data'!$F2:$F501,"Estate and Gift Taxes")</f>
        <v>6957626</v>
      </c>
      <c r="U21" s="101">
        <f>'State and Local P&amp;L (detailed)'!$I$17</f>
        <v>2535464</v>
      </c>
      <c r="V21" s="94">
        <f t="shared" si="46"/>
        <v>9493090</v>
      </c>
      <c r="W21" s="94">
        <f>SUMIFS('Federal Data'!T2:T501,'Federal Data'!$F2:$F501,"Estate and Gift Taxes")</f>
        <v>7492640</v>
      </c>
      <c r="X21" s="101">
        <f>'State and Local P&amp;L (detailed)'!$J$17</f>
        <v>3069132</v>
      </c>
      <c r="Y21" s="94">
        <f t="shared" si="47"/>
        <v>10561772</v>
      </c>
      <c r="Z21" s="94">
        <f>SUMIFS('Federal Data'!U2:U501,'Federal Data'!$F2:$F501,"Estate and Gift Taxes")</f>
        <v>7594256</v>
      </c>
      <c r="AA21" s="101">
        <f>'State and Local P&amp;L (detailed)'!$K$17</f>
        <v>3274394</v>
      </c>
      <c r="AB21" s="94">
        <f t="shared" si="48"/>
        <v>10868650</v>
      </c>
      <c r="AC21" s="94">
        <f>SUMIFS('Federal Data'!V2:V501,'Federal Data'!$F2:$F501,"Estate and Gift Taxes")</f>
        <v>8745225</v>
      </c>
      <c r="AD21" s="101">
        <f>'State and Local P&amp;L (detailed)'!$L$17</f>
        <v>3510286</v>
      </c>
      <c r="AE21" s="94">
        <f t="shared" si="49"/>
        <v>12255511</v>
      </c>
      <c r="AF21" s="94">
        <f>SUMIFS('Federal Data'!W2:W501,'Federal Data'!$F2:$F501,"Estate and Gift Taxes")</f>
        <v>11500285</v>
      </c>
      <c r="AG21" s="101">
        <f>'State and Local P&amp;L (detailed)'!$M$17</f>
        <v>3855278</v>
      </c>
      <c r="AH21" s="94">
        <f t="shared" si="50"/>
        <v>15355563</v>
      </c>
      <c r="AI21" s="94">
        <f>SUMIFS('Federal Data'!X2:X501,'Federal Data'!$F2:$F501,"Estate and Gift Taxes")</f>
        <v>11138019</v>
      </c>
      <c r="AJ21" s="101">
        <f>'State and Local P&amp;L (detailed)'!$N$17</f>
        <v>4310627</v>
      </c>
      <c r="AK21" s="94">
        <f t="shared" si="51"/>
        <v>15448646</v>
      </c>
      <c r="AL21" s="94">
        <f>SUMIFS('Federal Data'!Y2:Y501,'Federal Data'!$F2:$F501,"Estate and Gift Taxes")</f>
        <v>11143439</v>
      </c>
      <c r="AM21" s="101">
        <f>'State and Local P&amp;L (detailed)'!$O$17</f>
        <v>4485629</v>
      </c>
      <c r="AN21" s="94">
        <f t="shared" si="52"/>
        <v>15629068</v>
      </c>
      <c r="AO21" s="94">
        <f>SUMIFS('Federal Data'!Z2:Z501,'Federal Data'!$F2:$F501,"Estate and Gift Taxes")</f>
        <v>12576558</v>
      </c>
      <c r="AP21" s="101">
        <f>'State and Local P&amp;L (detailed)'!$P$17</f>
        <v>4697637</v>
      </c>
      <c r="AQ21" s="94">
        <f t="shared" si="53"/>
        <v>17274195</v>
      </c>
      <c r="AR21" s="94">
        <f>SUMIFS('Federal Data'!AA2:AA501,'Federal Data'!$F2:$F501,"Estate and Gift Taxes")</f>
        <v>15224518</v>
      </c>
      <c r="AS21" s="101">
        <f>'State and Local P&amp;L (detailed)'!$Q$17</f>
        <v>5054028</v>
      </c>
      <c r="AT21" s="94">
        <f t="shared" si="54"/>
        <v>20278546</v>
      </c>
      <c r="AU21" s="94">
        <f>SUMIFS('Federal Data'!AB2:AB501,'Federal Data'!$F2:$F501,"Estate and Gift Taxes")</f>
        <v>14763000</v>
      </c>
      <c r="AV21" s="101">
        <f>'State and Local P&amp;L (detailed)'!$R$17</f>
        <v>4921289</v>
      </c>
      <c r="AW21" s="94">
        <f t="shared" si="55"/>
        <v>19684289</v>
      </c>
      <c r="AX21" s="94">
        <f>SUMIFS('Federal Data'!AC2:AC501,'Federal Data'!$F2:$F501,"Estate and Gift Taxes")</f>
        <v>17189000</v>
      </c>
      <c r="AY21" s="101">
        <f>'State and Local P&amp;L (detailed)'!$S$17</f>
        <v>5352273</v>
      </c>
      <c r="AZ21" s="94">
        <f t="shared" si="56"/>
        <v>22541273</v>
      </c>
      <c r="BA21" s="94">
        <f>SUMIFS('Federal Data'!AD2:AD501,'Federal Data'!$F2:$F501,"Estate and Gift Taxes")</f>
        <v>19845000</v>
      </c>
      <c r="BB21" s="101">
        <f>'State and Local P&amp;L (detailed)'!$T$17</f>
        <v>5940439</v>
      </c>
      <c r="BC21" s="94">
        <f t="shared" si="57"/>
        <v>25785439</v>
      </c>
      <c r="BD21" s="94">
        <f>SUMIFS('Federal Data'!AE2:AE501,'Federal Data'!$F2:$F501,"Estate and Gift Taxes")</f>
        <v>24076000</v>
      </c>
      <c r="BE21" s="101">
        <f>'State and Local P&amp;L (detailed)'!$U$17</f>
        <v>6971125</v>
      </c>
      <c r="BF21" s="94">
        <f t="shared" si="58"/>
        <v>31047125</v>
      </c>
      <c r="BG21" s="94">
        <f>SUMIFS('Federal Data'!AF2:AF501,'Federal Data'!$F2:$F501,"Estate and Gift Taxes")</f>
        <v>27782000</v>
      </c>
      <c r="BH21" s="101">
        <f>'State and Local P&amp;L (detailed)'!$V$17</f>
        <v>7519383</v>
      </c>
      <c r="BI21" s="94">
        <f t="shared" si="59"/>
        <v>35301383</v>
      </c>
      <c r="BJ21" s="94">
        <f>SUMIFS('Federal Data'!AG2:AG501,'Federal Data'!$F2:$F501,"Estate and Gift Taxes")</f>
        <v>29010000</v>
      </c>
      <c r="BK21" s="101">
        <f>'State and Local P&amp;L (detailed)'!$W$17</f>
        <v>8034202</v>
      </c>
      <c r="BL21" s="94">
        <f t="shared" si="60"/>
        <v>37044202</v>
      </c>
      <c r="BM21" s="94">
        <f>SUMIFS('Federal Data'!AH2:AH501,'Federal Data'!$F2:$F501,"Estate and Gift Taxes")</f>
        <v>28400000</v>
      </c>
      <c r="BN21" s="101">
        <f>'State and Local P&amp;L (detailed)'!$X$17</f>
        <v>7550511</v>
      </c>
      <c r="BO21" s="94">
        <f t="shared" si="61"/>
        <v>35950511</v>
      </c>
      <c r="BP21" s="94">
        <f>SUMIFS('Federal Data'!AI2:AI501,'Federal Data'!$F2:$F501,"Estate and Gift Taxes")</f>
        <v>26507000</v>
      </c>
      <c r="BQ21" s="101">
        <f>'State and Local P&amp;L (detailed)'!$Y$17</f>
        <v>7510323</v>
      </c>
      <c r="BR21" s="94">
        <f t="shared" si="62"/>
        <v>34017323</v>
      </c>
      <c r="BS21" s="94">
        <f>SUMIFS('Federal Data'!AJ2:AJ501,'Federal Data'!$F2:$F501,"Estate and Gift Taxes")</f>
        <v>21959000</v>
      </c>
      <c r="BT21" s="101">
        <f>'State and Local P&amp;L (detailed)'!$Z$17</f>
        <v>6715248</v>
      </c>
      <c r="BU21" s="94">
        <f t="shared" si="63"/>
        <v>28674248</v>
      </c>
      <c r="BV21" s="94">
        <f>SUMIFS('Federal Data'!AK2:AK501,'Federal Data'!$F2:$F501,"Estate and Gift Taxes")</f>
        <v>24831000</v>
      </c>
      <c r="BW21" s="101">
        <f>'State and Local P&amp;L (detailed)'!$AA$17</f>
        <v>5758175</v>
      </c>
      <c r="BX21" s="94">
        <f t="shared" si="64"/>
        <v>30589175</v>
      </c>
      <c r="BY21" s="94">
        <f>SUMIFS('Federal Data'!AL2:AL501,'Federal Data'!$F2:$F501,"Estate and Gift Taxes")</f>
        <v>24764000</v>
      </c>
      <c r="BZ21" s="101">
        <f>'State and Local P&amp;L (detailed)'!$AB$17</f>
        <v>5421759</v>
      </c>
      <c r="CA21" s="94">
        <f t="shared" si="65"/>
        <v>30185759</v>
      </c>
      <c r="CB21" s="94">
        <f>SUMIFS('Federal Data'!AM2:AM501,'Federal Data'!$F2:$F501,"Estate and Gift Taxes")</f>
        <v>27877000</v>
      </c>
      <c r="CC21" s="101">
        <f>'State and Local P&amp;L (detailed)'!$AC$17</f>
        <v>4960948</v>
      </c>
      <c r="CD21" s="94">
        <f t="shared" si="66"/>
        <v>32837948</v>
      </c>
      <c r="CE21" s="94">
        <f>SUMIFS('Federal Data'!AN2:AN501,'Federal Data'!$F2:$F501,"Estate and Gift Taxes")</f>
        <v>26044000</v>
      </c>
      <c r="CF21" s="101">
        <f>'State and Local P&amp;L (detailed)'!$AD$17</f>
        <v>5118279</v>
      </c>
      <c r="CG21" s="94">
        <f t="shared" si="67"/>
        <v>31162279</v>
      </c>
      <c r="CH21" s="94">
        <f>SUMIFS('Federal Data'!AO2:AO501,'Federal Data'!$F2:$F501,"Estate and Gift Taxes")</f>
        <v>28844000</v>
      </c>
      <c r="CI21" s="101">
        <f>'State and Local P&amp;L (detailed)'!$AE$17</f>
        <v>5349697</v>
      </c>
      <c r="CJ21" s="94">
        <f t="shared" si="68"/>
        <v>34193697</v>
      </c>
      <c r="CK21" s="94">
        <f>SUMIFS('Federal Data'!AP2:AP501,'Federal Data'!$F2:$F501,"Estate and Gift Taxes")</f>
        <v>23482000</v>
      </c>
      <c r="CL21" s="101">
        <f>'State and Local P&amp;L (detailed)'!$AF$17</f>
        <v>4919680</v>
      </c>
      <c r="CM21" s="94">
        <f t="shared" si="69"/>
        <v>28401680</v>
      </c>
      <c r="CN21" s="94">
        <f>SUMIFS('Federal Data'!AQ2:AQ501,'Federal Data'!$F2:$F501,"Estate and Gift Taxes")</f>
        <v>18885000</v>
      </c>
      <c r="CO21" s="101">
        <f>'State and Local P&amp;L (detailed)'!$AG$17</f>
        <v>4153376</v>
      </c>
      <c r="CP21" s="94">
        <f t="shared" si="70"/>
        <v>23038376</v>
      </c>
      <c r="CQ21" s="94">
        <f>SUMIFS('Federal Data'!AR2:AR501,'Federal Data'!$F2:$F501,"Estate and Gift Taxes")</f>
        <v>7399000</v>
      </c>
      <c r="CR21" s="101">
        <f>'State and Local P&amp;L (detailed)'!$AH$17</f>
        <v>4810811</v>
      </c>
      <c r="CS21" s="94">
        <f t="shared" si="71"/>
        <v>12209811</v>
      </c>
      <c r="CT21" s="94">
        <f>SUMIFS('Federal Data'!AS2:AS501,'Federal Data'!$F2:$F501,"Estate and Gift Taxes")</f>
        <v>13973000</v>
      </c>
      <c r="CU21" s="101">
        <f>'State and Local P&amp;L (detailed)'!$AI$17</f>
        <v>4871614</v>
      </c>
      <c r="CV21" s="94">
        <f t="shared" si="72"/>
        <v>18844614</v>
      </c>
      <c r="CW21" s="94">
        <f>SUMIFS('Federal Data'!AT2:AT501,'Federal Data'!$F2:$F501,"Estate and Gift Taxes")</f>
        <v>18912000</v>
      </c>
      <c r="CX21" s="101">
        <f>'State and Local P&amp;L (detailed)'!$AJ$17</f>
        <v>5184122</v>
      </c>
      <c r="CY21" s="94">
        <f t="shared" si="73"/>
        <v>24096122</v>
      </c>
      <c r="CZ21" s="94">
        <f>SUMIFS('Federal Data'!AU2:AU501,'Federal Data'!$F2:$F501,"Estate and Gift Taxes")</f>
        <v>19300000</v>
      </c>
      <c r="DA21" s="101">
        <f>'State and Local P&amp;L (detailed)'!$AK$17</f>
        <v>5010825</v>
      </c>
      <c r="DB21" s="94">
        <f t="shared" si="74"/>
        <v>24310825</v>
      </c>
      <c r="DC21" s="37">
        <f>SUMIFS('Federal Data'!AV2:AV501,'Federal Data'!$F2:$F501,"Estate and Gift Taxes")</f>
        <v>19232000</v>
      </c>
      <c r="DD21" s="85">
        <f>'State and Local P&amp;L (detailed)'!$AL$17</f>
        <v>0</v>
      </c>
      <c r="DE21" s="37">
        <f t="shared" si="75"/>
        <v>19232000</v>
      </c>
    </row>
    <row r="22" spans="1:109" outlineLevel="1">
      <c r="A22" s="27" t="s">
        <v>9</v>
      </c>
      <c r="B22" s="101" t="s">
        <v>487</v>
      </c>
      <c r="C22" s="101">
        <f>'State and Local P&amp;L (detailed)'!$C$18</f>
        <v>4167399</v>
      </c>
      <c r="D22" s="94">
        <f t="shared" si="40"/>
        <v>4167399</v>
      </c>
      <c r="E22" s="101" t="s">
        <v>487</v>
      </c>
      <c r="F22" s="101">
        <f>'State and Local P&amp;L (detailed)'!$D$18</f>
        <v>6379191</v>
      </c>
      <c r="G22" s="94">
        <f t="shared" si="41"/>
        <v>6379191</v>
      </c>
      <c r="H22" s="101" t="s">
        <v>487</v>
      </c>
      <c r="I22" s="101">
        <f>'State and Local P&amp;L (detailed)'!$E$18</f>
        <v>7829520</v>
      </c>
      <c r="J22" s="94">
        <f t="shared" si="42"/>
        <v>7829520</v>
      </c>
      <c r="K22" s="101" t="s">
        <v>487</v>
      </c>
      <c r="L22" s="101">
        <f>'State and Local P&amp;L (detailed)'!$F$18</f>
        <v>7405553</v>
      </c>
      <c r="M22" s="94">
        <f t="shared" si="43"/>
        <v>7405553</v>
      </c>
      <c r="N22" s="101" t="s">
        <v>487</v>
      </c>
      <c r="O22" s="101">
        <f>'State and Local P&amp;L (detailed)'!$G$18</f>
        <v>7266418</v>
      </c>
      <c r="P22" s="94">
        <f t="shared" si="44"/>
        <v>7266418</v>
      </c>
      <c r="Q22" s="101" t="s">
        <v>487</v>
      </c>
      <c r="R22" s="101">
        <f>'State and Local P&amp;L (detailed)'!$H$18</f>
        <v>7211178</v>
      </c>
      <c r="S22" s="94">
        <f t="shared" si="45"/>
        <v>7211178</v>
      </c>
      <c r="T22" s="101" t="s">
        <v>487</v>
      </c>
      <c r="U22" s="101">
        <f>'State and Local P&amp;L (detailed)'!$I$18</f>
        <v>6125394</v>
      </c>
      <c r="V22" s="94">
        <f t="shared" si="46"/>
        <v>6125394</v>
      </c>
      <c r="W22" s="101" t="s">
        <v>487</v>
      </c>
      <c r="X22" s="101">
        <f>'State and Local P&amp;L (detailed)'!$J$18</f>
        <v>4050098</v>
      </c>
      <c r="Y22" s="94">
        <f t="shared" si="47"/>
        <v>4050098</v>
      </c>
      <c r="Z22" s="101" t="s">
        <v>487</v>
      </c>
      <c r="AA22" s="101">
        <f>'State and Local P&amp;L (detailed)'!$K$18</f>
        <v>4330890</v>
      </c>
      <c r="AB22" s="94">
        <f t="shared" si="48"/>
        <v>4330890</v>
      </c>
      <c r="AC22" s="101" t="s">
        <v>487</v>
      </c>
      <c r="AD22" s="101">
        <f>'State and Local P&amp;L (detailed)'!$L$18</f>
        <v>4144152</v>
      </c>
      <c r="AE22" s="94">
        <f t="shared" si="49"/>
        <v>4144152</v>
      </c>
      <c r="AF22" s="101" t="s">
        <v>487</v>
      </c>
      <c r="AG22" s="101">
        <f>'State and Local P&amp;L (detailed)'!$M$18</f>
        <v>4682531</v>
      </c>
      <c r="AH22" s="94">
        <f t="shared" si="50"/>
        <v>4682531</v>
      </c>
      <c r="AI22" s="101" t="s">
        <v>487</v>
      </c>
      <c r="AJ22" s="101">
        <f>'State and Local P&amp;L (detailed)'!$N$18</f>
        <v>5366911</v>
      </c>
      <c r="AK22" s="94">
        <f t="shared" si="51"/>
        <v>5366911</v>
      </c>
      <c r="AL22" s="101" t="s">
        <v>487</v>
      </c>
      <c r="AM22" s="101">
        <f>'State and Local P&amp;L (detailed)'!$O$18</f>
        <v>4647479</v>
      </c>
      <c r="AN22" s="94">
        <f t="shared" si="52"/>
        <v>4647479</v>
      </c>
      <c r="AO22" s="101" t="s">
        <v>487</v>
      </c>
      <c r="AP22" s="101">
        <f>'State and Local P&amp;L (detailed)'!$P$18</f>
        <v>4907971</v>
      </c>
      <c r="AQ22" s="94">
        <f t="shared" si="53"/>
        <v>4907971</v>
      </c>
      <c r="AR22" s="101" t="s">
        <v>487</v>
      </c>
      <c r="AS22" s="101">
        <f>'State and Local P&amp;L (detailed)'!$Q$18</f>
        <v>4298003</v>
      </c>
      <c r="AT22" s="94">
        <f t="shared" si="54"/>
        <v>4298003</v>
      </c>
      <c r="AU22" s="101" t="s">
        <v>487</v>
      </c>
      <c r="AV22" s="101">
        <f>'State and Local P&amp;L (detailed)'!$R$18</f>
        <v>4467629</v>
      </c>
      <c r="AW22" s="94">
        <f t="shared" si="55"/>
        <v>4467629</v>
      </c>
      <c r="AX22" s="101" t="s">
        <v>487</v>
      </c>
      <c r="AY22" s="101">
        <f>'State and Local P&amp;L (detailed)'!$S$18</f>
        <v>4115529</v>
      </c>
      <c r="AZ22" s="94">
        <f t="shared" si="56"/>
        <v>4115529</v>
      </c>
      <c r="BA22" s="101" t="s">
        <v>487</v>
      </c>
      <c r="BB22" s="101">
        <f>'State and Local P&amp;L (detailed)'!$T$18</f>
        <v>4867898</v>
      </c>
      <c r="BC22" s="94">
        <f t="shared" si="57"/>
        <v>4867898</v>
      </c>
      <c r="BD22" s="101" t="s">
        <v>487</v>
      </c>
      <c r="BE22" s="101">
        <f>'State and Local P&amp;L (detailed)'!$U$18</f>
        <v>4165773</v>
      </c>
      <c r="BF22" s="94">
        <f t="shared" si="58"/>
        <v>4165773</v>
      </c>
      <c r="BG22" s="101" t="s">
        <v>487</v>
      </c>
      <c r="BH22" s="101">
        <f>'State and Local P&amp;L (detailed)'!$V$18</f>
        <v>3135150</v>
      </c>
      <c r="BI22" s="94">
        <f t="shared" si="59"/>
        <v>3135150</v>
      </c>
      <c r="BJ22" s="101" t="s">
        <v>487</v>
      </c>
      <c r="BK22" s="101">
        <f>'State and Local P&amp;L (detailed)'!$W$18</f>
        <v>4368012</v>
      </c>
      <c r="BL22" s="94">
        <f t="shared" si="60"/>
        <v>4368012</v>
      </c>
      <c r="BM22" s="101" t="s">
        <v>487</v>
      </c>
      <c r="BN22" s="101">
        <f>'State and Local P&amp;L (detailed)'!$X$18</f>
        <v>6408733</v>
      </c>
      <c r="BO22" s="94">
        <f t="shared" si="61"/>
        <v>6408733</v>
      </c>
      <c r="BP22" s="101" t="s">
        <v>487</v>
      </c>
      <c r="BQ22" s="101">
        <f>'State and Local P&amp;L (detailed)'!$Y$18</f>
        <v>4233989</v>
      </c>
      <c r="BR22" s="94">
        <f t="shared" si="62"/>
        <v>4233989</v>
      </c>
      <c r="BS22" s="101" t="s">
        <v>487</v>
      </c>
      <c r="BT22" s="101">
        <f>'State and Local P&amp;L (detailed)'!$Z$18</f>
        <v>5321561</v>
      </c>
      <c r="BU22" s="94">
        <f t="shared" si="63"/>
        <v>5321561</v>
      </c>
      <c r="BV22" s="101" t="s">
        <v>487</v>
      </c>
      <c r="BW22" s="101">
        <f>'State and Local P&amp;L (detailed)'!$AA$18</f>
        <v>6362179</v>
      </c>
      <c r="BX22" s="94">
        <f t="shared" si="64"/>
        <v>6362179</v>
      </c>
      <c r="BY22" s="101" t="s">
        <v>487</v>
      </c>
      <c r="BZ22" s="101">
        <f>'State and Local P&amp;L (detailed)'!$AB$18</f>
        <v>8176588</v>
      </c>
      <c r="CA22" s="94">
        <f t="shared" si="65"/>
        <v>8176588</v>
      </c>
      <c r="CB22" s="101" t="s">
        <v>487</v>
      </c>
      <c r="CC22" s="101">
        <f>'State and Local P&amp;L (detailed)'!$AC$18</f>
        <v>10567667</v>
      </c>
      <c r="CD22" s="94">
        <f t="shared" si="66"/>
        <v>10567667</v>
      </c>
      <c r="CE22" s="101" t="s">
        <v>487</v>
      </c>
      <c r="CF22" s="101">
        <f>'State and Local P&amp;L (detailed)'!$AD$18</f>
        <v>11141705</v>
      </c>
      <c r="CG22" s="94">
        <f t="shared" si="67"/>
        <v>11141705</v>
      </c>
      <c r="CH22" s="101" t="s">
        <v>487</v>
      </c>
      <c r="CI22" s="101">
        <f>'State and Local P&amp;L (detailed)'!$AE$18</f>
        <v>17887975</v>
      </c>
      <c r="CJ22" s="94">
        <f t="shared" si="68"/>
        <v>17887975</v>
      </c>
      <c r="CK22" s="101" t="s">
        <v>487</v>
      </c>
      <c r="CL22" s="101">
        <f>'State and Local P&amp;L (detailed)'!$AF$18</f>
        <v>13490468</v>
      </c>
      <c r="CM22" s="94">
        <f t="shared" si="69"/>
        <v>13490468</v>
      </c>
      <c r="CN22" s="101" t="s">
        <v>487</v>
      </c>
      <c r="CO22" s="101">
        <f>'State and Local P&amp;L (detailed)'!$AG$18</f>
        <v>11479671</v>
      </c>
      <c r="CP22" s="94">
        <f t="shared" si="70"/>
        <v>11479671</v>
      </c>
      <c r="CQ22" s="101" t="s">
        <v>487</v>
      </c>
      <c r="CR22" s="101">
        <f>'State and Local P&amp;L (detailed)'!$AH$18</f>
        <v>14714276</v>
      </c>
      <c r="CS22" s="94">
        <f t="shared" si="71"/>
        <v>14714276</v>
      </c>
      <c r="CT22" s="101" t="s">
        <v>487</v>
      </c>
      <c r="CU22" s="101">
        <f>'State and Local P&amp;L (detailed)'!$AI$18</f>
        <v>17376037</v>
      </c>
      <c r="CV22" s="94">
        <f t="shared" si="72"/>
        <v>17376037</v>
      </c>
      <c r="CW22" s="101" t="s">
        <v>487</v>
      </c>
      <c r="CX22" s="101">
        <f>'State and Local P&amp;L (detailed)'!$AJ$18</f>
        <v>16569866</v>
      </c>
      <c r="CY22" s="94">
        <f t="shared" si="73"/>
        <v>16569866</v>
      </c>
      <c r="CZ22" s="101" t="s">
        <v>487</v>
      </c>
      <c r="DA22" s="101">
        <f>'State and Local P&amp;L (detailed)'!$AK$18</f>
        <v>17869250</v>
      </c>
      <c r="DB22" s="94">
        <f t="shared" si="74"/>
        <v>17869250</v>
      </c>
      <c r="DC22" s="85" t="s">
        <v>487</v>
      </c>
      <c r="DD22" s="85">
        <f>'State and Local P&amp;L (detailed)'!$AL$18</f>
        <v>0</v>
      </c>
      <c r="DE22" s="37">
        <f t="shared" si="75"/>
        <v>0</v>
      </c>
    </row>
    <row r="23" spans="1:109" outlineLevel="1">
      <c r="A23" s="27" t="s">
        <v>10</v>
      </c>
      <c r="B23" s="94">
        <f>SUMIFS('Federal Data'!M2:M501,'Federal Data'!$F2:$F501,"Customs Duties")</f>
        <v>7173836</v>
      </c>
      <c r="C23" s="101" t="s">
        <v>487</v>
      </c>
      <c r="D23" s="94">
        <f t="shared" si="40"/>
        <v>7173836</v>
      </c>
      <c r="E23" s="94">
        <f>SUMIFS('Federal Data'!N2:N501,'Federal Data'!$F2:$F501,"Customs Duties")</f>
        <v>8082808</v>
      </c>
      <c r="F23" s="101" t="s">
        <v>487</v>
      </c>
      <c r="G23" s="94">
        <f t="shared" si="41"/>
        <v>8082808</v>
      </c>
      <c r="H23" s="94">
        <f>SUMIFS('Federal Data'!O2:O501,'Federal Data'!$F2:$F501,"Customs Duties")</f>
        <v>8854093</v>
      </c>
      <c r="I23" s="101" t="s">
        <v>487</v>
      </c>
      <c r="J23" s="94">
        <f t="shared" si="42"/>
        <v>8854093</v>
      </c>
      <c r="K23" s="94">
        <f>SUMIFS('Federal Data'!P2:P501,'Federal Data'!$F2:$F501,"Customs Duties")</f>
        <v>8654732</v>
      </c>
      <c r="L23" s="101" t="s">
        <v>487</v>
      </c>
      <c r="M23" s="94">
        <f t="shared" si="43"/>
        <v>8654732</v>
      </c>
      <c r="N23" s="94">
        <f>SUMIFS('Federal Data'!Q2:Q501,'Federal Data'!$F2:$F501,"Customs Duties")</f>
        <v>11370044</v>
      </c>
      <c r="O23" s="101" t="s">
        <v>487</v>
      </c>
      <c r="P23" s="94">
        <f t="shared" si="44"/>
        <v>11370044</v>
      </c>
      <c r="Q23" s="94">
        <f>SUMIFS('Federal Data'!R2:R501,'Federal Data'!$F2:$F501,"Customs Duties")</f>
        <v>12078567</v>
      </c>
      <c r="R23" s="101" t="s">
        <v>487</v>
      </c>
      <c r="S23" s="94">
        <f t="shared" si="45"/>
        <v>12078567</v>
      </c>
      <c r="T23" s="94">
        <f>SUMIFS('Federal Data'!S2:S501,'Federal Data'!$F2:$F501,"Customs Duties")</f>
        <v>13326653</v>
      </c>
      <c r="U23" s="101" t="s">
        <v>487</v>
      </c>
      <c r="V23" s="94">
        <f t="shared" si="46"/>
        <v>13326653</v>
      </c>
      <c r="W23" s="94">
        <f>SUMIFS('Federal Data'!T2:T501,'Federal Data'!$F2:$F501,"Customs Duties")</f>
        <v>15085039</v>
      </c>
      <c r="X23" s="101" t="s">
        <v>487</v>
      </c>
      <c r="Y23" s="94">
        <f t="shared" si="47"/>
        <v>15085039</v>
      </c>
      <c r="Z23" s="94">
        <f>SUMIFS('Federal Data'!U2:U501,'Federal Data'!$F2:$F501,"Customs Duties")</f>
        <v>16198125</v>
      </c>
      <c r="AA23" s="101" t="s">
        <v>487</v>
      </c>
      <c r="AB23" s="94">
        <f t="shared" si="48"/>
        <v>16198125</v>
      </c>
      <c r="AC23" s="94">
        <f>SUMIFS('Federal Data'!V2:V501,'Federal Data'!$F2:$F501,"Customs Duties")</f>
        <v>16333533</v>
      </c>
      <c r="AD23" s="101" t="s">
        <v>487</v>
      </c>
      <c r="AE23" s="94">
        <f t="shared" si="49"/>
        <v>16333533</v>
      </c>
      <c r="AF23" s="94">
        <f>SUMIFS('Federal Data'!W2:W501,'Federal Data'!$F2:$F501,"Customs Duties")</f>
        <v>16707311</v>
      </c>
      <c r="AG23" s="101" t="s">
        <v>487</v>
      </c>
      <c r="AH23" s="94">
        <f t="shared" si="50"/>
        <v>16707311</v>
      </c>
      <c r="AI23" s="94">
        <f>SUMIFS('Federal Data'!X2:X501,'Federal Data'!$F2:$F501,"Customs Duties")</f>
        <v>15949168</v>
      </c>
      <c r="AJ23" s="101" t="s">
        <v>487</v>
      </c>
      <c r="AK23" s="94">
        <f t="shared" si="51"/>
        <v>15949168</v>
      </c>
      <c r="AL23" s="94">
        <f>SUMIFS('Federal Data'!Y2:Y501,'Federal Data'!$F2:$F501,"Customs Duties")</f>
        <v>17359439</v>
      </c>
      <c r="AM23" s="101" t="s">
        <v>487</v>
      </c>
      <c r="AN23" s="94">
        <f t="shared" si="52"/>
        <v>17359439</v>
      </c>
      <c r="AO23" s="94">
        <f>SUMIFS('Federal Data'!Z2:Z501,'Federal Data'!$F2:$F501,"Customs Duties")</f>
        <v>18802080</v>
      </c>
      <c r="AP23" s="101" t="s">
        <v>487</v>
      </c>
      <c r="AQ23" s="94">
        <f t="shared" si="53"/>
        <v>18802080</v>
      </c>
      <c r="AR23" s="94">
        <f>SUMIFS('Federal Data'!AA2:AA501,'Federal Data'!$F2:$F501,"Customs Duties")</f>
        <v>20098865</v>
      </c>
      <c r="AS23" s="101" t="s">
        <v>487</v>
      </c>
      <c r="AT23" s="94">
        <f t="shared" si="54"/>
        <v>20098865</v>
      </c>
      <c r="AU23" s="94">
        <f>SUMIFS('Federal Data'!AB2:AB501,'Federal Data'!$F2:$F501,"Customs Duties")</f>
        <v>19301000</v>
      </c>
      <c r="AV23" s="101" t="s">
        <v>487</v>
      </c>
      <c r="AW23" s="94">
        <f t="shared" si="55"/>
        <v>19301000</v>
      </c>
      <c r="AX23" s="94">
        <f>SUMIFS('Federal Data'!AC2:AC501,'Federal Data'!$F2:$F501,"Customs Duties")</f>
        <v>18670000</v>
      </c>
      <c r="AY23" s="101" t="s">
        <v>487</v>
      </c>
      <c r="AZ23" s="94">
        <f t="shared" si="56"/>
        <v>18670000</v>
      </c>
      <c r="BA23" s="94">
        <f>SUMIFS('Federal Data'!AD2:AD501,'Federal Data'!$F2:$F501,"Customs Duties")</f>
        <v>17928000</v>
      </c>
      <c r="BB23" s="101" t="s">
        <v>487</v>
      </c>
      <c r="BC23" s="94">
        <f t="shared" si="57"/>
        <v>17928000</v>
      </c>
      <c r="BD23" s="94">
        <f>SUMIFS('Federal Data'!AE2:AE501,'Federal Data'!$F2:$F501,"Customs Duties")</f>
        <v>18297000</v>
      </c>
      <c r="BE23" s="101" t="s">
        <v>487</v>
      </c>
      <c r="BF23" s="94">
        <f t="shared" si="58"/>
        <v>18297000</v>
      </c>
      <c r="BG23" s="94">
        <f>SUMIFS('Federal Data'!AF2:AF501,'Federal Data'!$F2:$F501,"Customs Duties")</f>
        <v>18336000</v>
      </c>
      <c r="BH23" s="101" t="s">
        <v>487</v>
      </c>
      <c r="BI23" s="94">
        <f t="shared" si="59"/>
        <v>18336000</v>
      </c>
      <c r="BJ23" s="94">
        <f>SUMIFS('Federal Data'!AG2:AG501,'Federal Data'!$F2:$F501,"Customs Duties")</f>
        <v>19914000</v>
      </c>
      <c r="BK23" s="101" t="s">
        <v>487</v>
      </c>
      <c r="BL23" s="94">
        <f t="shared" si="60"/>
        <v>19914000</v>
      </c>
      <c r="BM23" s="94">
        <f>SUMIFS('Federal Data'!AH2:AH501,'Federal Data'!$F2:$F501,"Customs Duties")</f>
        <v>19369000</v>
      </c>
      <c r="BN23" s="101" t="s">
        <v>487</v>
      </c>
      <c r="BO23" s="94">
        <f t="shared" si="61"/>
        <v>19369000</v>
      </c>
      <c r="BP23" s="94">
        <f>SUMIFS('Federal Data'!AI2:AI501,'Federal Data'!$F2:$F501,"Customs Duties")</f>
        <v>18602000</v>
      </c>
      <c r="BQ23" s="101" t="s">
        <v>487</v>
      </c>
      <c r="BR23" s="94">
        <f t="shared" si="62"/>
        <v>18602000</v>
      </c>
      <c r="BS23" s="94">
        <f>SUMIFS('Federal Data'!AJ2:AJ501,'Federal Data'!$F2:$F501,"Customs Duties")</f>
        <v>19862000</v>
      </c>
      <c r="BT23" s="101" t="s">
        <v>487</v>
      </c>
      <c r="BU23" s="94">
        <f t="shared" si="63"/>
        <v>19862000</v>
      </c>
      <c r="BV23" s="94">
        <f>SUMIFS('Federal Data'!AK2:AK501,'Federal Data'!$F2:$F501,"Customs Duties")</f>
        <v>21083000</v>
      </c>
      <c r="BW23" s="101" t="s">
        <v>487</v>
      </c>
      <c r="BX23" s="94">
        <f t="shared" si="64"/>
        <v>21083000</v>
      </c>
      <c r="BY23" s="94">
        <f>SUMIFS('Federal Data'!AL2:AL501,'Federal Data'!$F2:$F501,"Customs Duties")</f>
        <v>23379000</v>
      </c>
      <c r="BZ23" s="101" t="s">
        <v>487</v>
      </c>
      <c r="CA23" s="94">
        <f t="shared" si="65"/>
        <v>23379000</v>
      </c>
      <c r="CB23" s="94">
        <f>SUMIFS('Federal Data'!AM2:AM501,'Federal Data'!$F2:$F501,"Customs Duties")</f>
        <v>24810000</v>
      </c>
      <c r="CC23" s="101" t="s">
        <v>487</v>
      </c>
      <c r="CD23" s="94">
        <f t="shared" si="66"/>
        <v>24810000</v>
      </c>
      <c r="CE23" s="94">
        <f>SUMIFS('Federal Data'!AN2:AN501,'Federal Data'!$F2:$F501,"Customs Duties")</f>
        <v>26010000</v>
      </c>
      <c r="CF23" s="101" t="s">
        <v>487</v>
      </c>
      <c r="CG23" s="94">
        <f t="shared" si="67"/>
        <v>26010000</v>
      </c>
      <c r="CH23" s="94">
        <f>SUMIFS('Federal Data'!AO2:AO501,'Federal Data'!$F2:$F501,"Customs Duties")</f>
        <v>27568000</v>
      </c>
      <c r="CI23" s="101" t="s">
        <v>487</v>
      </c>
      <c r="CJ23" s="94">
        <f t="shared" si="68"/>
        <v>27568000</v>
      </c>
      <c r="CK23" s="94">
        <f>SUMIFS('Federal Data'!AP2:AP501,'Federal Data'!$F2:$F501,"Customs Duties")</f>
        <v>22453000</v>
      </c>
      <c r="CL23" s="101" t="s">
        <v>487</v>
      </c>
      <c r="CM23" s="94">
        <f t="shared" si="69"/>
        <v>22453000</v>
      </c>
      <c r="CN23" s="94">
        <f>SUMIFS('Federal Data'!AQ2:AQ501,'Federal Data'!$F2:$F501,"Customs Duties")</f>
        <v>25298000</v>
      </c>
      <c r="CO23" s="101" t="s">
        <v>487</v>
      </c>
      <c r="CP23" s="94">
        <f t="shared" si="70"/>
        <v>25298000</v>
      </c>
      <c r="CQ23" s="94">
        <f>SUMIFS('Federal Data'!AR2:AR501,'Federal Data'!$F2:$F501,"Customs Duties")</f>
        <v>29519000</v>
      </c>
      <c r="CR23" s="101" t="s">
        <v>487</v>
      </c>
      <c r="CS23" s="94">
        <f t="shared" si="71"/>
        <v>29519000</v>
      </c>
      <c r="CT23" s="94">
        <f>SUMIFS('Federal Data'!AS2:AS501,'Federal Data'!$F2:$F501,"Customs Duties")</f>
        <v>30307000</v>
      </c>
      <c r="CU23" s="101" t="s">
        <v>487</v>
      </c>
      <c r="CV23" s="94">
        <f t="shared" si="72"/>
        <v>30307000</v>
      </c>
      <c r="CW23" s="94">
        <f>SUMIFS('Federal Data'!AT2:AT501,'Federal Data'!$F2:$F501,"Customs Duties")</f>
        <v>31815000</v>
      </c>
      <c r="CX23" s="101" t="s">
        <v>487</v>
      </c>
      <c r="CY23" s="94">
        <f t="shared" si="73"/>
        <v>31815000</v>
      </c>
      <c r="CZ23" s="94">
        <f>SUMIFS('Federal Data'!AU2:AU501,'Federal Data'!$F2:$F501,"Customs Duties")</f>
        <v>33926000</v>
      </c>
      <c r="DA23" s="101" t="s">
        <v>487</v>
      </c>
      <c r="DB23" s="94">
        <f t="shared" si="74"/>
        <v>33926000</v>
      </c>
      <c r="DC23" s="37">
        <f>SUMIFS('Federal Data'!AV2:AV501,'Federal Data'!$F2:$F501,"Customs Duties")</f>
        <v>35041000</v>
      </c>
      <c r="DD23" s="85" t="s">
        <v>487</v>
      </c>
      <c r="DE23" s="37">
        <f t="shared" si="75"/>
        <v>35041000</v>
      </c>
    </row>
    <row r="24" spans="1:109" outlineLevel="1">
      <c r="A24" s="27" t="s">
        <v>11</v>
      </c>
      <c r="B24" s="101" t="s">
        <v>487</v>
      </c>
      <c r="C24" s="101">
        <f>'State and Local P&amp;L (detailed)'!$C$19</f>
        <v>9078807</v>
      </c>
      <c r="D24" s="94">
        <f t="shared" si="40"/>
        <v>9078807</v>
      </c>
      <c r="E24" s="101" t="s">
        <v>487</v>
      </c>
      <c r="F24" s="101">
        <f>'State and Local P&amp;L (detailed)'!$D$19</f>
        <v>9904838</v>
      </c>
      <c r="G24" s="94">
        <f t="shared" si="41"/>
        <v>9904838</v>
      </c>
      <c r="H24" s="101" t="s">
        <v>487</v>
      </c>
      <c r="I24" s="101">
        <f>'State and Local P&amp;L (detailed)'!$E$19</f>
        <v>10530741</v>
      </c>
      <c r="J24" s="94">
        <f t="shared" si="42"/>
        <v>10530741</v>
      </c>
      <c r="K24" s="101" t="s">
        <v>487</v>
      </c>
      <c r="L24" s="101">
        <f>'State and Local P&amp;L (detailed)'!$F$19</f>
        <v>11117117</v>
      </c>
      <c r="M24" s="94">
        <f t="shared" si="43"/>
        <v>11117117</v>
      </c>
      <c r="N24" s="101" t="s">
        <v>487</v>
      </c>
      <c r="O24" s="101">
        <f>'State and Local P&amp;L (detailed)'!$G$19</f>
        <v>12402129</v>
      </c>
      <c r="P24" s="94">
        <f t="shared" si="44"/>
        <v>12402129</v>
      </c>
      <c r="Q24" s="101" t="s">
        <v>487</v>
      </c>
      <c r="R24" s="101">
        <f>'State and Local P&amp;L (detailed)'!$H$19</f>
        <v>14326555</v>
      </c>
      <c r="S24" s="94">
        <f t="shared" si="45"/>
        <v>14326555</v>
      </c>
      <c r="T24" s="101" t="s">
        <v>487</v>
      </c>
      <c r="U24" s="101">
        <f>'State and Local P&amp;L (detailed)'!$I$19</f>
        <v>15494400</v>
      </c>
      <c r="V24" s="94">
        <f t="shared" si="46"/>
        <v>15494400</v>
      </c>
      <c r="W24" s="101" t="s">
        <v>487</v>
      </c>
      <c r="X24" s="101">
        <f>'State and Local P&amp;L (detailed)'!$J$19</f>
        <v>16596116</v>
      </c>
      <c r="Y24" s="94">
        <f t="shared" si="47"/>
        <v>16596116</v>
      </c>
      <c r="Z24" s="101" t="s">
        <v>487</v>
      </c>
      <c r="AA24" s="101">
        <f>'State and Local P&amp;L (detailed)'!$K$19</f>
        <v>17673687</v>
      </c>
      <c r="AB24" s="94">
        <f t="shared" si="48"/>
        <v>17673687</v>
      </c>
      <c r="AC24" s="101" t="s">
        <v>487</v>
      </c>
      <c r="AD24" s="101">
        <f>'State and Local P&amp;L (detailed)'!$L$19</f>
        <v>18415462</v>
      </c>
      <c r="AE24" s="94">
        <f t="shared" si="49"/>
        <v>18415462</v>
      </c>
      <c r="AF24" s="101" t="s">
        <v>487</v>
      </c>
      <c r="AG24" s="101">
        <f>'State and Local P&amp;L (detailed)'!$M$19</f>
        <v>19634702</v>
      </c>
      <c r="AH24" s="94">
        <f t="shared" si="50"/>
        <v>19634702</v>
      </c>
      <c r="AI24" s="101" t="s">
        <v>487</v>
      </c>
      <c r="AJ24" s="101">
        <f>'State and Local P&amp;L (detailed)'!$N$19</f>
        <v>20225962</v>
      </c>
      <c r="AK24" s="94">
        <f t="shared" si="51"/>
        <v>20225962</v>
      </c>
      <c r="AL24" s="101" t="s">
        <v>487</v>
      </c>
      <c r="AM24" s="101">
        <f>'State and Local P&amp;L (detailed)'!$O$19</f>
        <v>22466000</v>
      </c>
      <c r="AN24" s="94">
        <f t="shared" si="52"/>
        <v>22466000</v>
      </c>
      <c r="AO24" s="101" t="s">
        <v>487</v>
      </c>
      <c r="AP24" s="101">
        <f>'State and Local P&amp;L (detailed)'!$P$19</f>
        <v>24182294</v>
      </c>
      <c r="AQ24" s="94">
        <f t="shared" si="53"/>
        <v>24182294</v>
      </c>
      <c r="AR24" s="101" t="s">
        <v>487</v>
      </c>
      <c r="AS24" s="101">
        <f>'State and Local P&amp;L (detailed)'!$Q$19</f>
        <v>25047834</v>
      </c>
      <c r="AT24" s="94">
        <f t="shared" si="54"/>
        <v>25047834</v>
      </c>
      <c r="AU24" s="101" t="s">
        <v>487</v>
      </c>
      <c r="AV24" s="101">
        <f>'State and Local P&amp;L (detailed)'!$R$19</f>
        <v>27210725</v>
      </c>
      <c r="AW24" s="94">
        <f t="shared" si="55"/>
        <v>27210725</v>
      </c>
      <c r="AX24" s="101" t="s">
        <v>487</v>
      </c>
      <c r="AY24" s="101">
        <f>'State and Local P&amp;L (detailed)'!$S$19</f>
        <v>28333996</v>
      </c>
      <c r="AZ24" s="94">
        <f t="shared" si="56"/>
        <v>28333996</v>
      </c>
      <c r="BA24" s="101" t="s">
        <v>487</v>
      </c>
      <c r="BB24" s="101">
        <f>'State and Local P&amp;L (detailed)'!$T$19</f>
        <v>29293738</v>
      </c>
      <c r="BC24" s="94">
        <f t="shared" si="57"/>
        <v>29293738</v>
      </c>
      <c r="BD24" s="101" t="s">
        <v>487</v>
      </c>
      <c r="BE24" s="101">
        <f>'State and Local P&amp;L (detailed)'!$U$19</f>
        <v>30906539</v>
      </c>
      <c r="BF24" s="94">
        <f t="shared" si="58"/>
        <v>30906539</v>
      </c>
      <c r="BG24" s="101" t="s">
        <v>487</v>
      </c>
      <c r="BH24" s="101">
        <f>'State and Local P&amp;L (detailed)'!$V$19</f>
        <v>31727532</v>
      </c>
      <c r="BI24" s="94">
        <f t="shared" si="59"/>
        <v>31727532</v>
      </c>
      <c r="BJ24" s="101" t="s">
        <v>487</v>
      </c>
      <c r="BK24" s="101">
        <f>'State and Local P&amp;L (detailed)'!$W$19</f>
        <v>33927319</v>
      </c>
      <c r="BL24" s="94">
        <f t="shared" si="60"/>
        <v>33927319</v>
      </c>
      <c r="BM24" s="101" t="s">
        <v>487</v>
      </c>
      <c r="BN24" s="101">
        <f>'State and Local P&amp;L (detailed)'!$X$19</f>
        <v>34197890</v>
      </c>
      <c r="BO24" s="94">
        <f t="shared" si="61"/>
        <v>34197890</v>
      </c>
      <c r="BP24" s="101" t="s">
        <v>487</v>
      </c>
      <c r="BQ24" s="101">
        <f>'State and Local P&amp;L (detailed)'!$Y$19</f>
        <v>36716191</v>
      </c>
      <c r="BR24" s="94">
        <f t="shared" si="62"/>
        <v>36716191</v>
      </c>
      <c r="BS24" s="101" t="s">
        <v>487</v>
      </c>
      <c r="BT24" s="101">
        <f>'State and Local P&amp;L (detailed)'!$Z$19</f>
        <v>37269481</v>
      </c>
      <c r="BU24" s="94">
        <f t="shared" si="63"/>
        <v>37269481</v>
      </c>
      <c r="BV24" s="101" t="s">
        <v>487</v>
      </c>
      <c r="BW24" s="101">
        <f>'State and Local P&amp;L (detailed)'!$AA$19</f>
        <v>41255979</v>
      </c>
      <c r="BX24" s="94">
        <f t="shared" si="64"/>
        <v>41255979</v>
      </c>
      <c r="BY24" s="101" t="s">
        <v>487</v>
      </c>
      <c r="BZ24" s="101">
        <f>'State and Local P&amp;L (detailed)'!$AB$19</f>
        <v>56809940</v>
      </c>
      <c r="CA24" s="94">
        <f t="shared" si="65"/>
        <v>56809940</v>
      </c>
      <c r="CB24" s="101" t="s">
        <v>487</v>
      </c>
      <c r="CC24" s="101">
        <f>'State and Local P&amp;L (detailed)'!$AC$19</f>
        <v>61403130</v>
      </c>
      <c r="CD24" s="94">
        <f t="shared" si="66"/>
        <v>61403130</v>
      </c>
      <c r="CE24" s="101" t="s">
        <v>487</v>
      </c>
      <c r="CF24" s="101">
        <f>'State and Local P&amp;L (detailed)'!$AD$19</f>
        <v>63744902</v>
      </c>
      <c r="CG24" s="94">
        <f t="shared" si="67"/>
        <v>63744902</v>
      </c>
      <c r="CH24" s="101" t="s">
        <v>487</v>
      </c>
      <c r="CI24" s="101">
        <f>'State and Local P&amp;L (detailed)'!$AE$19</f>
        <v>65978268</v>
      </c>
      <c r="CJ24" s="94">
        <f t="shared" si="68"/>
        <v>65978268</v>
      </c>
      <c r="CK24" s="101" t="s">
        <v>487</v>
      </c>
      <c r="CL24" s="101">
        <f>'State and Local P&amp;L (detailed)'!$AF$19</f>
        <v>64356905</v>
      </c>
      <c r="CM24" s="94">
        <f t="shared" si="69"/>
        <v>64356905</v>
      </c>
      <c r="CN24" s="101" t="s">
        <v>487</v>
      </c>
      <c r="CO24" s="101">
        <f>'State and Local P&amp;L (detailed)'!$AG$19</f>
        <v>64614156</v>
      </c>
      <c r="CP24" s="94">
        <f t="shared" si="70"/>
        <v>64614156</v>
      </c>
      <c r="CQ24" s="101" t="s">
        <v>487</v>
      </c>
      <c r="CR24" s="101">
        <f>'State and Local P&amp;L (detailed)'!$AH$19</f>
        <v>66317275</v>
      </c>
      <c r="CS24" s="94">
        <f t="shared" si="71"/>
        <v>66317275</v>
      </c>
      <c r="CT24" s="101" t="s">
        <v>487</v>
      </c>
      <c r="CU24" s="101">
        <f>'State and Local P&amp;L (detailed)'!$AI$19</f>
        <v>69701116</v>
      </c>
      <c r="CV24" s="94">
        <f t="shared" si="72"/>
        <v>69701116</v>
      </c>
      <c r="CW24" s="101" t="s">
        <v>487</v>
      </c>
      <c r="CX24" s="101">
        <f>'State and Local P&amp;L (detailed)'!$AJ$19</f>
        <v>71371532</v>
      </c>
      <c r="CY24" s="94">
        <f t="shared" si="73"/>
        <v>71371532</v>
      </c>
      <c r="CZ24" s="101" t="s">
        <v>487</v>
      </c>
      <c r="DA24" s="101">
        <f>'State and Local P&amp;L (detailed)'!$AK$19</f>
        <v>68015921</v>
      </c>
      <c r="DB24" s="94">
        <f t="shared" si="74"/>
        <v>68015921</v>
      </c>
      <c r="DC24" s="85" t="s">
        <v>487</v>
      </c>
      <c r="DD24" s="85">
        <f>'State and Local P&amp;L (detailed)'!$AL$19</f>
        <v>0</v>
      </c>
      <c r="DE24" s="37">
        <f t="shared" si="75"/>
        <v>0</v>
      </c>
    </row>
    <row r="25" spans="1:109" outlineLevel="1">
      <c r="A25" s="40" t="s">
        <v>12</v>
      </c>
      <c r="B25" s="95">
        <f>SUMIFS('Federal Data'!M2:M501,'Federal Data'!$F2:$F501,"Other Taxes")</f>
        <v>0</v>
      </c>
      <c r="C25" s="99">
        <f>'State and Local P&amp;L (detailed)'!$C$20</f>
        <v>5642519</v>
      </c>
      <c r="D25" s="95">
        <f t="shared" si="40"/>
        <v>5642519</v>
      </c>
      <c r="E25" s="95">
        <f>SUMIFS('Federal Data'!N2:N501,'Federal Data'!$F2:$F501,"Other Taxes")</f>
        <v>0</v>
      </c>
      <c r="F25" s="99">
        <f>'State and Local P&amp;L (detailed)'!$D$20</f>
        <v>5843830</v>
      </c>
      <c r="G25" s="95">
        <f t="shared" si="41"/>
        <v>5843830</v>
      </c>
      <c r="H25" s="95">
        <f>SUMIFS('Federal Data'!O2:O501,'Federal Data'!$F2:$F501,"Other Taxes")</f>
        <v>0</v>
      </c>
      <c r="I25" s="99">
        <f>'State and Local P&amp;L (detailed)'!$E$20</f>
        <v>5831561</v>
      </c>
      <c r="J25" s="95">
        <f t="shared" si="42"/>
        <v>5831561</v>
      </c>
      <c r="K25" s="95">
        <f>SUMIFS('Federal Data'!P2:P501,'Federal Data'!$F2:$F501,"Other Taxes")</f>
        <v>0</v>
      </c>
      <c r="L25" s="99">
        <f>'State and Local P&amp;L (detailed)'!$F$20</f>
        <v>6255641</v>
      </c>
      <c r="M25" s="95">
        <f t="shared" si="43"/>
        <v>6255641</v>
      </c>
      <c r="N25" s="95">
        <f>SUMIFS('Federal Data'!Q2:Q501,'Federal Data'!$F2:$F501,"Other Taxes")</f>
        <v>216322</v>
      </c>
      <c r="O25" s="99">
        <f>'State and Local P&amp;L (detailed)'!$G$20</f>
        <v>7981102</v>
      </c>
      <c r="P25" s="95">
        <f t="shared" si="44"/>
        <v>8197424</v>
      </c>
      <c r="Q25" s="95">
        <f>SUMIFS('Federal Data'!R2:R501,'Federal Data'!$F2:$F501,"Other Taxes")</f>
        <v>314880</v>
      </c>
      <c r="R25" s="99">
        <f>'State and Local P&amp;L (detailed)'!$H$20</f>
        <v>8965917</v>
      </c>
      <c r="S25" s="95">
        <f t="shared" si="45"/>
        <v>9280797</v>
      </c>
      <c r="T25" s="95">
        <f>SUMIFS('Federal Data'!S2:S501,'Federal Data'!$F2:$F501,"Other Taxes")</f>
        <v>281619</v>
      </c>
      <c r="U25" s="99">
        <f>'State and Local P&amp;L (detailed)'!$I$20</f>
        <v>10013988</v>
      </c>
      <c r="V25" s="95">
        <f t="shared" si="46"/>
        <v>10295607</v>
      </c>
      <c r="W25" s="95">
        <f>SUMIFS('Federal Data'!T2:T501,'Federal Data'!$F2:$F501,"Other Taxes")</f>
        <v>375745</v>
      </c>
      <c r="X25" s="99">
        <f>'State and Local P&amp;L (detailed)'!$J$20</f>
        <v>11845824</v>
      </c>
      <c r="Y25" s="95">
        <f t="shared" si="47"/>
        <v>12221569</v>
      </c>
      <c r="Z25" s="95">
        <f>SUMIFS('Federal Data'!U2:U501,'Federal Data'!$F2:$F501,"Other Taxes")</f>
        <v>486136</v>
      </c>
      <c r="AA25" s="99">
        <f>'State and Local P&amp;L (detailed)'!$K$20</f>
        <v>12342251</v>
      </c>
      <c r="AB25" s="95">
        <f t="shared" si="48"/>
        <v>12828387</v>
      </c>
      <c r="AC25" s="95">
        <f>SUMIFS('Federal Data'!V2:V501,'Federal Data'!$F2:$F501,"Other Taxes")</f>
        <v>631274</v>
      </c>
      <c r="AD25" s="99">
        <f>'State and Local P&amp;L (detailed)'!$L$20</f>
        <v>12628300</v>
      </c>
      <c r="AE25" s="95">
        <f t="shared" si="49"/>
        <v>13259574</v>
      </c>
      <c r="AF25" s="95">
        <f>SUMIFS('Federal Data'!W2:W501,'Federal Data'!$F2:$F501,"Other Taxes")</f>
        <v>765055</v>
      </c>
      <c r="AG25" s="99">
        <f>'State and Local P&amp;L (detailed)'!$M$20</f>
        <v>13168515</v>
      </c>
      <c r="AH25" s="95">
        <f t="shared" si="50"/>
        <v>13933570</v>
      </c>
      <c r="AI25" s="95">
        <f>SUMIFS('Federal Data'!X2:X501,'Federal Data'!$F2:$F501,"Other Taxes")</f>
        <v>941965</v>
      </c>
      <c r="AJ25" s="99">
        <f>'State and Local P&amp;L (detailed)'!$N$20</f>
        <v>12618891</v>
      </c>
      <c r="AK25" s="95">
        <f t="shared" si="51"/>
        <v>13560856</v>
      </c>
      <c r="AL25" s="95">
        <f>SUMIFS('Federal Data'!Y2:Y501,'Federal Data'!$F2:$F501,"Other Taxes")</f>
        <v>946932</v>
      </c>
      <c r="AM25" s="99">
        <f>'State and Local P&amp;L (detailed)'!$O$20</f>
        <v>13246762</v>
      </c>
      <c r="AN25" s="95">
        <f t="shared" si="52"/>
        <v>14193694</v>
      </c>
      <c r="AO25" s="95">
        <f>SUMIFS('Federal Data'!Z2:Z501,'Federal Data'!$F2:$F501,"Other Taxes")</f>
        <v>996543</v>
      </c>
      <c r="AP25" s="99">
        <f>'State and Local P&amp;L (detailed)'!$P$20</f>
        <v>14130988</v>
      </c>
      <c r="AQ25" s="95">
        <f t="shared" si="53"/>
        <v>15127531</v>
      </c>
      <c r="AR25" s="95">
        <f>SUMIFS('Federal Data'!AA2:AA501,'Federal Data'!$F2:$F501,"Other Taxes")</f>
        <v>1053152</v>
      </c>
      <c r="AS25" s="99">
        <f>'State and Local P&amp;L (detailed)'!$Q$20</f>
        <v>16219822</v>
      </c>
      <c r="AT25" s="95">
        <f t="shared" si="54"/>
        <v>17272974</v>
      </c>
      <c r="AU25" s="95">
        <f>SUMIFS('Federal Data'!AB2:AB501,'Federal Data'!$F2:$F501,"Other Taxes")</f>
        <v>1055000</v>
      </c>
      <c r="AV25" s="99">
        <f>'State and Local P&amp;L (detailed)'!$R$20</f>
        <v>17026953</v>
      </c>
      <c r="AW25" s="95">
        <f t="shared" si="55"/>
        <v>18081953</v>
      </c>
      <c r="AX25" s="95">
        <f>SUMIFS('Federal Data'!AC2:AC501,'Federal Data'!$F2:$F501,"Other Taxes")</f>
        <v>1054000</v>
      </c>
      <c r="AY25" s="99">
        <f>'State and Local P&amp;L (detailed)'!$S$20</f>
        <v>17073747</v>
      </c>
      <c r="AZ25" s="95">
        <f t="shared" si="56"/>
        <v>18127747</v>
      </c>
      <c r="BA25" s="95">
        <f>SUMIFS('Federal Data'!AD2:AD501,'Federal Data'!$F2:$F501,"Other Taxes")</f>
        <v>1142000</v>
      </c>
      <c r="BB25" s="99">
        <f>'State and Local P&amp;L (detailed)'!$T$20</f>
        <v>18545161</v>
      </c>
      <c r="BC25" s="95">
        <f t="shared" si="57"/>
        <v>19687161</v>
      </c>
      <c r="BD25" s="95">
        <f>SUMIFS('Federal Data'!AE2:AE501,'Federal Data'!$F2:$F501,"Other Taxes")</f>
        <v>2871000</v>
      </c>
      <c r="BE25" s="99">
        <f>'State and Local P&amp;L (detailed)'!$U$20</f>
        <v>20622196</v>
      </c>
      <c r="BF25" s="95">
        <f t="shared" si="58"/>
        <v>23493196</v>
      </c>
      <c r="BG25" s="95">
        <f>SUMIFS('Federal Data'!AF2:AF501,'Federal Data'!$F2:$F501,"Other Taxes")</f>
        <v>3848000</v>
      </c>
      <c r="BH25" s="99">
        <f>'State and Local P&amp;L (detailed)'!$V$20</f>
        <v>22691303</v>
      </c>
      <c r="BI25" s="95">
        <f t="shared" si="59"/>
        <v>26539303</v>
      </c>
      <c r="BJ25" s="95">
        <f>SUMIFS('Federal Data'!AG2:AG501,'Federal Data'!$F2:$F501,"Other Taxes")</f>
        <v>4637000</v>
      </c>
      <c r="BK25" s="99">
        <f>'State and Local P&amp;L (detailed)'!$W$20</f>
        <v>23650054</v>
      </c>
      <c r="BL25" s="95">
        <f t="shared" si="60"/>
        <v>28287054</v>
      </c>
      <c r="BM25" s="95">
        <f>SUMIFS('Federal Data'!AH2:AH501,'Federal Data'!$F2:$F501,"Other Taxes")</f>
        <v>5376000</v>
      </c>
      <c r="BN25" s="99">
        <f>'State and Local P&amp;L (detailed)'!$X$20</f>
        <v>24358887</v>
      </c>
      <c r="BO25" s="95">
        <f t="shared" si="61"/>
        <v>29734887</v>
      </c>
      <c r="BP25" s="95">
        <f>SUMIFS('Federal Data'!AI2:AI501,'Federal Data'!$F2:$F501,"Other Taxes")</f>
        <v>5505000</v>
      </c>
      <c r="BQ25" s="99">
        <f>'State and Local P&amp;L (detailed)'!$Y$20</f>
        <v>27121638</v>
      </c>
      <c r="BR25" s="95">
        <f t="shared" si="62"/>
        <v>32626638</v>
      </c>
      <c r="BS25" s="95">
        <f>SUMIFS('Federal Data'!AJ2:AJ501,'Federal Data'!$F2:$F501,"Other Taxes")</f>
        <v>5798000</v>
      </c>
      <c r="BT25" s="99">
        <f>'State and Local P&amp;L (detailed)'!$Z$20</f>
        <v>30227868</v>
      </c>
      <c r="BU25" s="95">
        <f t="shared" si="63"/>
        <v>36025868</v>
      </c>
      <c r="BV25" s="95">
        <f>SUMIFS('Federal Data'!AK2:AK501,'Federal Data'!$F2:$F501,"Other Taxes")</f>
        <v>6635000</v>
      </c>
      <c r="BW25" s="99">
        <f>'State and Local P&amp;L (detailed)'!$AA$20</f>
        <v>35581371</v>
      </c>
      <c r="BX25" s="95">
        <f t="shared" si="64"/>
        <v>42216371</v>
      </c>
      <c r="BY25" s="95">
        <f>SUMIFS('Federal Data'!AL2:AL501,'Federal Data'!$F2:$F501,"Other Taxes")</f>
        <v>7342000</v>
      </c>
      <c r="BZ25" s="99">
        <f>'State and Local P&amp;L (detailed)'!$AB$20</f>
        <v>28865327</v>
      </c>
      <c r="CA25" s="95">
        <f t="shared" si="65"/>
        <v>36207327</v>
      </c>
      <c r="CB25" s="95">
        <f>SUMIFS('Federal Data'!AM2:AM501,'Federal Data'!$F2:$F501,"Other Taxes")</f>
        <v>7722000</v>
      </c>
      <c r="CC25" s="99">
        <f>'State and Local P&amp;L (detailed)'!$AC$20</f>
        <v>31536985</v>
      </c>
      <c r="CD25" s="95">
        <f t="shared" si="66"/>
        <v>39258985</v>
      </c>
      <c r="CE25" s="95">
        <f>SUMIFS('Federal Data'!AN2:AN501,'Federal Data'!$F2:$F501,"Other Taxes")</f>
        <v>7606000</v>
      </c>
      <c r="CF25" s="99">
        <f>'State and Local P&amp;L (detailed)'!$AD$20</f>
        <v>30157804</v>
      </c>
      <c r="CG25" s="95">
        <f t="shared" si="67"/>
        <v>37763804</v>
      </c>
      <c r="CH25" s="95">
        <f>SUMIFS('Federal Data'!AO2:AO501,'Federal Data'!$F2:$F501,"Other Taxes")</f>
        <v>8495000</v>
      </c>
      <c r="CI25" s="99">
        <f>'State and Local P&amp;L (detailed)'!$AE$20</f>
        <v>26235078</v>
      </c>
      <c r="CJ25" s="95">
        <f t="shared" si="68"/>
        <v>34730078</v>
      </c>
      <c r="CK25" s="95">
        <f>SUMIFS('Federal Data'!AP2:AP501,'Federal Data'!$F2:$F501,"Other Taxes")</f>
        <v>8401000</v>
      </c>
      <c r="CL25" s="99">
        <f>'State and Local P&amp;L (detailed)'!$AF$20</f>
        <v>20059437</v>
      </c>
      <c r="CM25" s="95">
        <f t="shared" si="69"/>
        <v>28460437</v>
      </c>
      <c r="CN25" s="95">
        <f>SUMIFS('Federal Data'!AQ2:AQ501,'Federal Data'!$F2:$F501,"Other Taxes")</f>
        <v>9049000</v>
      </c>
      <c r="CO25" s="99">
        <f>'State and Local P&amp;L (detailed)'!$AG$20</f>
        <v>20464224</v>
      </c>
      <c r="CP25" s="95">
        <f t="shared" si="70"/>
        <v>29513224</v>
      </c>
      <c r="CQ25" s="95">
        <f>SUMIFS('Federal Data'!AR2:AR501,'Federal Data'!$F2:$F501,"Other Taxes")</f>
        <v>8822000</v>
      </c>
      <c r="CR25" s="99">
        <f>'State and Local P&amp;L (detailed)'!$AH$20</f>
        <v>21711733</v>
      </c>
      <c r="CS25" s="95">
        <f t="shared" si="71"/>
        <v>30533733</v>
      </c>
      <c r="CT25" s="95">
        <f>SUMIFS('Federal Data'!AS2:AS501,'Federal Data'!$F2:$F501,"Other Taxes")</f>
        <v>10121000</v>
      </c>
      <c r="CU25" s="99">
        <f>'State and Local P&amp;L (detailed)'!$AI$20</f>
        <v>23494522</v>
      </c>
      <c r="CV25" s="95">
        <f t="shared" si="72"/>
        <v>33615522</v>
      </c>
      <c r="CW25" s="95">
        <f>SUMIFS('Federal Data'!AT2:AT501,'Federal Data'!$F2:$F501,"Other Taxes")</f>
        <v>10063000</v>
      </c>
      <c r="CX25" s="99">
        <f>'State and Local P&amp;L (detailed)'!$AJ$20</f>
        <v>25732848</v>
      </c>
      <c r="CY25" s="95">
        <f t="shared" si="73"/>
        <v>35795848</v>
      </c>
      <c r="CZ25" s="95">
        <f>SUMIFS('Federal Data'!AU2:AU501,'Federal Data'!$F2:$F501,"Other Taxes")</f>
        <v>9949000</v>
      </c>
      <c r="DA25" s="99">
        <f>'State and Local P&amp;L (detailed)'!$AK$20</f>
        <v>28246512</v>
      </c>
      <c r="DB25" s="95">
        <f t="shared" si="74"/>
        <v>38195512</v>
      </c>
      <c r="DC25" s="41">
        <f>SUMIFS('Federal Data'!AV2:AV501,'Federal Data'!$F2:$F501,"Other Taxes")</f>
        <v>9646000</v>
      </c>
      <c r="DD25" s="81">
        <f>'State and Local P&amp;L (detailed)'!$AL$20</f>
        <v>0</v>
      </c>
      <c r="DE25" s="41">
        <f t="shared" si="75"/>
        <v>9646000</v>
      </c>
    </row>
    <row r="26" spans="1:109">
      <c r="A26" s="43" t="s">
        <v>2</v>
      </c>
      <c r="B26" s="97">
        <f>SUMIFS('Federal Data'!M2:M501,'Federal Data'!$E2:$E501,"Non-Tax Revenues")</f>
        <v>16848640</v>
      </c>
      <c r="C26" s="102">
        <f>'State and Local P&amp;L (detailed)'!$C$21</f>
        <v>107829812</v>
      </c>
      <c r="D26" s="97">
        <f t="shared" si="40"/>
        <v>124678452</v>
      </c>
      <c r="E26" s="97">
        <f>SUMIFS('Federal Data'!N2:N501,'Federal Data'!$E2:$E501,"Non-Tax Revenues")</f>
        <v>23927559</v>
      </c>
      <c r="F26" s="102">
        <f>'State and Local P&amp;L (detailed)'!$D$21</f>
        <v>121472741</v>
      </c>
      <c r="G26" s="97">
        <f t="shared" si="41"/>
        <v>145400300</v>
      </c>
      <c r="H26" s="97">
        <f>SUMIFS('Federal Data'!O2:O501,'Federal Data'!$E2:$E501,"Non-Tax Revenues")</f>
        <v>22410798</v>
      </c>
      <c r="I26" s="102">
        <f>'State and Local P&amp;L (detailed)'!$E$21</f>
        <v>124224815</v>
      </c>
      <c r="J26" s="97">
        <f t="shared" si="42"/>
        <v>146635613</v>
      </c>
      <c r="K26" s="97">
        <f>SUMIFS('Federal Data'!P2:P501,'Federal Data'!$E2:$E501,"Non-Tax Revenues")</f>
        <v>26092166</v>
      </c>
      <c r="L26" s="102">
        <f>'State and Local P&amp;L (detailed)'!$F$21</f>
        <v>135980128</v>
      </c>
      <c r="M26" s="97">
        <f t="shared" si="43"/>
        <v>162072294</v>
      </c>
      <c r="N26" s="97">
        <f>SUMIFS('Federal Data'!Q2:Q501,'Federal Data'!$E2:$E501,"Non-Tax Revenues")</f>
        <v>23488947</v>
      </c>
      <c r="O26" s="102">
        <f>'State and Local P&amp;L (detailed)'!$G$21</f>
        <v>150783858</v>
      </c>
      <c r="P26" s="97">
        <f t="shared" si="44"/>
        <v>174272805</v>
      </c>
      <c r="Q26" s="97">
        <f>SUMIFS('Federal Data'!R2:R501,'Federal Data'!$E2:$E501,"Non-Tax Revenues")</f>
        <v>23746390</v>
      </c>
      <c r="R26" s="102">
        <f>'State and Local P&amp;L (detailed)'!$H$21</f>
        <v>169196877</v>
      </c>
      <c r="S26" s="97">
        <f t="shared" si="45"/>
        <v>192943267</v>
      </c>
      <c r="T26" s="97">
        <f>SUMIFS('Federal Data'!S2:S501,'Federal Data'!$E2:$E501,"Non-Tax Revenues")</f>
        <v>24382725</v>
      </c>
      <c r="U26" s="102">
        <f>'State and Local P&amp;L (detailed)'!$I$21</f>
        <v>194327744</v>
      </c>
      <c r="V26" s="97">
        <f t="shared" si="46"/>
        <v>218710469</v>
      </c>
      <c r="W26" s="97">
        <f>SUMIFS('Federal Data'!T2:T501,'Federal Data'!$E2:$E501,"Non-Tax Revenues")</f>
        <v>24972135</v>
      </c>
      <c r="X26" s="102">
        <f>'State and Local P&amp;L (detailed)'!$J$21</f>
        <v>207772533</v>
      </c>
      <c r="Y26" s="97">
        <f t="shared" si="47"/>
        <v>232744668</v>
      </c>
      <c r="Z26" s="97">
        <f>SUMIFS('Federal Data'!U2:U501,'Federal Data'!$E2:$E501,"Non-Tax Revenues")</f>
        <v>23255966</v>
      </c>
      <c r="AA26" s="102">
        <f>'State and Local P&amp;L (detailed)'!$K$21</f>
        <v>195720232</v>
      </c>
      <c r="AB26" s="97">
        <f t="shared" si="48"/>
        <v>218976198</v>
      </c>
      <c r="AC26" s="97">
        <f>SUMIFS('Federal Data'!V2:V501,'Federal Data'!$E2:$E501,"Non-Tax Revenues")</f>
        <v>25540604</v>
      </c>
      <c r="AD26" s="102">
        <f>'State and Local P&amp;L (detailed)'!$L$21</f>
        <v>206456838</v>
      </c>
      <c r="AE26" s="97">
        <f t="shared" si="49"/>
        <v>231997442</v>
      </c>
      <c r="AF26" s="97">
        <f>SUMIFS('Federal Data'!W2:W501,'Federal Data'!$E2:$E501,"Non-Tax Revenues")</f>
        <v>30205545</v>
      </c>
      <c r="AG26" s="102">
        <f>'State and Local P&amp;L (detailed)'!$M$21</f>
        <v>231045675</v>
      </c>
      <c r="AH26" s="97">
        <f t="shared" si="50"/>
        <v>261251220</v>
      </c>
      <c r="AI26" s="97">
        <f>SUMIFS('Federal Data'!X2:X501,'Federal Data'!$E2:$E501,"Non-Tax Revenues")</f>
        <v>25778160</v>
      </c>
      <c r="AJ26" s="102">
        <f>'State and Local P&amp;L (detailed)'!$N$21</f>
        <v>241318653</v>
      </c>
      <c r="AK26" s="97">
        <f t="shared" si="51"/>
        <v>267096813</v>
      </c>
      <c r="AL26" s="97">
        <f>SUMIFS('Federal Data'!Y2:Y501,'Federal Data'!$E2:$E501,"Non-Tax Revenues")</f>
        <v>28765009</v>
      </c>
      <c r="AM26" s="102">
        <f>'State and Local P&amp;L (detailed)'!$O$21</f>
        <v>291951079</v>
      </c>
      <c r="AN26" s="97">
        <f t="shared" si="52"/>
        <v>320716088</v>
      </c>
      <c r="AO26" s="97">
        <f>SUMIFS('Federal Data'!Z2:Z501,'Federal Data'!$E2:$E501,"Non-Tax Revenues")</f>
        <v>21186995</v>
      </c>
      <c r="AP26" s="102">
        <f>'State and Local P&amp;L (detailed)'!$P$21</f>
        <v>319041678</v>
      </c>
      <c r="AQ26" s="97">
        <f t="shared" si="53"/>
        <v>340228673</v>
      </c>
      <c r="AR26" s="97">
        <f>SUMIFS('Federal Data'!AA2:AA501,'Federal Data'!$E2:$E501,"Non-Tax Revenues")</f>
        <v>25051582</v>
      </c>
      <c r="AS26" s="102">
        <f>'State and Local P&amp;L (detailed)'!$Q$21</f>
        <v>334805978</v>
      </c>
      <c r="AT26" s="97">
        <f t="shared" si="54"/>
        <v>359857560</v>
      </c>
      <c r="AU26" s="97">
        <f>SUMIFS('Federal Data'!AB2:AB501,'Federal Data'!$E2:$E501,"Non-Tax Revenues")</f>
        <v>37528000</v>
      </c>
      <c r="AV26" s="102">
        <f>'State and Local P&amp;L (detailed)'!$R$21</f>
        <v>357104915</v>
      </c>
      <c r="AW26" s="97">
        <f t="shared" si="55"/>
        <v>394632915</v>
      </c>
      <c r="AX26" s="97">
        <f>SUMIFS('Federal Data'!AC2:AC501,'Federal Data'!$E2:$E501,"Non-Tax Revenues")</f>
        <v>28554000</v>
      </c>
      <c r="AY26" s="102">
        <f>'State and Local P&amp;L (detailed)'!$S$21</f>
        <v>407870970</v>
      </c>
      <c r="AZ26" s="97">
        <f t="shared" si="56"/>
        <v>436424970</v>
      </c>
      <c r="BA26" s="97">
        <f>SUMIFS('Federal Data'!AD2:AD501,'Federal Data'!$E2:$E501,"Non-Tax Revenues")</f>
        <v>39980000</v>
      </c>
      <c r="BB26" s="102">
        <f>'State and Local P&amp;L (detailed)'!$T$21</f>
        <v>452822266</v>
      </c>
      <c r="BC26" s="97">
        <f t="shared" si="57"/>
        <v>492802266</v>
      </c>
      <c r="BD26" s="97">
        <f>SUMIFS('Federal Data'!AE2:AE501,'Federal Data'!$E2:$E501,"Non-Tax Revenues")</f>
        <v>42039000</v>
      </c>
      <c r="BE26" s="102">
        <f>'State and Local P&amp;L (detailed)'!$U$21</f>
        <v>508512152</v>
      </c>
      <c r="BF26" s="97">
        <f t="shared" si="58"/>
        <v>550551152</v>
      </c>
      <c r="BG26" s="97">
        <f>SUMIFS('Federal Data'!AF2:AF501,'Federal Data'!$E2:$E501,"Non-Tax Revenues")</f>
        <v>35930000</v>
      </c>
      <c r="BH26" s="102">
        <f>'State and Local P&amp;L (detailed)'!$V$21</f>
        <v>525267108</v>
      </c>
      <c r="BI26" s="97">
        <f t="shared" si="59"/>
        <v>561197108</v>
      </c>
      <c r="BJ26" s="97">
        <f>SUMIFS('Federal Data'!AG2:AG501,'Federal Data'!$E2:$E501,"Non-Tax Revenues")</f>
        <v>42892000</v>
      </c>
      <c r="BK26" s="102">
        <f>'State and Local P&amp;L (detailed)'!$W$21</f>
        <v>592253010</v>
      </c>
      <c r="BL26" s="97">
        <f t="shared" si="60"/>
        <v>635145010</v>
      </c>
      <c r="BM26" s="97">
        <f>SUMIFS('Federal Data'!AH2:AH501,'Federal Data'!$E2:$E501,"Non-Tax Revenues")</f>
        <v>40542000</v>
      </c>
      <c r="BN26" s="102">
        <f>'State and Local P&amp;L (detailed)'!$X$21</f>
        <v>459104654</v>
      </c>
      <c r="BO26" s="97">
        <f t="shared" si="61"/>
        <v>499646654</v>
      </c>
      <c r="BP26" s="97">
        <f>SUMIFS('Federal Data'!AI2:AI501,'Federal Data'!$E2:$E501,"Non-Tax Revenues")</f>
        <v>33409000</v>
      </c>
      <c r="BQ26" s="102">
        <f>'State and Local P&amp;L (detailed)'!$Y$21</f>
        <v>366049735</v>
      </c>
      <c r="BR26" s="97">
        <f t="shared" si="62"/>
        <v>399458735</v>
      </c>
      <c r="BS26" s="97">
        <f>SUMIFS('Federal Data'!AJ2:AJ501,'Federal Data'!$E2:$E501,"Non-Tax Revenues")</f>
        <v>33745000</v>
      </c>
      <c r="BT26" s="102">
        <f>'State and Local P&amp;L (detailed)'!$Z$21</f>
        <v>547160796</v>
      </c>
      <c r="BU26" s="97">
        <f t="shared" si="63"/>
        <v>580905796</v>
      </c>
      <c r="BV26" s="97">
        <f>SUMIFS('Federal Data'!AK2:AK501,'Federal Data'!$E2:$E501,"Non-Tax Revenues")</f>
        <v>31079000</v>
      </c>
      <c r="BW26" s="102">
        <f>'State and Local P&amp;L (detailed)'!$AA$21</f>
        <v>829565320</v>
      </c>
      <c r="BX26" s="97">
        <f t="shared" si="64"/>
        <v>860644320</v>
      </c>
      <c r="BY26" s="97">
        <f>SUMIFS('Federal Data'!AL2:AL501,'Federal Data'!$E2:$E501,"Non-Tax Revenues")</f>
        <v>31709000</v>
      </c>
      <c r="BZ26" s="102">
        <f>'State and Local P&amp;L (detailed)'!$AB$21</f>
        <v>801640925</v>
      </c>
      <c r="CA26" s="97">
        <f t="shared" si="65"/>
        <v>833349925</v>
      </c>
      <c r="CB26" s="97">
        <f>SUMIFS('Federal Data'!AM2:AM501,'Federal Data'!$E2:$E501,"Non-Tax Revenues")</f>
        <v>44249000</v>
      </c>
      <c r="CC26" s="102">
        <f>'State and Local P&amp;L (detailed)'!$AC$21</f>
        <v>848189232</v>
      </c>
      <c r="CD26" s="97">
        <f t="shared" si="66"/>
        <v>892438232</v>
      </c>
      <c r="CE26" s="97">
        <f>SUMIFS('Federal Data'!AN2:AN501,'Federal Data'!$E2:$E501,"Non-Tax Revenues")</f>
        <v>60397000</v>
      </c>
      <c r="CF26" s="102">
        <f>'State and Local P&amp;L (detailed)'!$AD$21</f>
        <v>1046689398</v>
      </c>
      <c r="CG26" s="97">
        <f t="shared" si="67"/>
        <v>1107086398</v>
      </c>
      <c r="CH26" s="97">
        <f>SUMIFS('Federal Data'!AO2:AO501,'Federal Data'!$E2:$E501,"Non-Tax Revenues")</f>
        <v>61566000</v>
      </c>
      <c r="CI26" s="102">
        <f>'State and Local P&amp;L (detailed)'!$AE$21</f>
        <v>520038603</v>
      </c>
      <c r="CJ26" s="97">
        <f t="shared" si="68"/>
        <v>581604603</v>
      </c>
      <c r="CK26" s="97">
        <f>SUMIFS('Federal Data'!AP2:AP501,'Federal Data'!$E2:$E501,"Non-Tax Revenues")</f>
        <v>65698000</v>
      </c>
      <c r="CL26" s="102">
        <f>'State and Local P&amp;L (detailed)'!$AF$21</f>
        <v>26996204</v>
      </c>
      <c r="CM26" s="97">
        <f t="shared" si="69"/>
        <v>92694204</v>
      </c>
      <c r="CN26" s="97">
        <f>SUMIFS('Federal Data'!AQ2:AQ501,'Federal Data'!$E2:$E501,"Non-Tax Revenues")</f>
        <v>92845000</v>
      </c>
      <c r="CO26" s="102">
        <f>'State and Local P&amp;L (detailed)'!$AG$21</f>
        <v>1080522548</v>
      </c>
      <c r="CP26" s="97">
        <f t="shared" si="70"/>
        <v>1173367548</v>
      </c>
      <c r="CQ26" s="97">
        <f>SUMIFS('Federal Data'!AR2:AR501,'Federal Data'!$E2:$E501,"Non-Tax Revenues")</f>
        <v>102782000</v>
      </c>
      <c r="CR26" s="102">
        <f>'State and Local P&amp;L (detailed)'!$AH$21</f>
        <v>1240854098</v>
      </c>
      <c r="CS26" s="97">
        <f t="shared" si="71"/>
        <v>1343636098</v>
      </c>
      <c r="CT26" s="97">
        <f>SUMIFS('Federal Data'!AS2:AS501,'Federal Data'!$E2:$E501,"Non-Tax Revenues")</f>
        <v>116314000</v>
      </c>
      <c r="CU26" s="102">
        <f>'State and Local P&amp;L (detailed)'!$AI$21</f>
        <v>801982497</v>
      </c>
      <c r="CV26" s="97">
        <f t="shared" si="72"/>
        <v>918296497</v>
      </c>
      <c r="CW26" s="97">
        <f>SUMIFS('Federal Data'!AT2:AT501,'Federal Data'!$E2:$E501,"Non-Tax Revenues")</f>
        <v>104037000</v>
      </c>
      <c r="CX26" s="102">
        <f>'State and Local P&amp;L (detailed)'!$AJ$21</f>
        <v>1096573059</v>
      </c>
      <c r="CY26" s="97">
        <f t="shared" si="73"/>
        <v>1200610059</v>
      </c>
      <c r="CZ26" s="97">
        <f>SUMIFS('Federal Data'!AU2:AU501,'Federal Data'!$E2:$E501,"Non-Tax Revenues")</f>
        <v>134882000</v>
      </c>
      <c r="DA26" s="102">
        <f>'State and Local P&amp;L (detailed)'!$AK$21</f>
        <v>1269963926</v>
      </c>
      <c r="DB26" s="97">
        <f t="shared" si="74"/>
        <v>1404845926</v>
      </c>
      <c r="DC26" s="44">
        <f>SUMIFS('Federal Data'!AV2:AV501,'Federal Data'!$E2:$E501,"Non-Tax Revenues")</f>
        <v>172515000</v>
      </c>
      <c r="DD26" s="86">
        <f>'State and Local P&amp;L (detailed)'!$AL$21</f>
        <v>0</v>
      </c>
      <c r="DE26" s="44">
        <f t="shared" si="75"/>
        <v>172515000</v>
      </c>
    </row>
    <row r="27" spans="1:109" outlineLevel="1">
      <c r="A27" s="27" t="s">
        <v>13</v>
      </c>
      <c r="B27" s="94">
        <f>SUMIFS('Federal Data'!M2:M501,'Federal Data'!$F2:$F501,"Sales of Government Resources")</f>
        <v>4100870</v>
      </c>
      <c r="C27" s="101">
        <f>'State and Local P&amp;L (detailed)'!$C$22</f>
        <v>4164639</v>
      </c>
      <c r="D27" s="94">
        <f t="shared" si="40"/>
        <v>8265509</v>
      </c>
      <c r="E27" s="94">
        <f>SUMIFS('Federal Data'!N2:N501,'Federal Data'!$F2:$F501,"Sales of Government Resources")</f>
        <v>10137986</v>
      </c>
      <c r="F27" s="101">
        <f>'State and Local P&amp;L (detailed)'!$D$22</f>
        <v>6161455</v>
      </c>
      <c r="G27" s="94">
        <f t="shared" si="41"/>
        <v>16299441</v>
      </c>
      <c r="H27" s="94">
        <f>SUMIFS('Federal Data'!O2:O501,'Federal Data'!$F2:$F501,"Sales of Government Resources")</f>
        <v>6249621</v>
      </c>
      <c r="I27" s="101">
        <f>'State and Local P&amp;L (detailed)'!$E$22</f>
        <v>8031106</v>
      </c>
      <c r="J27" s="94">
        <f t="shared" si="42"/>
        <v>14280727</v>
      </c>
      <c r="K27" s="94">
        <f>SUMIFS('Federal Data'!P2:P501,'Federal Data'!$F2:$F501,"Sales of Government Resources")</f>
        <v>10491496</v>
      </c>
      <c r="L27" s="101">
        <f>'State and Local P&amp;L (detailed)'!$F$22</f>
        <v>10057631</v>
      </c>
      <c r="M27" s="94">
        <f t="shared" si="43"/>
        <v>20549127</v>
      </c>
      <c r="N27" s="94">
        <f>SUMIFS('Federal Data'!Q2:Q501,'Federal Data'!$F2:$F501,"Sales of Government Resources")</f>
        <v>6693547</v>
      </c>
      <c r="O27" s="101">
        <f>'State and Local P&amp;L (detailed)'!$G$22</f>
        <v>12918217</v>
      </c>
      <c r="P27" s="94">
        <f t="shared" si="44"/>
        <v>19611764</v>
      </c>
      <c r="Q27" s="94">
        <f>SUMIFS('Federal Data'!R2:R501,'Federal Data'!$F2:$F501,"Sales of Government Resources")</f>
        <v>5541880</v>
      </c>
      <c r="R27" s="101">
        <f>'State and Local P&amp;L (detailed)'!$H$22</f>
        <v>15040053</v>
      </c>
      <c r="S27" s="94">
        <f t="shared" si="45"/>
        <v>20581933</v>
      </c>
      <c r="T27" s="94">
        <f>SUMIFS('Federal Data'!S2:S501,'Federal Data'!$F2:$F501,"Sales of Government Resources")</f>
        <v>4715974</v>
      </c>
      <c r="U27" s="101">
        <f>'State and Local P&amp;L (detailed)'!$I$22</f>
        <v>16540403</v>
      </c>
      <c r="V27" s="94">
        <f t="shared" si="46"/>
        <v>21256377</v>
      </c>
      <c r="W27" s="94">
        <f>SUMIFS('Federal Data'!T2:T501,'Federal Data'!$F2:$F501,"Sales of Government Resources")</f>
        <v>5896066</v>
      </c>
      <c r="X27" s="101">
        <f>'State and Local P&amp;L (detailed)'!$J$22</f>
        <v>17927586</v>
      </c>
      <c r="Y27" s="94">
        <f t="shared" si="47"/>
        <v>23823652</v>
      </c>
      <c r="Z27" s="94">
        <f>SUMIFS('Federal Data'!U2:U501,'Federal Data'!$F2:$F501,"Sales of Government Resources")</f>
        <v>3547691</v>
      </c>
      <c r="AA27" s="101">
        <f>'State and Local P&amp;L (detailed)'!$K$22</f>
        <v>5563505</v>
      </c>
      <c r="AB27" s="94">
        <f t="shared" si="48"/>
        <v>9111196</v>
      </c>
      <c r="AC27" s="94">
        <f>SUMIFS('Federal Data'!V2:V501,'Federal Data'!$F2:$F501,"Sales of Government Resources")</f>
        <v>2929212</v>
      </c>
      <c r="AD27" s="101">
        <f>'State and Local P&amp;L (detailed)'!$L$22</f>
        <v>4801018</v>
      </c>
      <c r="AE27" s="94">
        <f t="shared" si="49"/>
        <v>7730230</v>
      </c>
      <c r="AF27" s="94">
        <f>SUMIFS('Federal Data'!W2:W501,'Federal Data'!$F2:$F501,"Sales of Government Resources")</f>
        <v>3004086</v>
      </c>
      <c r="AG27" s="101">
        <f>'State and Local P&amp;L (detailed)'!$M$22</f>
        <v>5484490</v>
      </c>
      <c r="AH27" s="94">
        <f t="shared" si="50"/>
        <v>8488576</v>
      </c>
      <c r="AI27" s="94">
        <f>SUMIFS('Federal Data'!X2:X501,'Federal Data'!$F2:$F501,"Sales of Government Resources")</f>
        <v>3150243</v>
      </c>
      <c r="AJ27" s="101">
        <f>'State and Local P&amp;L (detailed)'!$N$22</f>
        <v>5575617</v>
      </c>
      <c r="AK27" s="94">
        <f t="shared" si="51"/>
        <v>8725860</v>
      </c>
      <c r="AL27" s="94">
        <f>SUMIFS('Federal Data'!Y2:Y501,'Federal Data'!$F2:$F501,"Sales of Government Resources")</f>
        <v>2498255</v>
      </c>
      <c r="AM27" s="101">
        <f>'State and Local P&amp;L (detailed)'!$O$22</f>
        <v>4948152</v>
      </c>
      <c r="AN27" s="94">
        <f t="shared" si="52"/>
        <v>7446407</v>
      </c>
      <c r="AO27" s="94">
        <f>SUMIFS('Federal Data'!Z2:Z501,'Federal Data'!$F2:$F501,"Sales of Government Resources")</f>
        <v>2784562</v>
      </c>
      <c r="AP27" s="101">
        <f>'State and Local P&amp;L (detailed)'!$P$22</f>
        <v>5418897</v>
      </c>
      <c r="AQ27" s="94">
        <f t="shared" si="53"/>
        <v>8203459</v>
      </c>
      <c r="AR27" s="94">
        <f>SUMIFS('Federal Data'!AA2:AA501,'Federal Data'!$F2:$F501,"Sales of Government Resources")</f>
        <v>3001438</v>
      </c>
      <c r="AS27" s="101">
        <f>'State and Local P&amp;L (detailed)'!$Q$22</f>
        <v>5129292</v>
      </c>
      <c r="AT27" s="94">
        <f t="shared" si="54"/>
        <v>8130730</v>
      </c>
      <c r="AU27" s="94">
        <f>SUMIFS('Federal Data'!AB2:AB501,'Federal Data'!$F2:$F501,"Sales of Government Resources")</f>
        <v>10062000</v>
      </c>
      <c r="AV27" s="101">
        <f>'State and Local P&amp;L (detailed)'!$R$22</f>
        <v>5733469</v>
      </c>
      <c r="AW27" s="94">
        <f t="shared" si="55"/>
        <v>15795469</v>
      </c>
      <c r="AX27" s="94">
        <f>SUMIFS('Federal Data'!AC2:AC501,'Federal Data'!$F2:$F501,"Sales of Government Resources")</f>
        <v>4083000</v>
      </c>
      <c r="AY27" s="101">
        <f>'State and Local P&amp;L (detailed)'!$S$22</f>
        <v>5607514</v>
      </c>
      <c r="AZ27" s="94">
        <f t="shared" si="56"/>
        <v>9690514</v>
      </c>
      <c r="BA27" s="94">
        <f>SUMIFS('Federal Data'!AD2:AD501,'Federal Data'!$F2:$F501,"Sales of Government Resources")</f>
        <v>15717000</v>
      </c>
      <c r="BB27" s="101">
        <f>'State and Local P&amp;L (detailed)'!$T$22</f>
        <v>7593251</v>
      </c>
      <c r="BC27" s="94">
        <f t="shared" si="57"/>
        <v>23310251</v>
      </c>
      <c r="BD27" s="94">
        <f>SUMIFS('Federal Data'!AE2:AE501,'Federal Data'!$F2:$F501,"Sales of Government Resources")</f>
        <v>12322000</v>
      </c>
      <c r="BE27" s="101">
        <f>'State and Local P&amp;L (detailed)'!$U$22</f>
        <v>8042909</v>
      </c>
      <c r="BF27" s="94">
        <f t="shared" si="58"/>
        <v>20364909</v>
      </c>
      <c r="BG27" s="94">
        <f>SUMIFS('Federal Data'!AF2:AF501,'Federal Data'!$F2:$F501,"Sales of Government Resources")</f>
        <v>4851000</v>
      </c>
      <c r="BH27" s="101">
        <f>'State and Local P&amp;L (detailed)'!$V$22</f>
        <v>7236440</v>
      </c>
      <c r="BI27" s="94">
        <f t="shared" si="59"/>
        <v>12087440</v>
      </c>
      <c r="BJ27" s="94">
        <f>SUMIFS('Federal Data'!AG2:AG501,'Federal Data'!$F2:$F501,"Sales of Government Resources")</f>
        <v>4730000</v>
      </c>
      <c r="BK27" s="101">
        <f>'State and Local P&amp;L (detailed)'!$W$22</f>
        <v>8817982</v>
      </c>
      <c r="BL27" s="94">
        <f t="shared" si="60"/>
        <v>13547982</v>
      </c>
      <c r="BM27" s="94">
        <f>SUMIFS('Federal Data'!AH2:AH501,'Federal Data'!$F2:$F501,"Sales of Government Resources")</f>
        <v>8218000</v>
      </c>
      <c r="BN27" s="101">
        <f>'State and Local P&amp;L (detailed)'!$X$22</f>
        <v>10778913</v>
      </c>
      <c r="BO27" s="94">
        <f t="shared" si="61"/>
        <v>18996913</v>
      </c>
      <c r="BP27" s="94">
        <f>SUMIFS('Federal Data'!AI2:AI501,'Federal Data'!$F2:$F501,"Sales of Government Resources")</f>
        <v>5025000</v>
      </c>
      <c r="BQ27" s="101">
        <f>'State and Local P&amp;L (detailed)'!$Y$22</f>
        <v>9167566</v>
      </c>
      <c r="BR27" s="94">
        <f t="shared" si="62"/>
        <v>14192566</v>
      </c>
      <c r="BS27" s="94">
        <f>SUMIFS('Federal Data'!AJ2:AJ501,'Federal Data'!$F2:$F501,"Sales of Government Resources")</f>
        <v>5029000</v>
      </c>
      <c r="BT27" s="101">
        <f>'State and Local P&amp;L (detailed)'!$Z$22</f>
        <v>9688791</v>
      </c>
      <c r="BU27" s="94">
        <f t="shared" si="63"/>
        <v>14717791</v>
      </c>
      <c r="BV27" s="94">
        <f>SUMIFS('Federal Data'!AK2:AK501,'Federal Data'!$F2:$F501,"Sales of Government Resources")</f>
        <v>5106000</v>
      </c>
      <c r="BW27" s="101">
        <f>'State and Local P&amp;L (detailed)'!$AA$22</f>
        <v>11082321</v>
      </c>
      <c r="BX27" s="94">
        <f t="shared" si="64"/>
        <v>16188321</v>
      </c>
      <c r="BY27" s="94">
        <f>SUMIFS('Federal Data'!AL2:AL501,'Federal Data'!$F2:$F501,"Sales of Government Resources")</f>
        <v>6306000</v>
      </c>
      <c r="BZ27" s="101">
        <f>'State and Local P&amp;L (detailed)'!$AB$22</f>
        <v>13769120</v>
      </c>
      <c r="CA27" s="94">
        <f t="shared" si="65"/>
        <v>20075120</v>
      </c>
      <c r="CB27" s="94">
        <f>SUMIFS('Federal Data'!AM2:AM501,'Federal Data'!$F2:$F501,"Sales of Government Resources")</f>
        <v>7394000</v>
      </c>
      <c r="CC27" s="101">
        <f>'State and Local P&amp;L (detailed)'!$AC$22</f>
        <v>13963858</v>
      </c>
      <c r="CD27" s="94">
        <f t="shared" si="66"/>
        <v>21357858</v>
      </c>
      <c r="CE27" s="94">
        <f>SUMIFS('Federal Data'!AN2:AN501,'Federal Data'!$F2:$F501,"Sales of Government Resources")</f>
        <v>20463000</v>
      </c>
      <c r="CF27" s="101">
        <f>'State and Local P&amp;L (detailed)'!$AD$22</f>
        <v>17576530</v>
      </c>
      <c r="CG27" s="94">
        <f t="shared" si="67"/>
        <v>38039530</v>
      </c>
      <c r="CH27" s="94">
        <f>SUMIFS('Federal Data'!AO2:AO501,'Federal Data'!$F2:$F501,"Sales of Government Resources")</f>
        <v>20064000</v>
      </c>
      <c r="CI27" s="101">
        <f>'State and Local P&amp;L (detailed)'!$AE$22</f>
        <v>19513412</v>
      </c>
      <c r="CJ27" s="94">
        <f t="shared" si="68"/>
        <v>39577412</v>
      </c>
      <c r="CK27" s="94">
        <f>SUMIFS('Federal Data'!AP2:AP501,'Federal Data'!$F2:$F501,"Sales of Government Resources")</f>
        <v>21982000</v>
      </c>
      <c r="CL27" s="101">
        <f>'State and Local P&amp;L (detailed)'!$AF$22</f>
        <v>17814688</v>
      </c>
      <c r="CM27" s="94">
        <f t="shared" si="69"/>
        <v>39796688</v>
      </c>
      <c r="CN27" s="94">
        <f>SUMIFS('Federal Data'!AQ2:AQ501,'Federal Data'!$F2:$F501,"Sales of Government Resources")</f>
        <v>5080000</v>
      </c>
      <c r="CO27" s="101">
        <f>'State and Local P&amp;L (detailed)'!$AG$22</f>
        <v>16823058</v>
      </c>
      <c r="CP27" s="94">
        <f t="shared" si="70"/>
        <v>21903058</v>
      </c>
      <c r="CQ27" s="94">
        <f>SUMIFS('Federal Data'!AR2:AR501,'Federal Data'!$F2:$F501,"Sales of Government Resources")</f>
        <v>8787000</v>
      </c>
      <c r="CR27" s="101">
        <f>'State and Local P&amp;L (detailed)'!$AH$22</f>
        <v>17740432</v>
      </c>
      <c r="CS27" s="94">
        <f t="shared" si="71"/>
        <v>26527432</v>
      </c>
      <c r="CT27" s="94">
        <f>SUMIFS('Federal Data'!AS2:AS501,'Federal Data'!$F2:$F501,"Sales of Government Resources")</f>
        <v>19597000</v>
      </c>
      <c r="CU27" s="101">
        <f>'State and Local P&amp;L (detailed)'!$AI$22</f>
        <v>18763913</v>
      </c>
      <c r="CV27" s="94">
        <f t="shared" si="72"/>
        <v>38360913</v>
      </c>
      <c r="CW27" s="94">
        <f>SUMIFS('Federal Data'!AT2:AT501,'Federal Data'!$F2:$F501,"Sales of Government Resources")</f>
        <v>11462000</v>
      </c>
      <c r="CX27" s="101">
        <f>'State and Local P&amp;L (detailed)'!$AJ$22</f>
        <v>19135512</v>
      </c>
      <c r="CY27" s="94">
        <f t="shared" si="73"/>
        <v>30597512</v>
      </c>
      <c r="CZ27" s="94">
        <f>SUMIFS('Federal Data'!AU2:AU501,'Federal Data'!$F2:$F501,"Sales of Government Resources")</f>
        <v>8695000</v>
      </c>
      <c r="DA27" s="101">
        <f>'State and Local P&amp;L (detailed)'!$AK$22</f>
        <v>19735919</v>
      </c>
      <c r="DB27" s="94">
        <f t="shared" si="74"/>
        <v>28430919</v>
      </c>
      <c r="DC27" s="37">
        <f>SUMIFS('Federal Data'!AV2:AV501,'Federal Data'!$F2:$F501,"Sales of Government Resources")</f>
        <v>34683000</v>
      </c>
      <c r="DD27" s="85">
        <f>'State and Local P&amp;L (detailed)'!$AL$22</f>
        <v>0</v>
      </c>
      <c r="DE27" s="37">
        <f t="shared" si="75"/>
        <v>34683000</v>
      </c>
    </row>
    <row r="28" spans="1:109" outlineLevel="2">
      <c r="A28" s="28" t="s">
        <v>79</v>
      </c>
      <c r="B28" s="94">
        <f>SUMIFS('Federal Data'!M2:M501,'Federal Data'!$G2:$G501,"Rents and Royalties OCS")</f>
        <v>4100870</v>
      </c>
      <c r="C28" s="101" t="s">
        <v>487</v>
      </c>
      <c r="D28" s="94">
        <f t="shared" si="40"/>
        <v>4100870</v>
      </c>
      <c r="E28" s="94">
        <f>SUMIFS('Federal Data'!N2:N501,'Federal Data'!$G2:$G501,"Rents and Royalties OCS")</f>
        <v>10137986</v>
      </c>
      <c r="F28" s="101" t="s">
        <v>487</v>
      </c>
      <c r="G28" s="94">
        <f t="shared" si="41"/>
        <v>10137986</v>
      </c>
      <c r="H28" s="94">
        <f>SUMIFS('Federal Data'!O2:O501,'Federal Data'!$G2:$G501,"Rents and Royalties OCS")</f>
        <v>6249621</v>
      </c>
      <c r="I28" s="101" t="s">
        <v>487</v>
      </c>
      <c r="J28" s="94">
        <f t="shared" si="42"/>
        <v>6249621</v>
      </c>
      <c r="K28" s="94">
        <f>SUMIFS('Federal Data'!P2:P501,'Federal Data'!$G2:$G501,"Rents and Royalties OCS")</f>
        <v>10491496</v>
      </c>
      <c r="L28" s="101" t="s">
        <v>487</v>
      </c>
      <c r="M28" s="94">
        <f t="shared" si="43"/>
        <v>10491496</v>
      </c>
      <c r="N28" s="94">
        <f>SUMIFS('Federal Data'!Q2:Q501,'Federal Data'!$G2:$G501,"Rents and Royalties OCS")</f>
        <v>6693547</v>
      </c>
      <c r="O28" s="101" t="s">
        <v>487</v>
      </c>
      <c r="P28" s="94">
        <f t="shared" si="44"/>
        <v>6693547</v>
      </c>
      <c r="Q28" s="94">
        <f>SUMIFS('Federal Data'!R2:R501,'Federal Data'!$G2:$G501,"Rents and Royalties OCS")</f>
        <v>5541880</v>
      </c>
      <c r="R28" s="101" t="s">
        <v>487</v>
      </c>
      <c r="S28" s="94">
        <f t="shared" si="45"/>
        <v>5541880</v>
      </c>
      <c r="T28" s="94">
        <f>SUMIFS('Federal Data'!S2:S501,'Federal Data'!$G2:$G501,"Rents and Royalties OCS")</f>
        <v>4715974</v>
      </c>
      <c r="U28" s="101" t="s">
        <v>487</v>
      </c>
      <c r="V28" s="94">
        <f t="shared" si="46"/>
        <v>4715974</v>
      </c>
      <c r="W28" s="94">
        <f>SUMIFS('Federal Data'!T2:T501,'Federal Data'!$G2:$G501,"Rents and Royalties OCS")</f>
        <v>4021478</v>
      </c>
      <c r="X28" s="101" t="s">
        <v>487</v>
      </c>
      <c r="Y28" s="94">
        <f t="shared" si="47"/>
        <v>4021478</v>
      </c>
      <c r="Z28" s="94">
        <f>SUMIFS('Federal Data'!U2:U501,'Federal Data'!$G2:$G501,"Rents and Royalties OCS")</f>
        <v>3547691</v>
      </c>
      <c r="AA28" s="101" t="s">
        <v>487</v>
      </c>
      <c r="AB28" s="94">
        <f t="shared" si="48"/>
        <v>3547691</v>
      </c>
      <c r="AC28" s="94">
        <f>SUMIFS('Federal Data'!V2:V501,'Federal Data'!$G2:$G501,"Rents and Royalties OCS")</f>
        <v>2929212</v>
      </c>
      <c r="AD28" s="101" t="s">
        <v>487</v>
      </c>
      <c r="AE28" s="94">
        <f t="shared" si="49"/>
        <v>2929212</v>
      </c>
      <c r="AF28" s="94">
        <f>SUMIFS('Federal Data'!W2:W501,'Federal Data'!$G2:$G501,"Rents and Royalties OCS")</f>
        <v>3004086</v>
      </c>
      <c r="AG28" s="101" t="s">
        <v>487</v>
      </c>
      <c r="AH28" s="94">
        <f t="shared" si="50"/>
        <v>3004086</v>
      </c>
      <c r="AI28" s="94">
        <f>SUMIFS('Federal Data'!X2:X501,'Federal Data'!$G2:$G501,"Rents and Royalties OCS")</f>
        <v>3150243</v>
      </c>
      <c r="AJ28" s="101" t="s">
        <v>487</v>
      </c>
      <c r="AK28" s="94">
        <f t="shared" si="51"/>
        <v>3150243</v>
      </c>
      <c r="AL28" s="94">
        <f>SUMIFS('Federal Data'!Y2:Y501,'Federal Data'!$G2:$G501,"Rents and Royalties OCS")</f>
        <v>2498255</v>
      </c>
      <c r="AM28" s="101" t="s">
        <v>487</v>
      </c>
      <c r="AN28" s="94">
        <f t="shared" si="52"/>
        <v>2498255</v>
      </c>
      <c r="AO28" s="94">
        <f>SUMIFS('Federal Data'!Z2:Z501,'Federal Data'!$G2:$G501,"Rents and Royalties OCS")</f>
        <v>2784562</v>
      </c>
      <c r="AP28" s="101" t="s">
        <v>487</v>
      </c>
      <c r="AQ28" s="94">
        <f t="shared" si="53"/>
        <v>2784562</v>
      </c>
      <c r="AR28" s="94">
        <f>SUMIFS('Federal Data'!AA2:AA501,'Federal Data'!$G2:$G501,"Rents and Royalties OCS")</f>
        <v>3001438</v>
      </c>
      <c r="AS28" s="101" t="s">
        <v>487</v>
      </c>
      <c r="AT28" s="94">
        <f t="shared" si="54"/>
        <v>3001438</v>
      </c>
      <c r="AU28" s="94">
        <f>SUMIFS('Federal Data'!AB2:AB501,'Federal Data'!$G2:$G501,"Rents and Royalties OCS")</f>
        <v>2418000</v>
      </c>
      <c r="AV28" s="101" t="s">
        <v>487</v>
      </c>
      <c r="AW28" s="94">
        <f t="shared" si="55"/>
        <v>2418000</v>
      </c>
      <c r="AX28" s="94">
        <f>SUMIFS('Federal Data'!AC2:AC501,'Federal Data'!$G2:$G501,"Rents and Royalties OCS")</f>
        <v>3741000</v>
      </c>
      <c r="AY28" s="101" t="s">
        <v>487</v>
      </c>
      <c r="AZ28" s="94">
        <f t="shared" si="56"/>
        <v>3741000</v>
      </c>
      <c r="BA28" s="94">
        <f>SUMIFS('Federal Data'!AD2:AD501,'Federal Data'!$G2:$G501,"Rents and Royalties OCS")</f>
        <v>4711000</v>
      </c>
      <c r="BB28" s="101" t="s">
        <v>487</v>
      </c>
      <c r="BC28" s="94">
        <f t="shared" si="57"/>
        <v>4711000</v>
      </c>
      <c r="BD28" s="94">
        <f>SUMIFS('Federal Data'!AE2:AE501,'Federal Data'!$G2:$G501,"Rents and Royalties OCS")</f>
        <v>4522000</v>
      </c>
      <c r="BE28" s="101" t="s">
        <v>487</v>
      </c>
      <c r="BF28" s="94">
        <f t="shared" si="58"/>
        <v>4522000</v>
      </c>
      <c r="BG28" s="94">
        <f>SUMIFS('Federal Data'!AF2:AF501,'Federal Data'!$G2:$G501,"Rents and Royalties OCS")</f>
        <v>3098000</v>
      </c>
      <c r="BH28" s="101" t="s">
        <v>487</v>
      </c>
      <c r="BI28" s="94">
        <f t="shared" si="59"/>
        <v>3098000</v>
      </c>
      <c r="BJ28" s="94">
        <f>SUMIFS('Federal Data'!AG2:AG501,'Federal Data'!$G2:$G501,"Rents and Royalties OCS")</f>
        <v>4580000</v>
      </c>
      <c r="BK28" s="101" t="s">
        <v>487</v>
      </c>
      <c r="BL28" s="94">
        <f t="shared" si="60"/>
        <v>4580000</v>
      </c>
      <c r="BM28" s="94">
        <f>SUMIFS('Federal Data'!AH2:AH501,'Federal Data'!$G2:$G501,"Rents and Royalties OCS")</f>
        <v>7194000</v>
      </c>
      <c r="BN28" s="101" t="s">
        <v>487</v>
      </c>
      <c r="BO28" s="94">
        <f t="shared" si="61"/>
        <v>7194000</v>
      </c>
      <c r="BP28" s="94">
        <f>SUMIFS('Federal Data'!AI2:AI501,'Federal Data'!$G2:$G501,"Rents and Royalties OCS")</f>
        <v>5024000</v>
      </c>
      <c r="BQ28" s="101" t="s">
        <v>487</v>
      </c>
      <c r="BR28" s="94">
        <f t="shared" si="62"/>
        <v>5024000</v>
      </c>
      <c r="BS28" s="94">
        <f>SUMIFS('Federal Data'!AJ2:AJ501,'Federal Data'!$G2:$G501,"Rents and Royalties OCS")</f>
        <v>5029000</v>
      </c>
      <c r="BT28" s="101" t="s">
        <v>487</v>
      </c>
      <c r="BU28" s="94">
        <f t="shared" si="63"/>
        <v>5029000</v>
      </c>
      <c r="BV28" s="94">
        <f>SUMIFS('Federal Data'!AK2:AK501,'Federal Data'!$G2:$G501,"Rents and Royalties OCS")</f>
        <v>5106000</v>
      </c>
      <c r="BW28" s="101" t="s">
        <v>487</v>
      </c>
      <c r="BX28" s="94">
        <f t="shared" si="64"/>
        <v>5106000</v>
      </c>
      <c r="BY28" s="94">
        <f>SUMIFS('Federal Data'!AL2:AL501,'Federal Data'!$G2:$G501,"Rents and Royalties OCS")</f>
        <v>6146000</v>
      </c>
      <c r="BZ28" s="101" t="s">
        <v>487</v>
      </c>
      <c r="CA28" s="94">
        <f t="shared" si="65"/>
        <v>6146000</v>
      </c>
      <c r="CB28" s="94">
        <f>SUMIFS('Federal Data'!AM2:AM501,'Federal Data'!$G2:$G501,"Rents and Royalties OCS")</f>
        <v>7283000</v>
      </c>
      <c r="CC28" s="101" t="s">
        <v>487</v>
      </c>
      <c r="CD28" s="94">
        <f t="shared" si="66"/>
        <v>7283000</v>
      </c>
      <c r="CE28" s="94">
        <f>SUMIFS('Federal Data'!AN2:AN501,'Federal Data'!$G2:$G501,"Rents and Royalties OCS")</f>
        <v>6763000</v>
      </c>
      <c r="CF28" s="101" t="s">
        <v>487</v>
      </c>
      <c r="CG28" s="94">
        <f t="shared" si="67"/>
        <v>6763000</v>
      </c>
      <c r="CH28" s="94">
        <f>SUMIFS('Federal Data'!AO2:AO501,'Federal Data'!$G2:$G501,"Rents and Royalties OCS")</f>
        <v>18285000</v>
      </c>
      <c r="CI28" s="101" t="s">
        <v>487</v>
      </c>
      <c r="CJ28" s="94">
        <f t="shared" si="68"/>
        <v>18285000</v>
      </c>
      <c r="CK28" s="94">
        <f>SUMIFS('Federal Data'!AP2:AP501,'Federal Data'!$G2:$G501,"Rents and Royalties OCS")</f>
        <v>5292000</v>
      </c>
      <c r="CL28" s="101" t="s">
        <v>487</v>
      </c>
      <c r="CM28" s="94">
        <f t="shared" si="69"/>
        <v>5292000</v>
      </c>
      <c r="CN28" s="94">
        <f>SUMIFS('Federal Data'!AQ2:AQ501,'Federal Data'!$G2:$G501,"Rents and Royalties OCS")</f>
        <v>4883000</v>
      </c>
      <c r="CO28" s="101" t="s">
        <v>487</v>
      </c>
      <c r="CP28" s="94">
        <f t="shared" si="70"/>
        <v>4883000</v>
      </c>
      <c r="CQ28" s="94">
        <f>SUMIFS('Federal Data'!AR2:AR501,'Federal Data'!$G2:$G501,"Rents and Royalties OCS")</f>
        <v>6383000</v>
      </c>
      <c r="CR28" s="101" t="s">
        <v>487</v>
      </c>
      <c r="CS28" s="94">
        <f t="shared" si="71"/>
        <v>6383000</v>
      </c>
      <c r="CT28" s="94">
        <f>SUMIFS('Federal Data'!AS2:AS501,'Federal Data'!$G2:$G501,"Rents and Royalties OCS")</f>
        <v>6605000</v>
      </c>
      <c r="CU28" s="101" t="s">
        <v>487</v>
      </c>
      <c r="CV28" s="94">
        <f t="shared" si="72"/>
        <v>6605000</v>
      </c>
      <c r="CW28" s="94">
        <f>SUMIFS('Federal Data'!AT2:AT501,'Federal Data'!$G2:$G501,"Rents and Royalties OCS")</f>
        <v>8874000</v>
      </c>
      <c r="CX28" s="101" t="s">
        <v>487</v>
      </c>
      <c r="CY28" s="94">
        <f t="shared" si="73"/>
        <v>8874000</v>
      </c>
      <c r="CZ28" s="94">
        <f>SUMIFS('Federal Data'!AU2:AU501,'Federal Data'!$G2:$G501,"Rents and Royalties OCS")</f>
        <v>7474000</v>
      </c>
      <c r="DA28" s="101" t="s">
        <v>487</v>
      </c>
      <c r="DB28" s="94">
        <f t="shared" si="74"/>
        <v>7474000</v>
      </c>
      <c r="DC28" s="37">
        <f>SUMIFS('Federal Data'!AV2:AV501,'Federal Data'!$G2:$G501,"Rents and Royalties OCS")</f>
        <v>4555000</v>
      </c>
      <c r="DD28" s="85" t="s">
        <v>487</v>
      </c>
      <c r="DE28" s="37">
        <f t="shared" si="75"/>
        <v>4555000</v>
      </c>
    </row>
    <row r="29" spans="1:109" outlineLevel="2">
      <c r="A29" s="28" t="s">
        <v>80</v>
      </c>
      <c r="B29" s="94">
        <f>SUMIFS('Federal Data'!M2:M501,'Federal Data'!$G2:$G501,"Spectrum Auctions and Licensing")</f>
        <v>0</v>
      </c>
      <c r="C29" s="101" t="s">
        <v>487</v>
      </c>
      <c r="D29" s="94">
        <f t="shared" si="40"/>
        <v>0</v>
      </c>
      <c r="E29" s="94">
        <f>SUMIFS('Federal Data'!N2:N501,'Federal Data'!$G2:$G501,"Spectrum Auctions and Licensing")</f>
        <v>0</v>
      </c>
      <c r="F29" s="101" t="s">
        <v>487</v>
      </c>
      <c r="G29" s="94">
        <f t="shared" si="41"/>
        <v>0</v>
      </c>
      <c r="H29" s="94">
        <f>SUMIFS('Federal Data'!O2:O501,'Federal Data'!$G2:$G501,"Spectrum Auctions and Licensing")</f>
        <v>0</v>
      </c>
      <c r="I29" s="101" t="s">
        <v>487</v>
      </c>
      <c r="J29" s="94">
        <f t="shared" si="42"/>
        <v>0</v>
      </c>
      <c r="K29" s="94">
        <f>SUMIFS('Federal Data'!P2:P501,'Federal Data'!$G2:$G501,"Spectrum Auctions and Licensing")</f>
        <v>0</v>
      </c>
      <c r="L29" s="101" t="s">
        <v>487</v>
      </c>
      <c r="M29" s="94">
        <f t="shared" si="43"/>
        <v>0</v>
      </c>
      <c r="N29" s="94">
        <f>SUMIFS('Federal Data'!Q2:Q501,'Federal Data'!$G2:$G501,"Spectrum Auctions and Licensing")</f>
        <v>0</v>
      </c>
      <c r="O29" s="101" t="s">
        <v>487</v>
      </c>
      <c r="P29" s="94">
        <f t="shared" si="44"/>
        <v>0</v>
      </c>
      <c r="Q29" s="94">
        <f>SUMIFS('Federal Data'!R2:R501,'Federal Data'!$G2:$G501,"Spectrum Auctions and Licensing")</f>
        <v>0</v>
      </c>
      <c r="R29" s="101" t="s">
        <v>487</v>
      </c>
      <c r="S29" s="94">
        <f t="shared" si="45"/>
        <v>0</v>
      </c>
      <c r="T29" s="94">
        <f>SUMIFS('Federal Data'!S2:S501,'Federal Data'!$G2:$G501,"Spectrum Auctions and Licensing")</f>
        <v>0</v>
      </c>
      <c r="U29" s="101" t="s">
        <v>487</v>
      </c>
      <c r="V29" s="94">
        <f t="shared" si="46"/>
        <v>0</v>
      </c>
      <c r="W29" s="94">
        <f>SUMIFS('Federal Data'!T2:T501,'Federal Data'!$G2:$G501,"Spectrum Auctions and Licensing")</f>
        <v>0</v>
      </c>
      <c r="X29" s="101" t="s">
        <v>487</v>
      </c>
      <c r="Y29" s="94">
        <f t="shared" si="47"/>
        <v>0</v>
      </c>
      <c r="Z29" s="94">
        <f>SUMIFS('Federal Data'!U2:U501,'Federal Data'!$G2:$G501,"Spectrum Auctions and Licensing")</f>
        <v>0</v>
      </c>
      <c r="AA29" s="101" t="s">
        <v>487</v>
      </c>
      <c r="AB29" s="94">
        <f t="shared" si="48"/>
        <v>0</v>
      </c>
      <c r="AC29" s="94">
        <f>SUMIFS('Federal Data'!V2:V501,'Federal Data'!$G2:$G501,"Spectrum Auctions and Licensing")</f>
        <v>0</v>
      </c>
      <c r="AD29" s="101" t="s">
        <v>487</v>
      </c>
      <c r="AE29" s="94">
        <f t="shared" si="49"/>
        <v>0</v>
      </c>
      <c r="AF29" s="94">
        <f>SUMIFS('Federal Data'!W2:W501,'Federal Data'!$G2:$G501,"Spectrum Auctions and Licensing")</f>
        <v>0</v>
      </c>
      <c r="AG29" s="101" t="s">
        <v>487</v>
      </c>
      <c r="AH29" s="94">
        <f t="shared" si="50"/>
        <v>0</v>
      </c>
      <c r="AI29" s="94">
        <f>SUMIFS('Federal Data'!X2:X501,'Federal Data'!$G2:$G501,"Spectrum Auctions and Licensing")</f>
        <v>0</v>
      </c>
      <c r="AJ29" s="101" t="s">
        <v>487</v>
      </c>
      <c r="AK29" s="94">
        <f t="shared" si="51"/>
        <v>0</v>
      </c>
      <c r="AL29" s="94">
        <f>SUMIFS('Federal Data'!Y2:Y501,'Federal Data'!$G2:$G501,"Spectrum Auctions and Licensing")</f>
        <v>0</v>
      </c>
      <c r="AM29" s="101" t="s">
        <v>487</v>
      </c>
      <c r="AN29" s="94">
        <f t="shared" si="52"/>
        <v>0</v>
      </c>
      <c r="AO29" s="94">
        <f>SUMIFS('Federal Data'!Z2:Z501,'Federal Data'!$G2:$G501,"Spectrum Auctions and Licensing")</f>
        <v>0</v>
      </c>
      <c r="AP29" s="101" t="s">
        <v>487</v>
      </c>
      <c r="AQ29" s="94">
        <f t="shared" si="53"/>
        <v>0</v>
      </c>
      <c r="AR29" s="94">
        <f>SUMIFS('Federal Data'!AA2:AA501,'Federal Data'!$G2:$G501,"Spectrum Auctions and Licensing")</f>
        <v>0</v>
      </c>
      <c r="AS29" s="101" t="s">
        <v>487</v>
      </c>
      <c r="AT29" s="94">
        <f t="shared" si="54"/>
        <v>0</v>
      </c>
      <c r="AU29" s="94">
        <f>SUMIFS('Federal Data'!AB2:AB501,'Federal Data'!$G2:$G501,"Spectrum Auctions and Licensing")</f>
        <v>7644000</v>
      </c>
      <c r="AV29" s="101" t="s">
        <v>487</v>
      </c>
      <c r="AW29" s="94">
        <f t="shared" si="55"/>
        <v>7644000</v>
      </c>
      <c r="AX29" s="94">
        <f>SUMIFS('Federal Data'!AC2:AC501,'Federal Data'!$G2:$G501,"Spectrum Auctions and Licensing")</f>
        <v>342000</v>
      </c>
      <c r="AY29" s="101" t="s">
        <v>487</v>
      </c>
      <c r="AZ29" s="94">
        <f t="shared" si="56"/>
        <v>342000</v>
      </c>
      <c r="BA29" s="94">
        <f>SUMIFS('Federal Data'!AD2:AD501,'Federal Data'!$G2:$G501,"Spectrum Auctions and Licensing")</f>
        <v>11006000</v>
      </c>
      <c r="BB29" s="101" t="s">
        <v>487</v>
      </c>
      <c r="BC29" s="94">
        <f t="shared" si="57"/>
        <v>11006000</v>
      </c>
      <c r="BD29" s="94">
        <f>SUMIFS('Federal Data'!AE2:AE501,'Federal Data'!$G2:$G501,"Spectrum Auctions and Licensing")</f>
        <v>2642000</v>
      </c>
      <c r="BE29" s="101" t="s">
        <v>487</v>
      </c>
      <c r="BF29" s="94">
        <f t="shared" si="58"/>
        <v>2642000</v>
      </c>
      <c r="BG29" s="94">
        <f>SUMIFS('Federal Data'!AF2:AF501,'Federal Data'!$G2:$G501,"Spectrum Auctions and Licensing")</f>
        <v>1753000</v>
      </c>
      <c r="BH29" s="101" t="s">
        <v>487</v>
      </c>
      <c r="BI29" s="94">
        <f t="shared" si="59"/>
        <v>1753000</v>
      </c>
      <c r="BJ29" s="94">
        <f>SUMIFS('Federal Data'!AG2:AG501,'Federal Data'!$G2:$G501,"Spectrum Auctions and Licensing")</f>
        <v>150000</v>
      </c>
      <c r="BK29" s="101" t="s">
        <v>487</v>
      </c>
      <c r="BL29" s="94">
        <f t="shared" si="60"/>
        <v>150000</v>
      </c>
      <c r="BM29" s="94">
        <f>SUMIFS('Federal Data'!AH2:AH501,'Federal Data'!$G2:$G501,"Spectrum Auctions and Licensing")</f>
        <v>1024000</v>
      </c>
      <c r="BN29" s="101" t="s">
        <v>487</v>
      </c>
      <c r="BO29" s="94">
        <f t="shared" si="61"/>
        <v>1024000</v>
      </c>
      <c r="BP29" s="94">
        <f>SUMIFS('Federal Data'!AI2:AI501,'Federal Data'!$G2:$G501,"Spectrum Auctions and Licensing")</f>
        <v>1000</v>
      </c>
      <c r="BQ29" s="101" t="s">
        <v>487</v>
      </c>
      <c r="BR29" s="94">
        <f t="shared" si="62"/>
        <v>1000</v>
      </c>
      <c r="BS29" s="94">
        <f>SUMIFS('Federal Data'!AJ2:AJ501,'Federal Data'!$G2:$G501,"Spectrum Auctions and Licensing")</f>
        <v>0</v>
      </c>
      <c r="BT29" s="101" t="s">
        <v>487</v>
      </c>
      <c r="BU29" s="94">
        <f t="shared" si="63"/>
        <v>0</v>
      </c>
      <c r="BV29" s="94">
        <f>SUMIFS('Federal Data'!AK2:AK501,'Federal Data'!$G2:$G501,"Spectrum Auctions and Licensing")</f>
        <v>0</v>
      </c>
      <c r="BW29" s="101" t="s">
        <v>487</v>
      </c>
      <c r="BX29" s="94">
        <f t="shared" si="64"/>
        <v>0</v>
      </c>
      <c r="BY29" s="94">
        <f>SUMIFS('Federal Data'!AL2:AL501,'Federal Data'!$G2:$G501,"Spectrum Auctions and Licensing")</f>
        <v>160000</v>
      </c>
      <c r="BZ29" s="101" t="s">
        <v>487</v>
      </c>
      <c r="CA29" s="94">
        <f t="shared" si="65"/>
        <v>160000</v>
      </c>
      <c r="CB29" s="94">
        <f>SUMIFS('Federal Data'!AM2:AM501,'Federal Data'!$G2:$G501,"Spectrum Auctions and Licensing")</f>
        <v>111000</v>
      </c>
      <c r="CC29" s="101" t="s">
        <v>487</v>
      </c>
      <c r="CD29" s="94">
        <f t="shared" si="66"/>
        <v>111000</v>
      </c>
      <c r="CE29" s="94">
        <f>SUMIFS('Federal Data'!AN2:AN501,'Federal Data'!$G2:$G501,"Spectrum Auctions and Licensing")</f>
        <v>13700000</v>
      </c>
      <c r="CF29" s="101" t="s">
        <v>487</v>
      </c>
      <c r="CG29" s="94">
        <f t="shared" si="67"/>
        <v>13700000</v>
      </c>
      <c r="CH29" s="94">
        <f>SUMIFS('Federal Data'!AO2:AO501,'Federal Data'!$G2:$G501,"Spectrum Auctions and Licensing")</f>
        <v>1779000</v>
      </c>
      <c r="CI29" s="101" t="s">
        <v>487</v>
      </c>
      <c r="CJ29" s="94">
        <f t="shared" si="68"/>
        <v>1779000</v>
      </c>
      <c r="CK29" s="94">
        <f>SUMIFS('Federal Data'!AP2:AP501,'Federal Data'!$G2:$G501,"Spectrum Auctions and Licensing")</f>
        <v>16690000</v>
      </c>
      <c r="CL29" s="101" t="s">
        <v>487</v>
      </c>
      <c r="CM29" s="94">
        <f t="shared" si="69"/>
        <v>16690000</v>
      </c>
      <c r="CN29" s="94">
        <f>SUMIFS('Federal Data'!AQ2:AQ501,'Federal Data'!$G2:$G501,"Spectrum Auctions and Licensing")</f>
        <v>197000</v>
      </c>
      <c r="CO29" s="101" t="s">
        <v>487</v>
      </c>
      <c r="CP29" s="94">
        <f t="shared" si="70"/>
        <v>197000</v>
      </c>
      <c r="CQ29" s="94">
        <f>SUMIFS('Federal Data'!AR2:AR501,'Federal Data'!$G2:$G501,"Spectrum Auctions and Licensing")</f>
        <v>0</v>
      </c>
      <c r="CR29" s="101" t="s">
        <v>487</v>
      </c>
      <c r="CS29" s="94">
        <f t="shared" si="71"/>
        <v>0</v>
      </c>
      <c r="CT29" s="94">
        <f>SUMIFS('Federal Data'!AS2:AS501,'Federal Data'!$G2:$G501,"Spectrum Auctions and Licensing")</f>
        <v>0</v>
      </c>
      <c r="CU29" s="101" t="s">
        <v>487</v>
      </c>
      <c r="CV29" s="94">
        <f t="shared" si="72"/>
        <v>0</v>
      </c>
      <c r="CW29" s="94">
        <f>SUMIFS('Federal Data'!AT2:AT501,'Federal Data'!$G2:$G501,"Spectrum Auctions and Licensing")</f>
        <v>0</v>
      </c>
      <c r="CX29" s="101" t="s">
        <v>487</v>
      </c>
      <c r="CY29" s="94">
        <f t="shared" si="73"/>
        <v>0</v>
      </c>
      <c r="CZ29" s="94">
        <f>SUMIFS('Federal Data'!AU2:AU501,'Federal Data'!$G2:$G501,"Spectrum Auctions and Licensing")</f>
        <v>1221000</v>
      </c>
      <c r="DA29" s="101" t="s">
        <v>487</v>
      </c>
      <c r="DB29" s="94">
        <f t="shared" si="74"/>
        <v>1221000</v>
      </c>
      <c r="DC29" s="37">
        <f>SUMIFS('Federal Data'!AV2:AV501,'Federal Data'!$G2:$G501,"Spectrum Auctions and Licensing")</f>
        <v>30128000</v>
      </c>
      <c r="DD29" s="85" t="s">
        <v>487</v>
      </c>
      <c r="DE29" s="37">
        <f t="shared" si="75"/>
        <v>30128000</v>
      </c>
    </row>
    <row r="30" spans="1:109" outlineLevel="2">
      <c r="A30" s="28" t="s">
        <v>81</v>
      </c>
      <c r="B30" s="94">
        <f>SUMIFS('Federal Data'!M2:M501,'Federal Data'!$G2:$G501,"Sales of Major Assets")</f>
        <v>0</v>
      </c>
      <c r="C30" s="101" t="s">
        <v>487</v>
      </c>
      <c r="D30" s="94">
        <f t="shared" si="40"/>
        <v>0</v>
      </c>
      <c r="E30" s="94">
        <f>SUMIFS('Federal Data'!N2:N501,'Federal Data'!$G2:$G501,"Sales of Major Assets")</f>
        <v>0</v>
      </c>
      <c r="F30" s="101" t="s">
        <v>487</v>
      </c>
      <c r="G30" s="94">
        <f t="shared" si="41"/>
        <v>0</v>
      </c>
      <c r="H30" s="94">
        <f>SUMIFS('Federal Data'!O2:O501,'Federal Data'!$G2:$G501,"Sales of Major Assets")</f>
        <v>0</v>
      </c>
      <c r="I30" s="101" t="s">
        <v>487</v>
      </c>
      <c r="J30" s="94">
        <f t="shared" si="42"/>
        <v>0</v>
      </c>
      <c r="K30" s="94">
        <f>SUMIFS('Federal Data'!P2:P501,'Federal Data'!$G2:$G501,"Sales of Major Assets")</f>
        <v>0</v>
      </c>
      <c r="L30" s="101" t="s">
        <v>487</v>
      </c>
      <c r="M30" s="94">
        <f t="shared" si="43"/>
        <v>0</v>
      </c>
      <c r="N30" s="94">
        <f>SUMIFS('Federal Data'!Q2:Q501,'Federal Data'!$G2:$G501,"Sales of Major Assets")</f>
        <v>0</v>
      </c>
      <c r="O30" s="101" t="s">
        <v>487</v>
      </c>
      <c r="P30" s="94">
        <f t="shared" si="44"/>
        <v>0</v>
      </c>
      <c r="Q30" s="94">
        <f>SUMIFS('Federal Data'!R2:R501,'Federal Data'!$G2:$G501,"Sales of Major Assets")</f>
        <v>0</v>
      </c>
      <c r="R30" s="101" t="s">
        <v>487</v>
      </c>
      <c r="S30" s="94">
        <f t="shared" si="45"/>
        <v>0</v>
      </c>
      <c r="T30" s="94">
        <f>SUMIFS('Federal Data'!S2:S501,'Federal Data'!$G2:$G501,"Sales of Major Assets")</f>
        <v>0</v>
      </c>
      <c r="U30" s="101" t="s">
        <v>487</v>
      </c>
      <c r="V30" s="94">
        <f t="shared" si="46"/>
        <v>0</v>
      </c>
      <c r="W30" s="94">
        <f>SUMIFS('Federal Data'!T2:T501,'Federal Data'!$G2:$G501,"Sales of Major Assets")</f>
        <v>1874588</v>
      </c>
      <c r="X30" s="101" t="s">
        <v>487</v>
      </c>
      <c r="Y30" s="94">
        <f t="shared" si="47"/>
        <v>1874588</v>
      </c>
      <c r="Z30" s="94">
        <f>SUMIFS('Federal Data'!U2:U501,'Federal Data'!$G2:$G501,"Sales of Major Assets")</f>
        <v>0</v>
      </c>
      <c r="AA30" s="101" t="s">
        <v>487</v>
      </c>
      <c r="AB30" s="94">
        <f t="shared" si="48"/>
        <v>0</v>
      </c>
      <c r="AC30" s="94">
        <f>SUMIFS('Federal Data'!V2:V501,'Federal Data'!$G2:$G501,"Sales of Major Assets")</f>
        <v>0</v>
      </c>
      <c r="AD30" s="101" t="s">
        <v>487</v>
      </c>
      <c r="AE30" s="94">
        <f t="shared" si="49"/>
        <v>0</v>
      </c>
      <c r="AF30" s="94">
        <f>SUMIFS('Federal Data'!W2:W501,'Federal Data'!$G2:$G501,"Sales of Major Assets")</f>
        <v>0</v>
      </c>
      <c r="AG30" s="101" t="s">
        <v>487</v>
      </c>
      <c r="AH30" s="94">
        <f t="shared" si="50"/>
        <v>0</v>
      </c>
      <c r="AI30" s="94">
        <f>SUMIFS('Federal Data'!X2:X501,'Federal Data'!$G2:$G501,"Sales of Major Assets")</f>
        <v>0</v>
      </c>
      <c r="AJ30" s="101" t="s">
        <v>487</v>
      </c>
      <c r="AK30" s="94">
        <f t="shared" si="51"/>
        <v>0</v>
      </c>
      <c r="AL30" s="94">
        <f>SUMIFS('Federal Data'!Y2:Y501,'Federal Data'!$G2:$G501,"Sales of Major Assets")</f>
        <v>0</v>
      </c>
      <c r="AM30" s="101" t="s">
        <v>487</v>
      </c>
      <c r="AN30" s="94">
        <f t="shared" si="52"/>
        <v>0</v>
      </c>
      <c r="AO30" s="94">
        <f>SUMIFS('Federal Data'!Z2:Z501,'Federal Data'!$G2:$G501,"Sales of Major Assets")</f>
        <v>0</v>
      </c>
      <c r="AP30" s="101" t="s">
        <v>487</v>
      </c>
      <c r="AQ30" s="94">
        <f t="shared" si="53"/>
        <v>0</v>
      </c>
      <c r="AR30" s="94">
        <f>SUMIFS('Federal Data'!AA2:AA501,'Federal Data'!$G2:$G501,"Sales of Major Assets")</f>
        <v>0</v>
      </c>
      <c r="AS30" s="101" t="s">
        <v>487</v>
      </c>
      <c r="AT30" s="94">
        <f t="shared" si="54"/>
        <v>0</v>
      </c>
      <c r="AU30" s="94">
        <f>SUMIFS('Federal Data'!AB2:AB501,'Federal Data'!$G2:$G501,"Sales of Major Assets")</f>
        <v>0</v>
      </c>
      <c r="AV30" s="101" t="s">
        <v>487</v>
      </c>
      <c r="AW30" s="94">
        <f t="shared" si="55"/>
        <v>0</v>
      </c>
      <c r="AX30" s="94">
        <f>SUMIFS('Federal Data'!AC2:AC501,'Federal Data'!$G2:$G501,"Sales of Major Assets")</f>
        <v>0</v>
      </c>
      <c r="AY30" s="101" t="s">
        <v>487</v>
      </c>
      <c r="AZ30" s="94">
        <f t="shared" si="56"/>
        <v>0</v>
      </c>
      <c r="BA30" s="94">
        <f>SUMIFS('Federal Data'!AD2:AD501,'Federal Data'!$G2:$G501,"Sales of Major Assets")</f>
        <v>0</v>
      </c>
      <c r="BB30" s="101" t="s">
        <v>487</v>
      </c>
      <c r="BC30" s="94">
        <f t="shared" si="57"/>
        <v>0</v>
      </c>
      <c r="BD30" s="94">
        <f>SUMIFS('Federal Data'!AE2:AE501,'Federal Data'!$G2:$G501,"Sales of Major Assets")</f>
        <v>5158000</v>
      </c>
      <c r="BE30" s="101" t="s">
        <v>487</v>
      </c>
      <c r="BF30" s="94">
        <f t="shared" si="58"/>
        <v>5158000</v>
      </c>
      <c r="BG30" s="94">
        <f>SUMIFS('Federal Data'!AF2:AF501,'Federal Data'!$G2:$G501,"Sales of Major Assets")</f>
        <v>0</v>
      </c>
      <c r="BH30" s="101" t="s">
        <v>487</v>
      </c>
      <c r="BI30" s="94">
        <f t="shared" si="59"/>
        <v>0</v>
      </c>
      <c r="BJ30" s="94">
        <f>SUMIFS('Federal Data'!AG2:AG501,'Federal Data'!$G2:$G501,"Sales of Major Assets")</f>
        <v>0</v>
      </c>
      <c r="BK30" s="101" t="s">
        <v>487</v>
      </c>
      <c r="BL30" s="94">
        <f t="shared" si="60"/>
        <v>0</v>
      </c>
      <c r="BM30" s="94">
        <f>SUMIFS('Federal Data'!AH2:AH501,'Federal Data'!$G2:$G501,"Sales of Major Assets")</f>
        <v>0</v>
      </c>
      <c r="BN30" s="101" t="s">
        <v>487</v>
      </c>
      <c r="BO30" s="94">
        <f t="shared" si="61"/>
        <v>0</v>
      </c>
      <c r="BP30" s="94">
        <f>SUMIFS('Federal Data'!AI2:AI501,'Federal Data'!$G2:$G501,"Sales of Major Assets")</f>
        <v>0</v>
      </c>
      <c r="BQ30" s="101" t="s">
        <v>487</v>
      </c>
      <c r="BR30" s="94">
        <f t="shared" si="62"/>
        <v>0</v>
      </c>
      <c r="BS30" s="94">
        <f>SUMIFS('Federal Data'!AJ2:AJ501,'Federal Data'!$G2:$G501,"Sales of Major Assets")</f>
        <v>0</v>
      </c>
      <c r="BT30" s="101" t="s">
        <v>487</v>
      </c>
      <c r="BU30" s="94">
        <f t="shared" si="63"/>
        <v>0</v>
      </c>
      <c r="BV30" s="94">
        <f>SUMIFS('Federal Data'!AK2:AK501,'Federal Data'!$G2:$G501,"Sales of Major Assets")</f>
        <v>0</v>
      </c>
      <c r="BW30" s="101" t="s">
        <v>487</v>
      </c>
      <c r="BX30" s="94">
        <f t="shared" si="64"/>
        <v>0</v>
      </c>
      <c r="BY30" s="94">
        <f>SUMIFS('Federal Data'!AL2:AL501,'Federal Data'!$G2:$G501,"Sales of Major Assets")</f>
        <v>0</v>
      </c>
      <c r="BZ30" s="101" t="s">
        <v>487</v>
      </c>
      <c r="CA30" s="94">
        <f t="shared" si="65"/>
        <v>0</v>
      </c>
      <c r="CB30" s="94">
        <f>SUMIFS('Federal Data'!AM2:AM501,'Federal Data'!$G2:$G501,"Sales of Major Assets")</f>
        <v>0</v>
      </c>
      <c r="CC30" s="101" t="s">
        <v>487</v>
      </c>
      <c r="CD30" s="94">
        <f t="shared" si="66"/>
        <v>0</v>
      </c>
      <c r="CE30" s="94">
        <f>SUMIFS('Federal Data'!AN2:AN501,'Federal Data'!$G2:$G501,"Sales of Major Assets")</f>
        <v>0</v>
      </c>
      <c r="CF30" s="101" t="s">
        <v>487</v>
      </c>
      <c r="CG30" s="94">
        <f t="shared" si="67"/>
        <v>0</v>
      </c>
      <c r="CH30" s="94">
        <f>SUMIFS('Federal Data'!AO2:AO501,'Federal Data'!$G2:$G501,"Sales of Major Assets")</f>
        <v>0</v>
      </c>
      <c r="CI30" s="101" t="s">
        <v>487</v>
      </c>
      <c r="CJ30" s="94">
        <f t="shared" si="68"/>
        <v>0</v>
      </c>
      <c r="CK30" s="94">
        <f>SUMIFS('Federal Data'!AP2:AP501,'Federal Data'!$G2:$G501,"Sales of Major Assets")</f>
        <v>0</v>
      </c>
      <c r="CL30" s="101" t="s">
        <v>487</v>
      </c>
      <c r="CM30" s="94">
        <f t="shared" si="69"/>
        <v>0</v>
      </c>
      <c r="CN30" s="94">
        <f>SUMIFS('Federal Data'!AQ2:AQ501,'Federal Data'!$G2:$G501,"Sales of Major Assets")</f>
        <v>0</v>
      </c>
      <c r="CO30" s="101" t="s">
        <v>487</v>
      </c>
      <c r="CP30" s="94">
        <f t="shared" si="70"/>
        <v>0</v>
      </c>
      <c r="CQ30" s="94">
        <f>SUMIFS('Federal Data'!AR2:AR501,'Federal Data'!$G2:$G501,"Sales of Major Assets")</f>
        <v>2404000</v>
      </c>
      <c r="CR30" s="101" t="s">
        <v>487</v>
      </c>
      <c r="CS30" s="94">
        <f t="shared" si="71"/>
        <v>2404000</v>
      </c>
      <c r="CT30" s="94">
        <f>SUMIFS('Federal Data'!AS2:AS501,'Federal Data'!$G2:$G501,"Sales of Major Assets")</f>
        <v>12992000</v>
      </c>
      <c r="CU30" s="101" t="s">
        <v>487</v>
      </c>
      <c r="CV30" s="94">
        <f t="shared" si="72"/>
        <v>12992000</v>
      </c>
      <c r="CW30" s="94">
        <f>SUMIFS('Federal Data'!AT2:AT501,'Federal Data'!$G2:$G501,"Sales of Major Assets")</f>
        <v>2588000</v>
      </c>
      <c r="CX30" s="101" t="s">
        <v>487</v>
      </c>
      <c r="CY30" s="94">
        <f t="shared" si="73"/>
        <v>2588000</v>
      </c>
      <c r="CZ30" s="94">
        <f>SUMIFS('Federal Data'!AU2:AU501,'Federal Data'!$G2:$G501,"Sales of Major Assets")</f>
        <v>0</v>
      </c>
      <c r="DA30" s="101" t="s">
        <v>487</v>
      </c>
      <c r="DB30" s="94">
        <f t="shared" si="74"/>
        <v>0</v>
      </c>
      <c r="DC30" s="37">
        <f>SUMIFS('Federal Data'!AV2:AV501,'Federal Data'!$G2:$G501,"Sales of Major Assets")</f>
        <v>0</v>
      </c>
      <c r="DD30" s="85" t="s">
        <v>487</v>
      </c>
      <c r="DE30" s="37">
        <f t="shared" si="75"/>
        <v>0</v>
      </c>
    </row>
    <row r="31" spans="1:109" outlineLevel="1">
      <c r="A31" s="27" t="s">
        <v>14</v>
      </c>
      <c r="B31" s="94">
        <f>SUMIFS('Federal Data'!M2:M501,'Federal Data'!$F2:$F501,"Federal Reserve earnings")</f>
        <v>11767143</v>
      </c>
      <c r="C31" s="101" t="s">
        <v>487</v>
      </c>
      <c r="D31" s="94">
        <f t="shared" si="40"/>
        <v>11767143</v>
      </c>
      <c r="E31" s="94">
        <f>SUMIFS('Federal Data'!N2:N501,'Federal Data'!$F2:$F501,"Federal Reserve earnings")</f>
        <v>12833713</v>
      </c>
      <c r="F31" s="101" t="s">
        <v>487</v>
      </c>
      <c r="G31" s="94">
        <f t="shared" si="41"/>
        <v>12833713</v>
      </c>
      <c r="H31" s="94">
        <f>SUMIFS('Federal Data'!O2:O501,'Federal Data'!$F2:$F501,"Federal Reserve earnings")</f>
        <v>15185696</v>
      </c>
      <c r="I31" s="101" t="s">
        <v>487</v>
      </c>
      <c r="J31" s="94">
        <f t="shared" si="42"/>
        <v>15185696</v>
      </c>
      <c r="K31" s="94">
        <f>SUMIFS('Federal Data'!P2:P501,'Federal Data'!$F2:$F501,"Federal Reserve earnings")</f>
        <v>14492350</v>
      </c>
      <c r="L31" s="101" t="s">
        <v>487</v>
      </c>
      <c r="M31" s="94">
        <f t="shared" si="43"/>
        <v>14492350</v>
      </c>
      <c r="N31" s="94">
        <f>SUMIFS('Federal Data'!Q2:Q501,'Federal Data'!$F2:$F501,"Federal Reserve earnings")</f>
        <v>15683846</v>
      </c>
      <c r="O31" s="101" t="s">
        <v>487</v>
      </c>
      <c r="P31" s="94">
        <f t="shared" si="44"/>
        <v>15683846</v>
      </c>
      <c r="Q31" s="94">
        <f>SUMIFS('Federal Data'!R2:R501,'Federal Data'!$F2:$F501,"Federal Reserve earnings")</f>
        <v>17058986</v>
      </c>
      <c r="R31" s="101" t="s">
        <v>487</v>
      </c>
      <c r="S31" s="94">
        <f t="shared" si="45"/>
        <v>17058986</v>
      </c>
      <c r="T31" s="94">
        <f>SUMIFS('Federal Data'!S2:S501,'Federal Data'!$F2:$F501,"Federal Reserve earnings")</f>
        <v>18373909</v>
      </c>
      <c r="U31" s="101" t="s">
        <v>487</v>
      </c>
      <c r="V31" s="94">
        <f t="shared" si="46"/>
        <v>18373909</v>
      </c>
      <c r="W31" s="94">
        <f>SUMIFS('Federal Data'!T2:T501,'Federal Data'!$F2:$F501,"Federal Reserve earnings")</f>
        <v>16816623</v>
      </c>
      <c r="X31" s="101" t="s">
        <v>487</v>
      </c>
      <c r="Y31" s="94">
        <f t="shared" si="47"/>
        <v>16816623</v>
      </c>
      <c r="Z31" s="94">
        <f>SUMIFS('Federal Data'!U2:U501,'Federal Data'!$F2:$F501,"Federal Reserve earnings")</f>
        <v>17163237</v>
      </c>
      <c r="AA31" s="101" t="s">
        <v>487</v>
      </c>
      <c r="AB31" s="94">
        <f t="shared" si="48"/>
        <v>17163237</v>
      </c>
      <c r="AC31" s="94">
        <f>SUMIFS('Federal Data'!V2:V501,'Federal Data'!$F2:$F501,"Federal Reserve earnings")</f>
        <v>19604126</v>
      </c>
      <c r="AD31" s="101" t="s">
        <v>487</v>
      </c>
      <c r="AE31" s="94">
        <f t="shared" si="49"/>
        <v>19604126</v>
      </c>
      <c r="AF31" s="94">
        <f>SUMIFS('Federal Data'!W2:W501,'Federal Data'!$F2:$F501,"Federal Reserve earnings")</f>
        <v>24319216</v>
      </c>
      <c r="AG31" s="101" t="s">
        <v>487</v>
      </c>
      <c r="AH31" s="94">
        <f t="shared" si="50"/>
        <v>24319216</v>
      </c>
      <c r="AI31" s="94">
        <f>SUMIFS('Federal Data'!X2:X501,'Federal Data'!$F2:$F501,"Federal Reserve earnings")</f>
        <v>19158322</v>
      </c>
      <c r="AJ31" s="101" t="s">
        <v>487</v>
      </c>
      <c r="AK31" s="94">
        <f t="shared" si="51"/>
        <v>19158322</v>
      </c>
      <c r="AL31" s="94">
        <f>SUMIFS('Federal Data'!Y2:Y501,'Federal Data'!$F2:$F501,"Federal Reserve earnings")</f>
        <v>22920445</v>
      </c>
      <c r="AM31" s="101" t="s">
        <v>487</v>
      </c>
      <c r="AN31" s="94">
        <f t="shared" si="52"/>
        <v>22920445</v>
      </c>
      <c r="AO31" s="94">
        <f>SUMIFS('Federal Data'!Z2:Z501,'Federal Data'!$F2:$F501,"Federal Reserve earnings")</f>
        <v>14908084</v>
      </c>
      <c r="AP31" s="101" t="s">
        <v>487</v>
      </c>
      <c r="AQ31" s="94">
        <f t="shared" si="53"/>
        <v>14908084</v>
      </c>
      <c r="AR31" s="94">
        <f>SUMIFS('Federal Data'!AA2:AA501,'Federal Data'!$F2:$F501,"Federal Reserve earnings")</f>
        <v>18022729</v>
      </c>
      <c r="AS31" s="101" t="s">
        <v>487</v>
      </c>
      <c r="AT31" s="94">
        <f t="shared" si="54"/>
        <v>18022729</v>
      </c>
      <c r="AU31" s="94">
        <f>SUMIFS('Federal Data'!AB2:AB501,'Federal Data'!$F2:$F501,"Federal Reserve earnings")</f>
        <v>23378000</v>
      </c>
      <c r="AV31" s="101" t="s">
        <v>487</v>
      </c>
      <c r="AW31" s="94">
        <f t="shared" si="55"/>
        <v>23378000</v>
      </c>
      <c r="AX31" s="94">
        <f>SUMIFS('Federal Data'!AC2:AC501,'Federal Data'!$F2:$F501,"Federal Reserve earnings")</f>
        <v>20477000</v>
      </c>
      <c r="AY31" s="101" t="s">
        <v>487</v>
      </c>
      <c r="AZ31" s="94">
        <f t="shared" si="56"/>
        <v>20477000</v>
      </c>
      <c r="BA31" s="94">
        <f>SUMIFS('Federal Data'!AD2:AD501,'Federal Data'!$F2:$F501,"Federal Reserve earnings")</f>
        <v>19636000</v>
      </c>
      <c r="BB31" s="101" t="s">
        <v>487</v>
      </c>
      <c r="BC31" s="94">
        <f t="shared" si="57"/>
        <v>19636000</v>
      </c>
      <c r="BD31" s="94">
        <f>SUMIFS('Federal Data'!AE2:AE501,'Federal Data'!$F2:$F501,"Federal Reserve earnings")</f>
        <v>24540000</v>
      </c>
      <c r="BE31" s="101" t="s">
        <v>487</v>
      </c>
      <c r="BF31" s="94">
        <f t="shared" si="58"/>
        <v>24540000</v>
      </c>
      <c r="BG31" s="94">
        <f>SUMIFS('Federal Data'!AF2:AF501,'Federal Data'!$F2:$F501,"Federal Reserve earnings")</f>
        <v>25917000</v>
      </c>
      <c r="BH31" s="101" t="s">
        <v>487</v>
      </c>
      <c r="BI31" s="94">
        <f t="shared" si="59"/>
        <v>25917000</v>
      </c>
      <c r="BJ31" s="94">
        <f>SUMIFS('Federal Data'!AG2:AG501,'Federal Data'!$F2:$F501,"Federal Reserve earnings")</f>
        <v>32293000</v>
      </c>
      <c r="BK31" s="101" t="s">
        <v>487</v>
      </c>
      <c r="BL31" s="94">
        <f t="shared" si="60"/>
        <v>32293000</v>
      </c>
      <c r="BM31" s="94">
        <f>SUMIFS('Federal Data'!AH2:AH501,'Federal Data'!$F2:$F501,"Federal Reserve earnings")</f>
        <v>26124000</v>
      </c>
      <c r="BN31" s="101" t="s">
        <v>487</v>
      </c>
      <c r="BO31" s="94">
        <f t="shared" si="61"/>
        <v>26124000</v>
      </c>
      <c r="BP31" s="94">
        <f>SUMIFS('Federal Data'!AI2:AI501,'Federal Data'!$F2:$F501,"Federal Reserve earnings")</f>
        <v>23683000</v>
      </c>
      <c r="BQ31" s="101" t="s">
        <v>487</v>
      </c>
      <c r="BR31" s="94">
        <f t="shared" si="62"/>
        <v>23683000</v>
      </c>
      <c r="BS31" s="94">
        <f>SUMIFS('Federal Data'!AJ2:AJ501,'Federal Data'!$F2:$F501,"Federal Reserve earnings")</f>
        <v>21878000</v>
      </c>
      <c r="BT31" s="101" t="s">
        <v>487</v>
      </c>
      <c r="BU31" s="94">
        <f t="shared" si="63"/>
        <v>21878000</v>
      </c>
      <c r="BV31" s="94">
        <f>SUMIFS('Federal Data'!AK2:AK501,'Federal Data'!$F2:$F501,"Federal Reserve earnings")</f>
        <v>19652000</v>
      </c>
      <c r="BW31" s="101" t="s">
        <v>487</v>
      </c>
      <c r="BX31" s="94">
        <f t="shared" si="64"/>
        <v>19652000</v>
      </c>
      <c r="BY31" s="94">
        <f>SUMIFS('Federal Data'!AL2:AL501,'Federal Data'!$F2:$F501,"Federal Reserve earnings")</f>
        <v>19297000</v>
      </c>
      <c r="BZ31" s="101" t="s">
        <v>487</v>
      </c>
      <c r="CA31" s="94">
        <f t="shared" si="65"/>
        <v>19297000</v>
      </c>
      <c r="CB31" s="94">
        <f>SUMIFS('Federal Data'!AM2:AM501,'Federal Data'!$F2:$F501,"Federal Reserve earnings")</f>
        <v>29945000</v>
      </c>
      <c r="CC31" s="101" t="s">
        <v>487</v>
      </c>
      <c r="CD31" s="94">
        <f t="shared" si="66"/>
        <v>29945000</v>
      </c>
      <c r="CE31" s="94">
        <f>SUMIFS('Federal Data'!AN2:AN501,'Federal Data'!$F2:$F501,"Federal Reserve earnings")</f>
        <v>32043000</v>
      </c>
      <c r="CF31" s="101" t="s">
        <v>487</v>
      </c>
      <c r="CG31" s="94">
        <f t="shared" si="67"/>
        <v>32043000</v>
      </c>
      <c r="CH31" s="94">
        <f>SUMIFS('Federal Data'!AO2:AO501,'Federal Data'!$F2:$F501,"Federal Reserve earnings")</f>
        <v>33598000</v>
      </c>
      <c r="CI31" s="101" t="s">
        <v>487</v>
      </c>
      <c r="CJ31" s="94">
        <f t="shared" si="68"/>
        <v>33598000</v>
      </c>
      <c r="CK31" s="94">
        <f>SUMIFS('Federal Data'!AP2:AP501,'Federal Data'!$F2:$F501,"Federal Reserve earnings")</f>
        <v>34318000</v>
      </c>
      <c r="CL31" s="101" t="s">
        <v>487</v>
      </c>
      <c r="CM31" s="94">
        <f t="shared" si="69"/>
        <v>34318000</v>
      </c>
      <c r="CN31" s="94">
        <f>SUMIFS('Federal Data'!AQ2:AQ501,'Federal Data'!$F2:$F501,"Federal Reserve earnings")</f>
        <v>75863000</v>
      </c>
      <c r="CO31" s="101" t="s">
        <v>487</v>
      </c>
      <c r="CP31" s="94">
        <f t="shared" si="70"/>
        <v>75863000</v>
      </c>
      <c r="CQ31" s="94">
        <f>SUMIFS('Federal Data'!AR2:AR501,'Federal Data'!$F2:$F501,"Federal Reserve earnings")</f>
        <v>82729000</v>
      </c>
      <c r="CR31" s="101" t="s">
        <v>487</v>
      </c>
      <c r="CS31" s="94">
        <f t="shared" si="71"/>
        <v>82729000</v>
      </c>
      <c r="CT31" s="94">
        <f>SUMIFS('Federal Data'!AS2:AS501,'Federal Data'!$F2:$F501,"Federal Reserve earnings")</f>
        <v>82468000</v>
      </c>
      <c r="CU31" s="101" t="s">
        <v>487</v>
      </c>
      <c r="CV31" s="94">
        <f t="shared" si="72"/>
        <v>82468000</v>
      </c>
      <c r="CW31" s="94">
        <f>SUMIFS('Federal Data'!AT2:AT501,'Federal Data'!$F2:$F501,"Federal Reserve earnings")</f>
        <v>76320000</v>
      </c>
      <c r="CX31" s="101" t="s">
        <v>487</v>
      </c>
      <c r="CY31" s="94">
        <f t="shared" si="73"/>
        <v>76320000</v>
      </c>
      <c r="CZ31" s="94">
        <f>SUMIFS('Federal Data'!AU2:AU501,'Federal Data'!$F2:$F501,"Federal Reserve earnings")</f>
        <v>99875000</v>
      </c>
      <c r="DA31" s="101" t="s">
        <v>487</v>
      </c>
      <c r="DB31" s="94">
        <f t="shared" si="74"/>
        <v>99875000</v>
      </c>
      <c r="DC31" s="37">
        <f>SUMIFS('Federal Data'!AV2:AV501,'Federal Data'!$F2:$F501,"Federal Reserve earnings")</f>
        <v>97046000</v>
      </c>
      <c r="DD31" s="85" t="s">
        <v>487</v>
      </c>
      <c r="DE31" s="37">
        <f t="shared" si="75"/>
        <v>97046000</v>
      </c>
    </row>
    <row r="32" spans="1:109" outlineLevel="1">
      <c r="A32" s="27" t="s">
        <v>299</v>
      </c>
      <c r="B32" s="101" t="s">
        <v>487</v>
      </c>
      <c r="C32" s="101">
        <f>'State and Local P&amp;L (detailed)'!$C$23</f>
        <v>14031154</v>
      </c>
      <c r="D32" s="94">
        <f t="shared" si="40"/>
        <v>14031154</v>
      </c>
      <c r="E32" s="101" t="s">
        <v>487</v>
      </c>
      <c r="F32" s="101">
        <f>'State and Local P&amp;L (detailed)'!$D$23</f>
        <v>17240949</v>
      </c>
      <c r="G32" s="94">
        <f t="shared" si="41"/>
        <v>17240949</v>
      </c>
      <c r="H32" s="101" t="s">
        <v>487</v>
      </c>
      <c r="I32" s="101">
        <f>'State and Local P&amp;L (detailed)'!$E$23</f>
        <v>20233222</v>
      </c>
      <c r="J32" s="94">
        <f t="shared" si="42"/>
        <v>20233222</v>
      </c>
      <c r="K32" s="101" t="s">
        <v>487</v>
      </c>
      <c r="L32" s="101">
        <f>'State and Local P&amp;L (detailed)'!$F$23</f>
        <v>27416969</v>
      </c>
      <c r="M32" s="94">
        <f t="shared" si="43"/>
        <v>27416969</v>
      </c>
      <c r="N32" s="101" t="s">
        <v>487</v>
      </c>
      <c r="O32" s="101">
        <f>'State and Local P&amp;L (detailed)'!$G$23</f>
        <v>30610640</v>
      </c>
      <c r="P32" s="94">
        <f t="shared" si="44"/>
        <v>30610640</v>
      </c>
      <c r="Q32" s="101" t="s">
        <v>487</v>
      </c>
      <c r="R32" s="101">
        <f>'State and Local P&amp;L (detailed)'!$H$23</f>
        <v>36285574</v>
      </c>
      <c r="S32" s="94">
        <f t="shared" si="45"/>
        <v>36285574</v>
      </c>
      <c r="T32" s="101" t="s">
        <v>487</v>
      </c>
      <c r="U32" s="101">
        <f>'State and Local P&amp;L (detailed)'!$I$23</f>
        <v>50888782</v>
      </c>
      <c r="V32" s="94">
        <f t="shared" si="46"/>
        <v>50888782</v>
      </c>
      <c r="W32" s="101" t="s">
        <v>487</v>
      </c>
      <c r="X32" s="101">
        <f>'State and Local P&amp;L (detailed)'!$J$23</f>
        <v>59605976</v>
      </c>
      <c r="Y32" s="94">
        <f t="shared" si="47"/>
        <v>59605976</v>
      </c>
      <c r="Z32" s="101" t="s">
        <v>487</v>
      </c>
      <c r="AA32" s="101">
        <f>'State and Local P&amp;L (detailed)'!$K$23</f>
        <v>57234466</v>
      </c>
      <c r="AB32" s="94">
        <f t="shared" si="48"/>
        <v>57234466</v>
      </c>
      <c r="AC32" s="101" t="s">
        <v>487</v>
      </c>
      <c r="AD32" s="101">
        <f>'State and Local P&amp;L (detailed)'!$L$23</f>
        <v>58979925</v>
      </c>
      <c r="AE32" s="94">
        <f t="shared" si="49"/>
        <v>58979925</v>
      </c>
      <c r="AF32" s="101" t="s">
        <v>487</v>
      </c>
      <c r="AG32" s="101">
        <f>'State and Local P&amp;L (detailed)'!$M$23</f>
        <v>70279883</v>
      </c>
      <c r="AH32" s="94">
        <f t="shared" si="50"/>
        <v>70279883</v>
      </c>
      <c r="AI32" s="101" t="s">
        <v>487</v>
      </c>
      <c r="AJ32" s="101">
        <f>'State and Local P&amp;L (detailed)'!$N$23</f>
        <v>61496254</v>
      </c>
      <c r="AK32" s="94">
        <f t="shared" si="51"/>
        <v>61496254</v>
      </c>
      <c r="AL32" s="101" t="s">
        <v>487</v>
      </c>
      <c r="AM32" s="101">
        <f>'State and Local P&amp;L (detailed)'!$O$23</f>
        <v>80548468</v>
      </c>
      <c r="AN32" s="94">
        <f t="shared" si="52"/>
        <v>80548468</v>
      </c>
      <c r="AO32" s="101" t="s">
        <v>487</v>
      </c>
      <c r="AP32" s="101">
        <f>'State and Local P&amp;L (detailed)'!$P$23</f>
        <v>86823768</v>
      </c>
      <c r="AQ32" s="94">
        <f t="shared" si="53"/>
        <v>86823768</v>
      </c>
      <c r="AR32" s="101" t="s">
        <v>487</v>
      </c>
      <c r="AS32" s="101">
        <f>'State and Local P&amp;L (detailed)'!$Q$23</f>
        <v>86148733</v>
      </c>
      <c r="AT32" s="94">
        <f t="shared" si="54"/>
        <v>86148733</v>
      </c>
      <c r="AU32" s="101" t="s">
        <v>487</v>
      </c>
      <c r="AV32" s="101">
        <f>'State and Local P&amp;L (detailed)'!$R$23</f>
        <v>91445381</v>
      </c>
      <c r="AW32" s="94">
        <f t="shared" si="55"/>
        <v>91445381</v>
      </c>
      <c r="AX32" s="101" t="s">
        <v>487</v>
      </c>
      <c r="AY32" s="101">
        <f>'State and Local P&amp;L (detailed)'!$S$23</f>
        <v>133003671</v>
      </c>
      <c r="AZ32" s="94">
        <f t="shared" si="56"/>
        <v>133003671</v>
      </c>
      <c r="BA32" s="101" t="s">
        <v>487</v>
      </c>
      <c r="BB32" s="101">
        <f>'State and Local P&amp;L (detailed)'!$T$23</f>
        <v>163630677</v>
      </c>
      <c r="BC32" s="94">
        <f t="shared" si="57"/>
        <v>163630677</v>
      </c>
      <c r="BD32" s="101" t="s">
        <v>487</v>
      </c>
      <c r="BE32" s="101">
        <f>'State and Local P&amp;L (detailed)'!$U$23</f>
        <v>202869262</v>
      </c>
      <c r="BF32" s="94">
        <f t="shared" si="58"/>
        <v>202869262</v>
      </c>
      <c r="BG32" s="101" t="s">
        <v>487</v>
      </c>
      <c r="BH32" s="101">
        <f>'State and Local P&amp;L (detailed)'!$V$23</f>
        <v>202892663</v>
      </c>
      <c r="BI32" s="94">
        <f t="shared" si="59"/>
        <v>202892663</v>
      </c>
      <c r="BJ32" s="101" t="s">
        <v>487</v>
      </c>
      <c r="BK32" s="101">
        <f>'State and Local P&amp;L (detailed)'!$W$23</f>
        <v>237185135</v>
      </c>
      <c r="BL32" s="94">
        <f t="shared" si="60"/>
        <v>237185135</v>
      </c>
      <c r="BM32" s="101" t="s">
        <v>487</v>
      </c>
      <c r="BN32" s="101">
        <f>'State and Local P&amp;L (detailed)'!$X$23</f>
        <v>65366063</v>
      </c>
      <c r="BO32" s="94">
        <f t="shared" si="61"/>
        <v>65366063</v>
      </c>
      <c r="BP32" s="101" t="s">
        <v>487</v>
      </c>
      <c r="BQ32" s="101">
        <f>'State and Local P&amp;L (detailed)'!$Y$23</f>
        <v>-70639641</v>
      </c>
      <c r="BR32" s="94">
        <f t="shared" si="62"/>
        <v>-70639641</v>
      </c>
      <c r="BS32" s="101" t="s">
        <v>487</v>
      </c>
      <c r="BT32" s="101">
        <f>'State and Local P&amp;L (detailed)'!$Z$23</f>
        <v>76243075</v>
      </c>
      <c r="BU32" s="94">
        <f t="shared" si="63"/>
        <v>76243075</v>
      </c>
      <c r="BV32" s="101" t="s">
        <v>487</v>
      </c>
      <c r="BW32" s="101">
        <f>'State and Local P&amp;L (detailed)'!$AA$23</f>
        <v>319821409</v>
      </c>
      <c r="BX32" s="94">
        <f t="shared" si="64"/>
        <v>319821409</v>
      </c>
      <c r="BY32" s="101" t="s">
        <v>487</v>
      </c>
      <c r="BZ32" s="101">
        <f>'State and Local P&amp;L (detailed)'!$AB$23</f>
        <v>268012830</v>
      </c>
      <c r="CA32" s="94">
        <f t="shared" si="65"/>
        <v>268012830</v>
      </c>
      <c r="CB32" s="101" t="s">
        <v>487</v>
      </c>
      <c r="CC32" s="101">
        <f>'State and Local P&amp;L (detailed)'!$AC$23</f>
        <v>295140122</v>
      </c>
      <c r="CD32" s="94">
        <f t="shared" si="66"/>
        <v>295140122</v>
      </c>
      <c r="CE32" s="101" t="s">
        <v>487</v>
      </c>
      <c r="CF32" s="101">
        <f>'State and Local P&amp;L (detailed)'!$AD$23</f>
        <v>477666015</v>
      </c>
      <c r="CG32" s="94">
        <f t="shared" si="67"/>
        <v>477666015</v>
      </c>
      <c r="CH32" s="101" t="s">
        <v>487</v>
      </c>
      <c r="CI32" s="101">
        <f>'State and Local P&amp;L (detailed)'!$AE$23</f>
        <v>-65516951</v>
      </c>
      <c r="CJ32" s="94">
        <f t="shared" si="68"/>
        <v>-65516951</v>
      </c>
      <c r="CK32" s="101" t="s">
        <v>487</v>
      </c>
      <c r="CL32" s="101">
        <f>'State and Local P&amp;L (detailed)'!$AF$23</f>
        <v>-617535968</v>
      </c>
      <c r="CM32" s="94">
        <f t="shared" si="69"/>
        <v>-617535968</v>
      </c>
      <c r="CN32" s="101" t="s">
        <v>487</v>
      </c>
      <c r="CO32" s="101">
        <f>'State and Local P&amp;L (detailed)'!$AG$23</f>
        <v>351703928</v>
      </c>
      <c r="CP32" s="94">
        <f t="shared" si="70"/>
        <v>351703928</v>
      </c>
      <c r="CQ32" s="101" t="s">
        <v>487</v>
      </c>
      <c r="CR32" s="101">
        <f>'State and Local P&amp;L (detailed)'!$AH$23</f>
        <v>485354988</v>
      </c>
      <c r="CS32" s="94">
        <f t="shared" si="71"/>
        <v>485354988</v>
      </c>
      <c r="CT32" s="101" t="s">
        <v>487</v>
      </c>
      <c r="CU32" s="101">
        <f>'State and Local P&amp;L (detailed)'!$AI$23</f>
        <v>97715350</v>
      </c>
      <c r="CV32" s="94">
        <f t="shared" si="72"/>
        <v>97715350</v>
      </c>
      <c r="CW32" s="101" t="s">
        <v>487</v>
      </c>
      <c r="CX32" s="101">
        <f>'State and Local P&amp;L (detailed)'!$AJ$23</f>
        <v>388306592</v>
      </c>
      <c r="CY32" s="94">
        <f t="shared" si="73"/>
        <v>388306592</v>
      </c>
      <c r="CZ32" s="101" t="s">
        <v>487</v>
      </c>
      <c r="DA32" s="101">
        <f>'State and Local P&amp;L (detailed)'!$AK$23</f>
        <v>538987532</v>
      </c>
      <c r="DB32" s="94">
        <f t="shared" si="74"/>
        <v>538987532</v>
      </c>
      <c r="DC32" s="85" t="s">
        <v>487</v>
      </c>
      <c r="DD32" s="85">
        <f>'State and Local P&amp;L (detailed)'!$AL$23</f>
        <v>0</v>
      </c>
      <c r="DE32" s="37">
        <f t="shared" si="75"/>
        <v>0</v>
      </c>
    </row>
    <row r="33" spans="1:109" outlineLevel="1">
      <c r="A33" s="27" t="s">
        <v>17</v>
      </c>
      <c r="B33" s="94">
        <f>SUMIFS('Federal Data'!M2:M501,'Federal Data'!$F2:$F501,"Other Non-Tax Revenue")</f>
        <v>980627</v>
      </c>
      <c r="C33" s="101">
        <f>'State and Local P&amp;L (detailed)'!$C$24</f>
        <v>8341390</v>
      </c>
      <c r="D33" s="94">
        <f t="shared" si="40"/>
        <v>9322017</v>
      </c>
      <c r="E33" s="94">
        <f>SUMIFS('Federal Data'!N2:N501,'Federal Data'!$F2:$F501,"Other Non-Tax Revenue")</f>
        <v>955860</v>
      </c>
      <c r="F33" s="101">
        <f>'State and Local P&amp;L (detailed)'!$D$24</f>
        <v>9633000</v>
      </c>
      <c r="G33" s="94">
        <f t="shared" si="41"/>
        <v>10588860</v>
      </c>
      <c r="H33" s="94">
        <f>SUMIFS('Federal Data'!O2:O501,'Federal Data'!$F2:$F501,"Other Non-Tax Revenue")</f>
        <v>975481</v>
      </c>
      <c r="I33" s="101">
        <f>'State and Local P&amp;L (detailed)'!$E$24</f>
        <v>10457653</v>
      </c>
      <c r="J33" s="94">
        <f t="shared" si="42"/>
        <v>11433134</v>
      </c>
      <c r="K33" s="94">
        <f>SUMIFS('Federal Data'!P2:P501,'Federal Data'!$F2:$F501,"Other Non-Tax Revenue")</f>
        <v>1108320</v>
      </c>
      <c r="L33" s="101">
        <f>'State and Local P&amp;L (detailed)'!$F$24</f>
        <v>10247525</v>
      </c>
      <c r="M33" s="94">
        <f t="shared" si="43"/>
        <v>11355845</v>
      </c>
      <c r="N33" s="94">
        <f>SUMIFS('Federal Data'!Q2:Q501,'Federal Data'!$F2:$F501,"Other Non-Tax Revenue")</f>
        <v>1111554</v>
      </c>
      <c r="O33" s="101">
        <f>'State and Local P&amp;L (detailed)'!$G$24</f>
        <v>12023811</v>
      </c>
      <c r="P33" s="94">
        <f t="shared" si="44"/>
        <v>13135365</v>
      </c>
      <c r="Q33" s="94">
        <f>SUMIFS('Federal Data'!R2:R501,'Federal Data'!$F2:$F501,"Other Non-Tax Revenue")</f>
        <v>1145524</v>
      </c>
      <c r="R33" s="101">
        <f>'State and Local P&amp;L (detailed)'!$H$24</f>
        <v>13669050</v>
      </c>
      <c r="S33" s="94">
        <f t="shared" si="45"/>
        <v>14814574</v>
      </c>
      <c r="T33" s="94">
        <f>SUMIFS('Federal Data'!S2:S501,'Federal Data'!$F2:$F501,"Other Non-Tax Revenue")</f>
        <v>1292842</v>
      </c>
      <c r="U33" s="101">
        <f>'State and Local P&amp;L (detailed)'!$I$24</f>
        <v>15883433</v>
      </c>
      <c r="V33" s="94">
        <f t="shared" si="46"/>
        <v>17176275</v>
      </c>
      <c r="W33" s="94">
        <f>SUMIFS('Federal Data'!T2:T501,'Federal Data'!$F2:$F501,"Other Non-Tax Revenue")</f>
        <v>2259446</v>
      </c>
      <c r="X33" s="101">
        <f>'State and Local P&amp;L (detailed)'!$J$24</f>
        <v>17811925</v>
      </c>
      <c r="Y33" s="94">
        <f t="shared" si="47"/>
        <v>20071371</v>
      </c>
      <c r="Z33" s="94">
        <f>SUMIFS('Federal Data'!U2:U501,'Federal Data'!$F2:$F501,"Other Non-Tax Revenue")</f>
        <v>2545038</v>
      </c>
      <c r="AA33" s="101">
        <f>'State and Local P&amp;L (detailed)'!$K$24</f>
        <v>17952801</v>
      </c>
      <c r="AB33" s="94">
        <f t="shared" si="48"/>
        <v>20497839</v>
      </c>
      <c r="AC33" s="94">
        <f>SUMIFS('Federal Data'!V2:V501,'Federal Data'!$F2:$F501,"Other Non-Tax Revenue")</f>
        <v>3007266</v>
      </c>
      <c r="AD33" s="101">
        <f>'State and Local P&amp;L (detailed)'!$L$24</f>
        <v>19768596</v>
      </c>
      <c r="AE33" s="94">
        <f t="shared" si="49"/>
        <v>22775862</v>
      </c>
      <c r="AF33" s="94">
        <f>SUMIFS('Federal Data'!W2:W501,'Federal Data'!$F2:$F501,"Other Non-Tax Revenue")</f>
        <v>2882243</v>
      </c>
      <c r="AG33" s="101">
        <f>'State and Local P&amp;L (detailed)'!$M$24</f>
        <v>21711247</v>
      </c>
      <c r="AH33" s="94">
        <f t="shared" si="50"/>
        <v>24593490</v>
      </c>
      <c r="AI33" s="94">
        <f>SUMIFS('Federal Data'!X2:X501,'Federal Data'!$F2:$F501,"Other Non-Tax Revenue")</f>
        <v>3469595</v>
      </c>
      <c r="AJ33" s="101">
        <f>'State and Local P&amp;L (detailed)'!$N$24</f>
        <v>23585687</v>
      </c>
      <c r="AK33" s="94">
        <f t="shared" si="51"/>
        <v>27055282</v>
      </c>
      <c r="AL33" s="94">
        <f>SUMIFS('Federal Data'!Y2:Y501,'Federal Data'!$F2:$F501,"Other Non-Tax Revenue")</f>
        <v>3346309</v>
      </c>
      <c r="AM33" s="101">
        <f>'State and Local P&amp;L (detailed)'!$O$24</f>
        <v>30982334</v>
      </c>
      <c r="AN33" s="94">
        <f t="shared" si="52"/>
        <v>34328643</v>
      </c>
      <c r="AO33" s="94">
        <f>SUMIFS('Federal Data'!Z2:Z501,'Federal Data'!$F2:$F501,"Other Non-Tax Revenue")</f>
        <v>3494349</v>
      </c>
      <c r="AP33" s="101">
        <f>'State and Local P&amp;L (detailed)'!$P$24</f>
        <v>31763213</v>
      </c>
      <c r="AQ33" s="94">
        <f t="shared" si="53"/>
        <v>35257562</v>
      </c>
      <c r="AR33" s="94">
        <f>SUMIFS('Federal Data'!AA2:AA501,'Federal Data'!$F2:$F501,"Other Non-Tax Revenue")</f>
        <v>4027415</v>
      </c>
      <c r="AS33" s="101">
        <f>'State and Local P&amp;L (detailed)'!$Q$24</f>
        <v>31683191</v>
      </c>
      <c r="AT33" s="94">
        <f t="shared" si="54"/>
        <v>35710606</v>
      </c>
      <c r="AU33" s="94">
        <f>SUMIFS('Federal Data'!AB2:AB501,'Federal Data'!$F2:$F501,"Other Non-Tax Revenue")</f>
        <v>4088000</v>
      </c>
      <c r="AV33" s="101">
        <f>'State and Local P&amp;L (detailed)'!$R$24</f>
        <v>34829550</v>
      </c>
      <c r="AW33" s="94">
        <f t="shared" si="55"/>
        <v>38917550</v>
      </c>
      <c r="AX33" s="94">
        <f>SUMIFS('Federal Data'!AC2:AC501,'Federal Data'!$F2:$F501,"Other Non-Tax Revenue")</f>
        <v>3994000</v>
      </c>
      <c r="AY33" s="101">
        <f>'State and Local P&amp;L (detailed)'!$S$24</f>
        <v>38289284</v>
      </c>
      <c r="AZ33" s="94">
        <f t="shared" si="56"/>
        <v>42283284</v>
      </c>
      <c r="BA33" s="94">
        <f>SUMIFS('Federal Data'!AD2:AD501,'Federal Data'!$F2:$F501,"Other Non-Tax Revenue")</f>
        <v>4627000</v>
      </c>
      <c r="BB33" s="101">
        <f>'State and Local P&amp;L (detailed)'!$T$24</f>
        <v>40854610</v>
      </c>
      <c r="BC33" s="94">
        <f t="shared" si="57"/>
        <v>45481610</v>
      </c>
      <c r="BD33" s="94">
        <f>SUMIFS('Federal Data'!AE2:AE501,'Federal Data'!$F2:$F501,"Other Non-Tax Revenue")</f>
        <v>5177000</v>
      </c>
      <c r="BE33" s="101">
        <f>'State and Local P&amp;L (detailed)'!$U$24</f>
        <v>46097777</v>
      </c>
      <c r="BF33" s="94">
        <f t="shared" si="58"/>
        <v>51274777</v>
      </c>
      <c r="BG33" s="94">
        <f>SUMIFS('Federal Data'!AF2:AF501,'Federal Data'!$F2:$F501,"Other Non-Tax Revenue")</f>
        <v>5162000</v>
      </c>
      <c r="BH33" s="101">
        <f>'State and Local P&amp;L (detailed)'!$V$24</f>
        <v>48346003</v>
      </c>
      <c r="BI33" s="94">
        <f t="shared" si="59"/>
        <v>53508003</v>
      </c>
      <c r="BJ33" s="94">
        <f>SUMIFS('Federal Data'!AG2:AG501,'Federal Data'!$F2:$F501,"Other Non-Tax Revenue")</f>
        <v>5869000</v>
      </c>
      <c r="BK33" s="101">
        <f>'State and Local P&amp;L (detailed)'!$W$24</f>
        <v>58329216</v>
      </c>
      <c r="BL33" s="94">
        <f t="shared" si="60"/>
        <v>64198216</v>
      </c>
      <c r="BM33" s="94">
        <f>SUMIFS('Federal Data'!AH2:AH501,'Federal Data'!$F2:$F501,"Other Non-Tax Revenue")</f>
        <v>6200000</v>
      </c>
      <c r="BN33" s="101">
        <f>'State and Local P&amp;L (detailed)'!$X$24</f>
        <v>63232225</v>
      </c>
      <c r="BO33" s="94">
        <f t="shared" si="61"/>
        <v>69432225</v>
      </c>
      <c r="BP33" s="94">
        <f>SUMIFS('Federal Data'!AI2:AI501,'Federal Data'!$F2:$F501,"Other Non-Tax Revenue")</f>
        <v>4701000</v>
      </c>
      <c r="BQ33" s="101">
        <f>'State and Local P&amp;L (detailed)'!$Y$24</f>
        <v>71363075</v>
      </c>
      <c r="BR33" s="94">
        <f t="shared" si="62"/>
        <v>76064075</v>
      </c>
      <c r="BS33" s="94">
        <f>SUMIFS('Federal Data'!AJ2:AJ501,'Federal Data'!$F2:$F501,"Other Non-Tax Revenue")</f>
        <v>6838000</v>
      </c>
      <c r="BT33" s="101">
        <f>'State and Local P&amp;L (detailed)'!$Z$24</f>
        <v>77250722</v>
      </c>
      <c r="BU33" s="94">
        <f t="shared" si="63"/>
        <v>84088722</v>
      </c>
      <c r="BV33" s="94">
        <f>SUMIFS('Federal Data'!AK2:AK501,'Federal Data'!$F2:$F501,"Other Non-Tax Revenue")</f>
        <v>6321000</v>
      </c>
      <c r="BW33" s="101">
        <f>'State and Local P&amp;L (detailed)'!$AA$24</f>
        <v>80177239</v>
      </c>
      <c r="BX33" s="94">
        <f t="shared" si="64"/>
        <v>86498239</v>
      </c>
      <c r="BY33" s="94">
        <f>SUMIFS('Federal Data'!AL2:AL501,'Federal Data'!$F2:$F501,"Other Non-Tax Revenue")</f>
        <v>6106000</v>
      </c>
      <c r="BZ33" s="101">
        <f>'State and Local P&amp;L (detailed)'!$AB$24</f>
        <v>85921028</v>
      </c>
      <c r="CA33" s="94">
        <f t="shared" si="65"/>
        <v>92027028</v>
      </c>
      <c r="CB33" s="94">
        <f>SUMIFS('Federal Data'!AM2:AM501,'Federal Data'!$F2:$F501,"Other Non-Tax Revenue")</f>
        <v>6910000</v>
      </c>
      <c r="CC33" s="101">
        <f>'State and Local P&amp;L (detailed)'!$AC$24</f>
        <v>93010454</v>
      </c>
      <c r="CD33" s="94">
        <f t="shared" si="66"/>
        <v>99920454</v>
      </c>
      <c r="CE33" s="94">
        <f>SUMIFS('Federal Data'!AN2:AN501,'Federal Data'!$F2:$F501,"Other Non-Tax Revenue")</f>
        <v>7891000</v>
      </c>
      <c r="CF33" s="101">
        <f>'State and Local P&amp;L (detailed)'!$AD$24</f>
        <v>98257486</v>
      </c>
      <c r="CG33" s="94">
        <f t="shared" si="67"/>
        <v>106148486</v>
      </c>
      <c r="CH33" s="94">
        <f>SUMIFS('Federal Data'!AO2:AO501,'Federal Data'!$F2:$F501,"Other Non-Tax Revenue")</f>
        <v>7904000</v>
      </c>
      <c r="CI33" s="101">
        <f>'State and Local P&amp;L (detailed)'!$AE$24</f>
        <v>100276363</v>
      </c>
      <c r="CJ33" s="94">
        <f t="shared" si="68"/>
        <v>108180363</v>
      </c>
      <c r="CK33" s="94">
        <f>SUMIFS('Federal Data'!AP2:AP501,'Federal Data'!$F2:$F501,"Other Non-Tax Revenue")</f>
        <v>9398000</v>
      </c>
      <c r="CL33" s="101">
        <f>'State and Local P&amp;L (detailed)'!$AF$24</f>
        <v>101027894</v>
      </c>
      <c r="CM33" s="94">
        <f t="shared" si="69"/>
        <v>110425894</v>
      </c>
      <c r="CN33" s="94">
        <f>SUMIFS('Federal Data'!AQ2:AQ501,'Federal Data'!$F2:$F501,"Other Non-Tax Revenue")</f>
        <v>11902000</v>
      </c>
      <c r="CO33" s="101">
        <f>'State and Local P&amp;L (detailed)'!$AG$24</f>
        <v>97570930</v>
      </c>
      <c r="CP33" s="94">
        <f t="shared" si="70"/>
        <v>109472930</v>
      </c>
      <c r="CQ33" s="94">
        <f>SUMIFS('Federal Data'!AR2:AR501,'Federal Data'!$F2:$F501,"Other Non-Tax Revenue")</f>
        <v>11266000</v>
      </c>
      <c r="CR33" s="101">
        <f>'State and Local P&amp;L (detailed)'!$AH$24</f>
        <v>100368537</v>
      </c>
      <c r="CS33" s="94">
        <f t="shared" si="71"/>
        <v>111634537</v>
      </c>
      <c r="CT33" s="94">
        <f>SUMIFS('Federal Data'!AS2:AS501,'Federal Data'!$F2:$F501,"Other Non-Tax Revenue")</f>
        <v>14249000</v>
      </c>
      <c r="CU33" s="101">
        <f>'State and Local P&amp;L (detailed)'!$AI$24</f>
        <v>104532561</v>
      </c>
      <c r="CV33" s="94">
        <f t="shared" si="72"/>
        <v>118781561</v>
      </c>
      <c r="CW33" s="94">
        <f>SUMIFS('Federal Data'!AT2:AT501,'Federal Data'!$F2:$F501,"Other Non-Tax Revenue")</f>
        <v>16255000</v>
      </c>
      <c r="CX33" s="101">
        <f>'State and Local P&amp;L (detailed)'!$AJ$24</f>
        <v>109553183</v>
      </c>
      <c r="CY33" s="94">
        <f t="shared" si="73"/>
        <v>125808183</v>
      </c>
      <c r="CZ33" s="94">
        <f>SUMIFS('Federal Data'!AU2:AU501,'Federal Data'!$F2:$F501,"Other Non-Tax Revenue")</f>
        <v>26312000</v>
      </c>
      <c r="DA33" s="101">
        <f>'State and Local P&amp;L (detailed)'!$AK$24</f>
        <v>112399651</v>
      </c>
      <c r="DB33" s="94">
        <f t="shared" si="74"/>
        <v>138711651</v>
      </c>
      <c r="DC33" s="37">
        <f>SUMIFS('Federal Data'!AV2:AV501,'Federal Data'!$F2:$F501,"Other Non-Tax Revenue")</f>
        <v>40786000</v>
      </c>
      <c r="DD33" s="85">
        <f>'State and Local P&amp;L (detailed)'!$AL$24</f>
        <v>0</v>
      </c>
      <c r="DE33" s="37">
        <f t="shared" si="75"/>
        <v>40786000</v>
      </c>
    </row>
    <row r="34" spans="1:109" outlineLevel="1">
      <c r="A34" s="27" t="s">
        <v>236</v>
      </c>
      <c r="B34" s="101" t="s">
        <v>487</v>
      </c>
      <c r="C34" s="101">
        <f>'State and Local P&amp;L (detailed)'!$C$25</f>
        <v>81292629</v>
      </c>
      <c r="D34" s="94">
        <f t="shared" si="40"/>
        <v>81292629</v>
      </c>
      <c r="E34" s="101" t="s">
        <v>487</v>
      </c>
      <c r="F34" s="101">
        <f>'State and Local P&amp;L (detailed)'!$D$25</f>
        <v>88437337</v>
      </c>
      <c r="G34" s="94">
        <f t="shared" si="41"/>
        <v>88437337</v>
      </c>
      <c r="H34" s="101" t="s">
        <v>487</v>
      </c>
      <c r="I34" s="101">
        <f>'State and Local P&amp;L (detailed)'!$E$25</f>
        <v>85502834</v>
      </c>
      <c r="J34" s="94">
        <f t="shared" si="42"/>
        <v>85502834</v>
      </c>
      <c r="K34" s="101" t="s">
        <v>487</v>
      </c>
      <c r="L34" s="101">
        <f>'State and Local P&amp;L (detailed)'!$F$25</f>
        <v>88258003</v>
      </c>
      <c r="M34" s="94">
        <f t="shared" si="43"/>
        <v>88258003</v>
      </c>
      <c r="N34" s="101" t="s">
        <v>487</v>
      </c>
      <c r="O34" s="101">
        <f>'State and Local P&amp;L (detailed)'!$G$25</f>
        <v>95231190</v>
      </c>
      <c r="P34" s="94">
        <f t="shared" si="44"/>
        <v>95231190</v>
      </c>
      <c r="Q34" s="101" t="s">
        <v>487</v>
      </c>
      <c r="R34" s="101">
        <f>'State and Local P&amp;L (detailed)'!$H$25</f>
        <v>104202200</v>
      </c>
      <c r="S34" s="94">
        <f t="shared" si="45"/>
        <v>104202200</v>
      </c>
      <c r="T34" s="101" t="s">
        <v>487</v>
      </c>
      <c r="U34" s="101">
        <f>'State and Local P&amp;L (detailed)'!$I$25</f>
        <v>111015126</v>
      </c>
      <c r="V34" s="94">
        <f t="shared" si="46"/>
        <v>111015126</v>
      </c>
      <c r="W34" s="101" t="s">
        <v>487</v>
      </c>
      <c r="X34" s="101">
        <f>'State and Local P&amp;L (detailed)'!$J$25</f>
        <v>112427046</v>
      </c>
      <c r="Y34" s="94">
        <f t="shared" si="47"/>
        <v>112427046</v>
      </c>
      <c r="Z34" s="101" t="s">
        <v>487</v>
      </c>
      <c r="AA34" s="101">
        <f>'State and Local P&amp;L (detailed)'!$K$25</f>
        <v>114969460</v>
      </c>
      <c r="AB34" s="94">
        <f t="shared" si="48"/>
        <v>114969460</v>
      </c>
      <c r="AC34" s="101" t="s">
        <v>487</v>
      </c>
      <c r="AD34" s="101">
        <f>'State and Local P&amp;L (detailed)'!$L$25</f>
        <v>122907299</v>
      </c>
      <c r="AE34" s="94">
        <f t="shared" si="49"/>
        <v>122907299</v>
      </c>
      <c r="AF34" s="101" t="s">
        <v>487</v>
      </c>
      <c r="AG34" s="101">
        <f>'State and Local P&amp;L (detailed)'!$M$25</f>
        <v>133570055</v>
      </c>
      <c r="AH34" s="94">
        <f t="shared" si="50"/>
        <v>133570055</v>
      </c>
      <c r="AI34" s="101" t="s">
        <v>487</v>
      </c>
      <c r="AJ34" s="101">
        <f>'State and Local P&amp;L (detailed)'!$N$25</f>
        <v>150661095</v>
      </c>
      <c r="AK34" s="94">
        <f t="shared" si="51"/>
        <v>150661095</v>
      </c>
      <c r="AL34" s="101" t="s">
        <v>487</v>
      </c>
      <c r="AM34" s="101">
        <f>'State and Local P&amp;L (detailed)'!$O$25</f>
        <v>175472125</v>
      </c>
      <c r="AN34" s="94">
        <f t="shared" si="52"/>
        <v>175472125</v>
      </c>
      <c r="AO34" s="101" t="s">
        <v>487</v>
      </c>
      <c r="AP34" s="101">
        <f>'State and Local P&amp;L (detailed)'!$P$25</f>
        <v>195035800</v>
      </c>
      <c r="AQ34" s="94">
        <f t="shared" si="53"/>
        <v>195035800</v>
      </c>
      <c r="AR34" s="101" t="s">
        <v>487</v>
      </c>
      <c r="AS34" s="101">
        <f>'State and Local P&amp;L (detailed)'!$Q$25</f>
        <v>211844762</v>
      </c>
      <c r="AT34" s="94">
        <f t="shared" si="54"/>
        <v>211844762</v>
      </c>
      <c r="AU34" s="101" t="s">
        <v>487</v>
      </c>
      <c r="AV34" s="101">
        <f>'State and Local P&amp;L (detailed)'!$R$25</f>
        <v>225096515</v>
      </c>
      <c r="AW34" s="94">
        <f t="shared" si="55"/>
        <v>225096515</v>
      </c>
      <c r="AX34" s="101" t="s">
        <v>487</v>
      </c>
      <c r="AY34" s="101">
        <f>'State and Local P&amp;L (detailed)'!$S$25</f>
        <v>230970501</v>
      </c>
      <c r="AZ34" s="94">
        <f t="shared" si="56"/>
        <v>230970501</v>
      </c>
      <c r="BA34" s="101" t="s">
        <v>487</v>
      </c>
      <c r="BB34" s="101">
        <f>'State and Local P&amp;L (detailed)'!$T$25</f>
        <v>240743728</v>
      </c>
      <c r="BC34" s="94">
        <f t="shared" si="57"/>
        <v>240743728</v>
      </c>
      <c r="BD34" s="101" t="s">
        <v>487</v>
      </c>
      <c r="BE34" s="101">
        <f>'State and Local P&amp;L (detailed)'!$U$25</f>
        <v>251502204</v>
      </c>
      <c r="BF34" s="94">
        <f t="shared" si="58"/>
        <v>251502204</v>
      </c>
      <c r="BG34" s="101" t="s">
        <v>487</v>
      </c>
      <c r="BH34" s="101">
        <f>'State and Local P&amp;L (detailed)'!$V$25</f>
        <v>266792002</v>
      </c>
      <c r="BI34" s="94">
        <f t="shared" si="59"/>
        <v>266792002</v>
      </c>
      <c r="BJ34" s="101" t="s">
        <v>487</v>
      </c>
      <c r="BK34" s="101">
        <f>'State and Local P&amp;L (detailed)'!$W$25</f>
        <v>287920677</v>
      </c>
      <c r="BL34" s="94">
        <f t="shared" si="60"/>
        <v>287920677</v>
      </c>
      <c r="BM34" s="101" t="s">
        <v>487</v>
      </c>
      <c r="BN34" s="101">
        <f>'State and Local P&amp;L (detailed)'!$X$25</f>
        <v>319727453</v>
      </c>
      <c r="BO34" s="94">
        <f t="shared" si="61"/>
        <v>319727453</v>
      </c>
      <c r="BP34" s="101" t="s">
        <v>487</v>
      </c>
      <c r="BQ34" s="101">
        <f>'State and Local P&amp;L (detailed)'!$Y$25</f>
        <v>356158735</v>
      </c>
      <c r="BR34" s="94">
        <f t="shared" si="62"/>
        <v>356158735</v>
      </c>
      <c r="BS34" s="101" t="s">
        <v>487</v>
      </c>
      <c r="BT34" s="101">
        <f>'State and Local P&amp;L (detailed)'!$Z$25</f>
        <v>383978208</v>
      </c>
      <c r="BU34" s="94">
        <f t="shared" si="63"/>
        <v>383978208</v>
      </c>
      <c r="BV34" s="101" t="s">
        <v>487</v>
      </c>
      <c r="BW34" s="101">
        <f>'State and Local P&amp;L (detailed)'!$AA$25</f>
        <v>418484351</v>
      </c>
      <c r="BX34" s="94">
        <f t="shared" si="64"/>
        <v>418484351</v>
      </c>
      <c r="BY34" s="101" t="s">
        <v>487</v>
      </c>
      <c r="BZ34" s="101">
        <f>'State and Local P&amp;L (detailed)'!$AB$25</f>
        <v>433937947</v>
      </c>
      <c r="CA34" s="94">
        <f t="shared" si="65"/>
        <v>433937947</v>
      </c>
      <c r="CB34" s="101" t="s">
        <v>487</v>
      </c>
      <c r="CC34" s="101">
        <f>'State and Local P&amp;L (detailed)'!$AC$25</f>
        <v>446074798</v>
      </c>
      <c r="CD34" s="94">
        <f t="shared" si="66"/>
        <v>446074798</v>
      </c>
      <c r="CE34" s="101" t="s">
        <v>487</v>
      </c>
      <c r="CF34" s="101">
        <f>'State and Local P&amp;L (detailed)'!$AD$25</f>
        <v>453189367</v>
      </c>
      <c r="CG34" s="94">
        <f t="shared" si="67"/>
        <v>453189367</v>
      </c>
      <c r="CH34" s="101" t="s">
        <v>487</v>
      </c>
      <c r="CI34" s="101">
        <f>'State and Local P&amp;L (detailed)'!$AE$25</f>
        <v>465765779</v>
      </c>
      <c r="CJ34" s="94">
        <f t="shared" si="68"/>
        <v>465765779</v>
      </c>
      <c r="CK34" s="101" t="s">
        <v>487</v>
      </c>
      <c r="CL34" s="101">
        <f>'State and Local P&amp;L (detailed)'!$AF$25</f>
        <v>525689590</v>
      </c>
      <c r="CM34" s="94">
        <f t="shared" si="69"/>
        <v>525689590</v>
      </c>
      <c r="CN34" s="101" t="s">
        <v>487</v>
      </c>
      <c r="CO34" s="101">
        <f>'State and Local P&amp;L (detailed)'!$AG$25</f>
        <v>614424632</v>
      </c>
      <c r="CP34" s="94">
        <f t="shared" si="70"/>
        <v>614424632</v>
      </c>
      <c r="CQ34" s="101" t="s">
        <v>487</v>
      </c>
      <c r="CR34" s="101">
        <f>'State and Local P&amp;L (detailed)'!$AH$25</f>
        <v>637390141</v>
      </c>
      <c r="CS34" s="94">
        <f t="shared" si="71"/>
        <v>637390141</v>
      </c>
      <c r="CT34" s="101" t="s">
        <v>487</v>
      </c>
      <c r="CU34" s="101">
        <f>'State and Local P&amp;L (detailed)'!$AI$25</f>
        <v>580970673</v>
      </c>
      <c r="CV34" s="94">
        <f t="shared" si="72"/>
        <v>580970673</v>
      </c>
      <c r="CW34" s="101" t="s">
        <v>487</v>
      </c>
      <c r="CX34" s="101">
        <f>'State and Local P&amp;L (detailed)'!$AJ$25</f>
        <v>579577772</v>
      </c>
      <c r="CY34" s="94">
        <f t="shared" si="73"/>
        <v>579577772</v>
      </c>
      <c r="CZ34" s="101" t="s">
        <v>487</v>
      </c>
      <c r="DA34" s="101">
        <f>'State and Local P&amp;L (detailed)'!$AK$25</f>
        <v>598840824</v>
      </c>
      <c r="DB34" s="94">
        <f t="shared" si="74"/>
        <v>598840824</v>
      </c>
      <c r="DC34" s="85" t="s">
        <v>487</v>
      </c>
      <c r="DD34" s="85">
        <f>'State and Local P&amp;L (detailed)'!$AL$25</f>
        <v>0</v>
      </c>
      <c r="DE34" s="37">
        <f t="shared" si="75"/>
        <v>0</v>
      </c>
    </row>
    <row r="35" spans="1:109">
      <c r="B35" s="94"/>
      <c r="C35" s="101"/>
      <c r="D35" s="94"/>
      <c r="E35" s="94"/>
      <c r="F35" s="101"/>
      <c r="G35" s="94"/>
      <c r="H35" s="94"/>
      <c r="I35" s="101"/>
      <c r="J35" s="94"/>
      <c r="K35" s="94"/>
      <c r="L35" s="101"/>
      <c r="M35" s="94"/>
      <c r="N35" s="94"/>
      <c r="O35" s="101"/>
      <c r="P35" s="94"/>
      <c r="Q35" s="94"/>
      <c r="R35" s="101"/>
      <c r="S35" s="94"/>
      <c r="T35" s="94"/>
      <c r="U35" s="101"/>
      <c r="V35" s="94"/>
      <c r="W35" s="94"/>
      <c r="X35" s="101"/>
      <c r="Y35" s="94"/>
      <c r="Z35" s="94"/>
      <c r="AA35" s="101"/>
      <c r="AB35" s="94"/>
      <c r="AC35" s="94"/>
      <c r="AD35" s="101"/>
      <c r="AE35" s="94"/>
      <c r="AF35" s="94"/>
      <c r="AG35" s="101"/>
      <c r="AH35" s="94"/>
      <c r="AI35" s="94"/>
      <c r="AJ35" s="101"/>
      <c r="AK35" s="94"/>
      <c r="AL35" s="94"/>
      <c r="AM35" s="101"/>
      <c r="AN35" s="94"/>
      <c r="AO35" s="94"/>
      <c r="AP35" s="101"/>
      <c r="AQ35" s="94"/>
      <c r="AR35" s="94"/>
      <c r="AS35" s="101"/>
      <c r="AT35" s="94"/>
      <c r="AU35" s="94"/>
      <c r="AV35" s="101"/>
      <c r="AW35" s="94"/>
      <c r="AX35" s="94"/>
      <c r="AY35" s="101"/>
      <c r="AZ35" s="94"/>
      <c r="BA35" s="94"/>
      <c r="BB35" s="101"/>
      <c r="BC35" s="94"/>
      <c r="BD35" s="94"/>
      <c r="BE35" s="101"/>
      <c r="BF35" s="94"/>
      <c r="BG35" s="94"/>
      <c r="BH35" s="101"/>
      <c r="BI35" s="94"/>
      <c r="BJ35" s="94"/>
      <c r="BK35" s="101"/>
      <c r="BL35" s="94"/>
      <c r="BM35" s="94"/>
      <c r="BN35" s="101"/>
      <c r="BO35" s="94"/>
      <c r="BP35" s="94"/>
      <c r="BQ35" s="101"/>
      <c r="BR35" s="94"/>
      <c r="BS35" s="94"/>
      <c r="BT35" s="101"/>
      <c r="BU35" s="94"/>
      <c r="BV35" s="94"/>
      <c r="BW35" s="101"/>
      <c r="BX35" s="94"/>
      <c r="BY35" s="94"/>
      <c r="BZ35" s="101"/>
      <c r="CA35" s="94"/>
      <c r="CB35" s="94"/>
      <c r="CC35" s="101"/>
      <c r="CD35" s="94"/>
      <c r="CE35" s="94"/>
      <c r="CF35" s="101"/>
      <c r="CG35" s="94"/>
      <c r="CH35" s="94"/>
      <c r="CI35" s="101"/>
      <c r="CJ35" s="94"/>
      <c r="CK35" s="94"/>
      <c r="CL35" s="101"/>
      <c r="CM35" s="94"/>
      <c r="CN35" s="94"/>
      <c r="CO35" s="101"/>
      <c r="CP35" s="94"/>
      <c r="CQ35" s="94"/>
      <c r="CR35" s="101"/>
      <c r="CS35" s="94"/>
      <c r="CT35" s="94"/>
      <c r="CU35" s="101"/>
      <c r="CV35" s="94"/>
      <c r="CW35" s="94"/>
      <c r="CX35" s="101"/>
      <c r="CY35" s="94"/>
      <c r="CZ35" s="94"/>
      <c r="DA35" s="101"/>
      <c r="DB35" s="94"/>
      <c r="DC35" s="37"/>
      <c r="DD35" s="85"/>
      <c r="DE35" s="37"/>
    </row>
    <row r="36" spans="1:109">
      <c r="A36" s="25" t="s">
        <v>233</v>
      </c>
      <c r="B36" s="92">
        <f>SUMIFS('Federal Data'!M2:M501,'Federal Data'!$C2:$C501,"Spending")</f>
        <v>592776596</v>
      </c>
      <c r="C36" s="103">
        <f>'State and Local P&amp;L (detailed)'!$C$27</f>
        <v>331647901</v>
      </c>
      <c r="D36" s="92">
        <f>SUM(B36:C36)-B153</f>
        <v>833039294</v>
      </c>
      <c r="E36" s="92">
        <f>SUMIFS('Federal Data'!N2:N501,'Federal Data'!$C2:$C501,"Spending")</f>
        <v>686156141</v>
      </c>
      <c r="F36" s="103">
        <f>'State and Local P&amp;L (detailed)'!$D$27</f>
        <v>365432410</v>
      </c>
      <c r="G36" s="92">
        <f>SUM(E36:F36)-E153</f>
        <v>956884868</v>
      </c>
      <c r="H36" s="92">
        <f>SUMIFS('Federal Data'!O2:O501,'Federal Data'!$C2:$C501,"Spending")</f>
        <v>749859637</v>
      </c>
      <c r="I36" s="103">
        <f>'State and Local P&amp;L (detailed)'!$E$27</f>
        <v>388040231</v>
      </c>
      <c r="J36" s="92">
        <f>SUM(H36:I36)-H153</f>
        <v>1049765493</v>
      </c>
      <c r="K36" s="92">
        <f>SUMIFS('Federal Data'!P2:P501,'Federal Data'!$C2:$C501,"Spending")</f>
        <v>817506768</v>
      </c>
      <c r="L36" s="103">
        <f>'State and Local P&amp;L (detailed)'!$F$27</f>
        <v>418635720</v>
      </c>
      <c r="M36" s="92">
        <f>SUM(K36:L36)-K153</f>
        <v>1143694839</v>
      </c>
      <c r="N36" s="92">
        <f>SUMIFS('Federal Data'!Q2:Q501,'Federal Data'!$C2:$C501,"Spending")</f>
        <v>857437758</v>
      </c>
      <c r="O36" s="103">
        <f>'State and Local P&amp;L (detailed)'!$G$27</f>
        <v>454283466</v>
      </c>
      <c r="P36" s="92">
        <f>SUM(N36:O36)-N153</f>
        <v>1214168686</v>
      </c>
      <c r="Q36" s="92">
        <f>SUMIFS('Federal Data'!R2:R501,'Federal Data'!$C2:$C501,"Spending")</f>
        <v>951426993</v>
      </c>
      <c r="R36" s="103">
        <f>'State and Local P&amp;L (detailed)'!$H$27</f>
        <v>497234344</v>
      </c>
      <c r="S36" s="92">
        <f>SUM(Q36:R36)-Q153</f>
        <v>1342809430</v>
      </c>
      <c r="T36" s="92">
        <f>SUMIFS('Federal Data'!S2:S501,'Federal Data'!$C2:$C501,"Spending")</f>
        <v>995109127</v>
      </c>
      <c r="U36" s="103">
        <f>'State and Local P&amp;L (detailed)'!$I$27</f>
        <v>546848656</v>
      </c>
      <c r="V36" s="92">
        <f>SUM(T36:U36)-T153</f>
        <v>1429626853</v>
      </c>
      <c r="W36" s="92">
        <f>SUMIFS('Federal Data'!T2:T501,'Federal Data'!$C2:$C501,"Spending")</f>
        <v>1010483282</v>
      </c>
      <c r="X36" s="103">
        <f>'State and Local P&amp;L (detailed)'!$J$27</f>
        <v>596538937</v>
      </c>
      <c r="Y36" s="92">
        <f>SUM(W36:X36)-W153</f>
        <v>1498622392</v>
      </c>
      <c r="Z36" s="92">
        <f>SUMIFS('Federal Data'!U2:U501,'Federal Data'!$C2:$C501,"Spending")</f>
        <v>1069396532</v>
      </c>
      <c r="AA36" s="103">
        <f>'State and Local P&amp;L (detailed)'!$K$27</f>
        <v>628741437</v>
      </c>
      <c r="AB36" s="92">
        <f>SUM(Z36:AA36)-Z153</f>
        <v>1582796425</v>
      </c>
      <c r="AC36" s="92">
        <f>SUMIFS('Federal Data'!V2:V501,'Federal Data'!$C2:$C501,"Spending")</f>
        <v>1148813278</v>
      </c>
      <c r="AD36" s="103">
        <f>'State and Local P&amp;L (detailed)'!$L$27</f>
        <v>671548374</v>
      </c>
      <c r="AE36" s="92">
        <f>SUM(AC36:AD36)-AC153</f>
        <v>1698433415</v>
      </c>
      <c r="AF36" s="92">
        <f>SUMIFS('Federal Data'!W2:W501,'Federal Data'!$C2:$C501,"Spending")</f>
        <v>1258906091</v>
      </c>
      <c r="AG36" s="103">
        <f>'State and Local P&amp;L (detailed)'!$M$27</f>
        <v>734258445</v>
      </c>
      <c r="AH36" s="92">
        <f>SUM(AF36:AG36)-AF153</f>
        <v>1857839593</v>
      </c>
      <c r="AI36" s="92">
        <f>SUMIFS('Federal Data'!X2:X501,'Federal Data'!$C2:$C501,"Spending")</f>
        <v>1330674210</v>
      </c>
      <c r="AJ36" s="103">
        <f>'State and Local P&amp;L (detailed)'!$N$27</f>
        <v>801421255</v>
      </c>
      <c r="AK36" s="92">
        <f>SUM(AI36:AJ36)-AI153</f>
        <v>1977576819</v>
      </c>
      <c r="AL36" s="92">
        <f>SUMIFS('Federal Data'!Y2:Y501,'Federal Data'!$C2:$C501,"Spending")</f>
        <v>1387960688</v>
      </c>
      <c r="AM36" s="103">
        <f>'State and Local P&amp;L (detailed)'!$O$27</f>
        <v>826981477</v>
      </c>
      <c r="AN36" s="92">
        <f>SUM(AL36:AM36)-AL153</f>
        <v>2036876743</v>
      </c>
      <c r="AO36" s="92">
        <f>SUMIFS('Federal Data'!Z2:Z501,'Federal Data'!$C2:$C501,"Spending")</f>
        <v>1416699862</v>
      </c>
      <c r="AP36" s="103">
        <f>'State and Local P&amp;L (detailed)'!$P$27</f>
        <v>871281434</v>
      </c>
      <c r="AQ36" s="92">
        <f>SUM(AO36:AP36)-AO153</f>
        <v>2094369187</v>
      </c>
      <c r="AR36" s="92">
        <f>SUMIFS('Federal Data'!AA2:AA501,'Federal Data'!$C2:$C501,"Spending")</f>
        <v>1469291048</v>
      </c>
      <c r="AS36" s="103">
        <f>'State and Local P&amp;L (detailed)'!$Q$27</f>
        <v>911311398</v>
      </c>
      <c r="AT36" s="92">
        <f>SUM(AR36:AS36)-AR153</f>
        <v>2170006264</v>
      </c>
      <c r="AU36" s="92">
        <f>SUMIFS('Federal Data'!AB2:AB501,'Federal Data'!$C2:$C501,"Spending")</f>
        <v>1530442000</v>
      </c>
      <c r="AV36" s="103">
        <f>'State and Local P&amp;L (detailed)'!$R$27</f>
        <v>972077211</v>
      </c>
      <c r="AW36" s="92">
        <f>SUM(AU36:AV36)-AU153</f>
        <v>2277528211</v>
      </c>
      <c r="AX36" s="92">
        <f>SUMIFS('Federal Data'!AC2:AC501,'Federal Data'!$C2:$C501,"Spending")</f>
        <v>1568974000</v>
      </c>
      <c r="AY36" s="103">
        <f>'State and Local P&amp;L (detailed)'!$S$27</f>
        <v>1004883341</v>
      </c>
      <c r="AZ36" s="92">
        <f>SUM(AX36:AY36)-AX153</f>
        <v>2346046341</v>
      </c>
      <c r="BA36" s="92">
        <f>SUMIFS('Federal Data'!AD2:AD501,'Federal Data'!$C2:$C501,"Spending")</f>
        <v>1621595000</v>
      </c>
      <c r="BB36" s="103">
        <f>'State and Local P&amp;L (detailed)'!$T$27</f>
        <v>1055649251</v>
      </c>
      <c r="BC36" s="92">
        <f>SUM(BA36:BB36)-BA153</f>
        <v>2443084251</v>
      </c>
      <c r="BD36" s="92">
        <f>SUMIFS('Federal Data'!AE2:AE501,'Federal Data'!$C2:$C501,"Spending")</f>
        <v>1670157000</v>
      </c>
      <c r="BE36" s="103">
        <f>'State and Local P&amp;L (detailed)'!$U$27</f>
        <v>1116530042</v>
      </c>
      <c r="BF36" s="92">
        <f>SUM(BD36:BE36)-BD153</f>
        <v>2540559042</v>
      </c>
      <c r="BG36" s="92">
        <f>SUMIFS('Federal Data'!AF2:AF501,'Federal Data'!$C2:$C501,"Spending")</f>
        <v>1712249000</v>
      </c>
      <c r="BH36" s="103">
        <f>'State and Local P&amp;L (detailed)'!$V$27</f>
        <v>1194605774</v>
      </c>
      <c r="BI36" s="92">
        <f>SUM(BG36:BH36)-BG153</f>
        <v>2638968774</v>
      </c>
      <c r="BJ36" s="92">
        <f>SUMIFS('Federal Data'!AG2:AG501,'Federal Data'!$C2:$C501,"Spending")</f>
        <v>1799572000</v>
      </c>
      <c r="BK36" s="103">
        <f>'State and Local P&amp;L (detailed)'!$W$27</f>
        <v>1294773012</v>
      </c>
      <c r="BL36" s="92">
        <f>SUM(BJ36:BK36)-BJ153</f>
        <v>2808471012</v>
      </c>
      <c r="BM36" s="92">
        <f>SUMIFS('Federal Data'!AH2:AH501,'Federal Data'!$C2:$C501,"Spending")</f>
        <v>1877386000</v>
      </c>
      <c r="BN36" s="103">
        <f>'State and Local P&amp;L (detailed)'!$X$27</f>
        <v>1401564744</v>
      </c>
      <c r="BO36" s="92">
        <f>SUM(BM36:BN36)-BM153</f>
        <v>2960408744</v>
      </c>
      <c r="BP36" s="92">
        <f>SUMIFS('Federal Data'!AI2:AI501,'Federal Data'!$C2:$C501,"Spending")</f>
        <v>2023564000</v>
      </c>
      <c r="BQ36" s="103">
        <f>'State and Local P&amp;L (detailed)'!$Y$27</f>
        <v>1521880158</v>
      </c>
      <c r="BR36" s="92">
        <f>SUM(BP36:BQ36)-BP153</f>
        <v>3192549158</v>
      </c>
      <c r="BS36" s="92">
        <f>SUMIFS('Federal Data'!AJ2:AJ501,'Federal Data'!$C2:$C501,"Spending")</f>
        <v>2173574000</v>
      </c>
      <c r="BT36" s="103">
        <f>'State and Local P&amp;L (detailed)'!$Z$27</f>
        <v>1600905069</v>
      </c>
      <c r="BU36" s="92">
        <f>SUM(BS36:BT36)-BS153</f>
        <v>3385937069</v>
      </c>
      <c r="BV36" s="92">
        <f>SUMIFS('Federal Data'!AK2:AK501,'Federal Data'!$C2:$C501,"Spending")</f>
        <v>2307948000</v>
      </c>
      <c r="BW36" s="103">
        <f>'State and Local P&amp;L (detailed)'!$AA$27</f>
        <v>1692976424</v>
      </c>
      <c r="BX36" s="92">
        <f>SUM(BV36:BW36)-BV153</f>
        <v>3593412424</v>
      </c>
      <c r="BY36" s="92">
        <f>SUMIFS('Federal Data'!AL2:AL501,'Federal Data'!$C2:$C501,"Spending")</f>
        <v>2488820000</v>
      </c>
      <c r="BZ36" s="103">
        <f>'State and Local P&amp;L (detailed)'!$AB$27</f>
        <v>1774697556</v>
      </c>
      <c r="CA36" s="92">
        <f>SUM(BY36:BZ36)-BY153</f>
        <v>3835499556</v>
      </c>
      <c r="CB36" s="92">
        <f>SUMIFS('Federal Data'!AM2:AM501,'Federal Data'!$C2:$C501,"Spending")</f>
        <v>2673943000</v>
      </c>
      <c r="CC36" s="103">
        <f>'State and Local P&amp;L (detailed)'!$AC$27</f>
        <v>1842541292</v>
      </c>
      <c r="CD36" s="92">
        <f>SUM(CB36:CC36)-CB153</f>
        <v>4082385292</v>
      </c>
      <c r="CE36" s="92">
        <f>SUMIFS('Federal Data'!AN2:AN501,'Federal Data'!$C2:$C501,"Spending")</f>
        <v>2761484000</v>
      </c>
      <c r="CF36" s="103">
        <f>'State and Local P&amp;L (detailed)'!$AD$27</f>
        <v>1968810369</v>
      </c>
      <c r="CG36" s="92">
        <f>SUM(CE36:CF36)-CE153</f>
        <v>4286497369</v>
      </c>
      <c r="CH36" s="92">
        <f>SUMIFS('Federal Data'!AO2:AO501,'Federal Data'!$C2:$C501,"Spending")</f>
        <v>3016008000</v>
      </c>
      <c r="CI36" s="103">
        <f>'State and Local P&amp;L (detailed)'!$AE$27</f>
        <v>2103505224</v>
      </c>
      <c r="CJ36" s="92">
        <f>SUM(CH36:CI36)-CH153</f>
        <v>4658196224</v>
      </c>
      <c r="CK36" s="92">
        <f>SUMIFS('Federal Data'!AP2:AP501,'Federal Data'!$C2:$C501,"Spending")</f>
        <v>3554747000</v>
      </c>
      <c r="CL36" s="103">
        <f>'State and Local P&amp;L (detailed)'!$AF$27</f>
        <v>2216653378</v>
      </c>
      <c r="CM36" s="92">
        <f>SUM(CK36:CL36)-CK153</f>
        <v>5233409378</v>
      </c>
      <c r="CN36" s="92">
        <f>SUMIFS('Federal Data'!AQ2:AQ501,'Federal Data'!$C2:$C501,"Spending")</f>
        <v>3478268000</v>
      </c>
      <c r="CO36" s="103">
        <f>'State and Local P&amp;L (detailed)'!$AG$27</f>
        <v>2271068664</v>
      </c>
      <c r="CP36" s="92">
        <f>SUM(CN36:CO36)-CN153</f>
        <v>5140946664</v>
      </c>
      <c r="CQ36" s="92">
        <f>SUMIFS('Federal Data'!AR2:AR501,'Federal Data'!$C2:$C501,"Spending")</f>
        <v>3628341000</v>
      </c>
      <c r="CR36" s="103">
        <f>'State and Local P&amp;L (detailed)'!$AH$27</f>
        <v>2309791678</v>
      </c>
      <c r="CS36" s="92">
        <f>SUM(CQ36:CR36)-CQ153</f>
        <v>5331366678</v>
      </c>
      <c r="CT36" s="92">
        <f>SUMIFS('Federal Data'!AS2:AS501,'Federal Data'!$C2:$C501,"Spending")</f>
        <v>3573880000</v>
      </c>
      <c r="CU36" s="103">
        <f>'State and Local P&amp;L (detailed)'!$AI$27</f>
        <v>2336460149</v>
      </c>
      <c r="CV36" s="92">
        <f>SUM(CT36:CU36)-CT153</f>
        <v>5365771149</v>
      </c>
      <c r="CW36" s="92">
        <f>SUMIFS('Federal Data'!AT2:AT501,'Federal Data'!$C2:$C501,"Spending")</f>
        <v>3484044000</v>
      </c>
      <c r="CX36" s="103">
        <f>'State and Local P&amp;L (detailed)'!$AJ$27</f>
        <v>2368224105</v>
      </c>
      <c r="CY36" s="92">
        <f>SUM(CW36:CX36)-CW153</f>
        <v>5306097105</v>
      </c>
      <c r="CZ36" s="92">
        <f>SUMIFS('Federal Data'!AU2:AU501,'Federal Data'!$C2:$C501,"Spending")</f>
        <v>3532124000</v>
      </c>
      <c r="DA36" s="103">
        <f>'State and Local P&amp;L (detailed)'!$AK$27</f>
        <v>2452304801</v>
      </c>
      <c r="DB36" s="92">
        <f>SUM(CZ36:DA36)-CZ153</f>
        <v>5407461801</v>
      </c>
      <c r="DC36" s="36">
        <f>SUMIFS('Federal Data'!AV2:AV501,'Federal Data'!$C2:$C501,"Spending")</f>
        <v>3740179000</v>
      </c>
      <c r="DD36" s="87">
        <f>'State and Local P&amp;L (detailed)'!$AL$27</f>
        <v>0</v>
      </c>
      <c r="DE36" s="36">
        <f>SUM(DC36:DD36)-DC153</f>
        <v>3115825000</v>
      </c>
    </row>
    <row r="37" spans="1:109" hidden="1">
      <c r="A37" s="30" t="s">
        <v>109</v>
      </c>
      <c r="B37" s="94">
        <f>SUMIFS('Federal Data'!M2:M501,'Federal Data'!$C2:$C501,"Spending",'Federal Data'!$D2:$D501,"Nongrant")</f>
        <v>505110126</v>
      </c>
      <c r="C37" s="101"/>
      <c r="D37" s="94"/>
      <c r="E37" s="94">
        <f>SUMIFS('Federal Data'!N2:N501,'Federal Data'!$C2:$C501,"Spending",'Federal Data'!$D2:$D501,"Nongrant")</f>
        <v>595436876</v>
      </c>
      <c r="F37" s="101"/>
      <c r="G37" s="94"/>
      <c r="H37" s="94">
        <f>SUMIFS('Federal Data'!O2:O501,'Federal Data'!$C2:$C501,"Spending",'Federal Data'!$D2:$D501,"Nongrant")</f>
        <v>665937011</v>
      </c>
      <c r="I37" s="101"/>
      <c r="J37" s="94"/>
      <c r="K37" s="94">
        <f>SUMIFS('Federal Data'!P2:P501,'Federal Data'!$C2:$C501,"Spending",'Federal Data'!$D2:$D501,"Nongrant")</f>
        <v>729487828</v>
      </c>
      <c r="L37" s="101"/>
      <c r="M37" s="94"/>
      <c r="N37" s="94">
        <f>SUMIFS('Federal Data'!Q2:Q501,'Federal Data'!$C2:$C501,"Spending",'Federal Data'!$D2:$D501,"Nongrant")</f>
        <v>764465521</v>
      </c>
      <c r="O37" s="101"/>
      <c r="P37" s="94"/>
      <c r="Q37" s="94">
        <f>SUMIFS('Federal Data'!R2:R501,'Federal Data'!$C2:$C501,"Spending",'Federal Data'!$D2:$D501,"Nongrant")</f>
        <v>850333972</v>
      </c>
      <c r="R37" s="101"/>
      <c r="S37" s="94"/>
      <c r="T37" s="94">
        <f>SUMIFS('Federal Data'!S2:S501,'Federal Data'!$C2:$C501,"Spending",'Federal Data'!$D2:$D501,"Nongrant")</f>
        <v>887519834</v>
      </c>
      <c r="U37" s="101"/>
      <c r="V37" s="94"/>
      <c r="W37" s="94">
        <f>SUMIFS('Federal Data'!T2:T501,'Federal Data'!$C2:$C501,"Spending",'Federal Data'!$D2:$D501,"Nongrant")</f>
        <v>906798403</v>
      </c>
      <c r="X37" s="101"/>
      <c r="Y37" s="94"/>
      <c r="Z37" s="94">
        <f>SUMIFS('Federal Data'!U2:U501,'Federal Data'!$C2:$C501,"Spending",'Federal Data'!$D2:$D501,"Nongrant")</f>
        <v>958713420</v>
      </c>
      <c r="AA37" s="101"/>
      <c r="AB37" s="94"/>
      <c r="AC37" s="94">
        <f>SUMIFS('Federal Data'!V2:V501,'Federal Data'!$C2:$C501,"Spending",'Federal Data'!$D2:$D501,"Nongrant")</f>
        <v>1031431193</v>
      </c>
      <c r="AD37" s="101"/>
      <c r="AE37" s="94"/>
      <c r="AF37" s="94">
        <f>SUMIFS('Federal Data'!W2:W501,'Federal Data'!$C2:$C501,"Spending",'Federal Data'!$D2:$D501,"Nongrant")</f>
        <v>1128102716</v>
      </c>
      <c r="AG37" s="101"/>
      <c r="AH37" s="94"/>
      <c r="AI37" s="94">
        <f>SUMIFS('Federal Data'!X2:X501,'Federal Data'!$C2:$C501,"Spending",'Federal Data'!$D2:$D501,"Nongrant")</f>
        <v>1180723140</v>
      </c>
      <c r="AJ37" s="101"/>
      <c r="AK37" s="94"/>
      <c r="AL37" s="94">
        <f>SUMIFS('Federal Data'!Y2:Y501,'Federal Data'!$C2:$C501,"Spending",'Federal Data'!$D2:$D501,"Nongrant")</f>
        <v>1214683364</v>
      </c>
      <c r="AM37" s="101"/>
      <c r="AN37" s="94"/>
      <c r="AO37" s="94">
        <f>SUMIFS('Federal Data'!Z2:Z501,'Federal Data'!$C2:$C501,"Spending",'Federal Data'!$D2:$D501,"Nongrant")</f>
        <v>1227892340</v>
      </c>
      <c r="AP37" s="101"/>
      <c r="AQ37" s="94"/>
      <c r="AR37" s="94">
        <f>SUMIFS('Federal Data'!AA2:AA501,'Federal Data'!$C2:$C501,"Spending",'Federal Data'!$D2:$D501,"Nongrant")</f>
        <v>1263355815</v>
      </c>
      <c r="AS37" s="101"/>
      <c r="AT37" s="94"/>
      <c r="AU37" s="94">
        <f>SUMIFS('Federal Data'!AB2:AB501,'Federal Data'!$C2:$C501,"Spending",'Federal Data'!$D2:$D501,"Nongrant")</f>
        <v>1310001000</v>
      </c>
      <c r="AV37" s="101"/>
      <c r="AW37" s="94"/>
      <c r="AX37" s="94">
        <f>SUMIFS('Federal Data'!AC2:AC501,'Federal Data'!$C2:$C501,"Spending",'Federal Data'!$D2:$D501,"Nongrant")</f>
        <v>1345632000</v>
      </c>
      <c r="AY37" s="101"/>
      <c r="AZ37" s="94"/>
      <c r="BA37" s="94">
        <f>SUMIFS('Federal Data'!AD2:AD501,'Federal Data'!$C2:$C501,"Spending",'Federal Data'!$D2:$D501,"Nongrant")</f>
        <v>1391853000</v>
      </c>
      <c r="BB37" s="101"/>
      <c r="BC37" s="94"/>
      <c r="BD37" s="94">
        <f>SUMIFS('Federal Data'!AE2:AE501,'Federal Data'!$C2:$C501,"Spending",'Federal Data'!$D2:$D501,"Nongrant")</f>
        <v>1428362000</v>
      </c>
      <c r="BE37" s="101"/>
      <c r="BF37" s="94"/>
      <c r="BG37" s="94">
        <f>SUMIFS('Federal Data'!AF2:AF501,'Federal Data'!$C2:$C501,"Spending",'Federal Data'!$D2:$D501,"Nongrant")</f>
        <v>1448836000</v>
      </c>
      <c r="BH37" s="101"/>
      <c r="BI37" s="94"/>
      <c r="BJ37" s="94">
        <f>SUMIFS('Federal Data'!AG2:AG501,'Federal Data'!$C2:$C501,"Spending",'Federal Data'!$D2:$D501,"Nongrant")</f>
        <v>1518459000</v>
      </c>
      <c r="BK37" s="101"/>
      <c r="BL37" s="94"/>
      <c r="BM37" s="94">
        <f>SUMIFS('Federal Data'!AH2:AH501,'Federal Data'!$C2:$C501,"Spending",'Federal Data'!$D2:$D501,"Nongrant")</f>
        <v>1563557000</v>
      </c>
      <c r="BN37" s="101"/>
      <c r="BO37" s="94"/>
      <c r="BP37" s="94">
        <f>SUMIFS('Federal Data'!AI2:AI501,'Federal Data'!$C2:$C501,"Spending",'Federal Data'!$D2:$D501,"Nongrant")</f>
        <v>1675263000</v>
      </c>
      <c r="BQ37" s="101"/>
      <c r="BR37" s="94"/>
      <c r="BS37" s="94">
        <f>SUMIFS('Federal Data'!AJ2:AJ501,'Federal Data'!$C2:$C501,"Spending",'Federal Data'!$D2:$D501,"Nongrant")</f>
        <v>1789663000</v>
      </c>
      <c r="BT37" s="101"/>
      <c r="BU37" s="94"/>
      <c r="BV37" s="94">
        <f>SUMIFS('Federal Data'!AK2:AK501,'Federal Data'!$C2:$C501,"Spending",'Federal Data'!$D2:$D501,"Nongrant")</f>
        <v>1905030000</v>
      </c>
      <c r="BW37" s="101"/>
      <c r="BX37" s="94"/>
      <c r="BY37" s="94">
        <f>SUMIFS('Federal Data'!AL2:AL501,'Federal Data'!$C2:$C501,"Spending",'Federal Data'!$D2:$D501,"Nongrant")</f>
        <v>2065261000</v>
      </c>
      <c r="BZ37" s="101"/>
      <c r="CA37" s="94"/>
      <c r="CB37" s="94">
        <f>SUMIFS('Federal Data'!AM2:AM501,'Federal Data'!$C2:$C501,"Spending",'Federal Data'!$D2:$D501,"Nongrant")</f>
        <v>2244202000</v>
      </c>
      <c r="CC37" s="101"/>
      <c r="CD37" s="94"/>
      <c r="CE37" s="94">
        <f>SUMIFS('Federal Data'!AN2:AN501,'Federal Data'!$C2:$C501,"Spending",'Federal Data'!$D2:$D501,"Nongrant")</f>
        <v>2321945000</v>
      </c>
      <c r="CF37" s="101"/>
      <c r="CG37" s="94"/>
      <c r="CH37" s="94">
        <f>SUMIFS('Federal Data'!AO2:AO501,'Federal Data'!$C2:$C501,"Spending",'Federal Data'!$D2:$D501,"Nongrant")</f>
        <v>2558860000</v>
      </c>
      <c r="CI37" s="101"/>
      <c r="CJ37" s="94"/>
      <c r="CK37" s="94">
        <f>SUMIFS('Federal Data'!AP2:AP501,'Federal Data'!$C2:$C501,"Spending",'Federal Data'!$D2:$D501,"Nongrant")</f>
        <v>3020899000</v>
      </c>
      <c r="CL37" s="101"/>
      <c r="CM37" s="94"/>
      <c r="CN37" s="94">
        <f>SUMIFS('Federal Data'!AQ2:AQ501,'Federal Data'!$C2:$C501,"Spending",'Federal Data'!$D2:$D501,"Nongrant")</f>
        <v>2873975000</v>
      </c>
      <c r="CO37" s="101"/>
      <c r="CP37" s="94"/>
      <c r="CQ37" s="94">
        <f>SUMIFS('Federal Data'!AR2:AR501,'Federal Data'!$C2:$C501,"Spending",'Federal Data'!$D2:$D501,"Nongrant")</f>
        <v>3025610000</v>
      </c>
      <c r="CR37" s="101"/>
      <c r="CS37" s="94"/>
      <c r="CT37" s="94">
        <f>SUMIFS('Federal Data'!AS2:AS501,'Federal Data'!$C2:$C501,"Spending",'Federal Data'!$D2:$D501,"Nongrant")</f>
        <v>3033051000</v>
      </c>
      <c r="CU37" s="101"/>
      <c r="CV37" s="94"/>
      <c r="CW37" s="94">
        <f>SUMIFS('Federal Data'!AT2:AT501,'Federal Data'!$C2:$C501,"Spending",'Federal Data'!$D2:$D501,"Nongrant")</f>
        <v>2941437000</v>
      </c>
      <c r="CX37" s="101"/>
      <c r="CY37" s="94"/>
      <c r="CZ37" s="94">
        <f>SUMIFS('Federal Data'!AU2:AU501,'Federal Data'!$C2:$C501,"Spending",'Federal Data'!$D2:$D501,"Nongrant")</f>
        <v>2958629000</v>
      </c>
      <c r="DA37" s="101"/>
      <c r="DB37" s="94"/>
      <c r="DC37" s="37">
        <f>SUMIFS('Federal Data'!AV2:AV501,'Federal Data'!$C2:$C501,"Spending",'Federal Data'!$D2:$D501,"Nongrant")</f>
        <v>3119477000</v>
      </c>
      <c r="DD37" s="85"/>
      <c r="DE37" s="37"/>
    </row>
    <row r="38" spans="1:109">
      <c r="A38" s="45" t="s">
        <v>325</v>
      </c>
      <c r="B38" s="96">
        <f>SUMIFS('Federal Data'!M2:M501,'Federal Data'!$E2:$E501,"Establish Justice",'Federal Data'!$D2:$D501,"Nongrant")</f>
        <v>6917101</v>
      </c>
      <c r="C38" s="104">
        <f>'State and Local P&amp;L (detailed)'!$C$28</f>
        <v>41840915</v>
      </c>
      <c r="D38" s="104">
        <f t="shared" ref="D38:D44" si="76">SUM(B38:C38)</f>
        <v>48758016</v>
      </c>
      <c r="E38" s="96">
        <f>SUMIFS('Federal Data'!N2:N501,'Federal Data'!$E2:$E501,"Establish Justice",'Federal Data'!$D2:$D501,"Nongrant")</f>
        <v>7133368</v>
      </c>
      <c r="F38" s="104">
        <f>'State and Local P&amp;L (detailed)'!$D$28</f>
        <v>46994049</v>
      </c>
      <c r="G38" s="104">
        <f t="shared" ref="G38:G44" si="77">SUM(E38:F38)</f>
        <v>54127417</v>
      </c>
      <c r="H38" s="96">
        <f>SUMIFS('Federal Data'!O2:O501,'Federal Data'!$E2:$E501,"Establish Justice",'Federal Data'!$D2:$D501,"Nongrant")</f>
        <v>5496214</v>
      </c>
      <c r="I38" s="104">
        <f>'State and Local P&amp;L (detailed)'!$E$28</f>
        <v>53953471</v>
      </c>
      <c r="J38" s="104">
        <f t="shared" ref="J38:J44" si="78">SUM(H38:I38)</f>
        <v>59449685</v>
      </c>
      <c r="K38" s="96">
        <f>SUMIFS('Federal Data'!P2:P501,'Federal Data'!$E2:$E501,"Establish Justice",'Federal Data'!$D2:$D501,"Nongrant")</f>
        <v>5964405</v>
      </c>
      <c r="L38" s="104">
        <f>'State and Local P&amp;L (detailed)'!$F$28</f>
        <v>59667997</v>
      </c>
      <c r="M38" s="104">
        <f t="shared" ref="M38:M44" si="79">SUM(K38:L38)</f>
        <v>65632402</v>
      </c>
      <c r="N38" s="96">
        <f>SUMIFS('Federal Data'!Q2:Q501,'Federal Data'!$E2:$E501,"Establish Justice",'Federal Data'!$D2:$D501,"Nongrant")</f>
        <v>6680784</v>
      </c>
      <c r="O38" s="104">
        <f>'State and Local P&amp;L (detailed)'!$G$28</f>
        <v>65203979</v>
      </c>
      <c r="P38" s="104">
        <f t="shared" ref="P38:P44" si="80">SUM(N38:O38)</f>
        <v>71884763</v>
      </c>
      <c r="Q38" s="96">
        <f>SUMIFS('Federal Data'!R2:R501,'Federal Data'!$E2:$E501,"Establish Justice",'Federal Data'!$D2:$D501,"Nongrant")</f>
        <v>7138859</v>
      </c>
      <c r="R38" s="104">
        <f>'State and Local P&amp;L (detailed)'!$H$28</f>
        <v>71992573</v>
      </c>
      <c r="S38" s="104">
        <f t="shared" ref="S38:S44" si="81">SUM(Q38:R38)</f>
        <v>79131432</v>
      </c>
      <c r="T38" s="96">
        <f>SUMIFS('Federal Data'!S2:S501,'Federal Data'!$E2:$E501,"Establish Justice",'Federal Data'!$D2:$D501,"Nongrant")</f>
        <v>7661165</v>
      </c>
      <c r="U38" s="104">
        <f>'State and Local P&amp;L (detailed)'!$I$28</f>
        <v>78370320</v>
      </c>
      <c r="V38" s="104">
        <f t="shared" ref="V38:V44" si="82">SUM(T38:U38)</f>
        <v>86031485</v>
      </c>
      <c r="W38" s="96">
        <f>SUMIFS('Federal Data'!T2:T501,'Federal Data'!$E2:$E501,"Establish Justice",'Federal Data'!$D2:$D501,"Nongrant")</f>
        <v>7825617</v>
      </c>
      <c r="X38" s="104">
        <f>'State and Local P&amp;L (detailed)'!$J$28</f>
        <v>85914798</v>
      </c>
      <c r="Y38" s="104">
        <f t="shared" ref="Y38:Y44" si="83">SUM(W38:X38)</f>
        <v>93740415</v>
      </c>
      <c r="Z38" s="96">
        <f>SUMIFS('Federal Data'!U2:U501,'Federal Data'!$E2:$E501,"Establish Justice",'Federal Data'!$D2:$D501,"Nongrant")</f>
        <v>8969668</v>
      </c>
      <c r="AA38" s="104">
        <f>'State and Local P&amp;L (detailed)'!$K$28</f>
        <v>94010522</v>
      </c>
      <c r="AB38" s="104">
        <f t="shared" ref="AB38:AB44" si="84">SUM(Z38:AA38)</f>
        <v>102980190</v>
      </c>
      <c r="AC38" s="96">
        <f>SUMIFS('Federal Data'!V2:V501,'Federal Data'!$E2:$E501,"Establish Justice",'Federal Data'!$D2:$D501,"Nongrant")</f>
        <v>10121750</v>
      </c>
      <c r="AD38" s="104">
        <f>'State and Local P&amp;L (detailed)'!$L$28</f>
        <v>101702966</v>
      </c>
      <c r="AE38" s="104">
        <f t="shared" ref="AE38:AE44" si="85">SUM(AC38:AD38)</f>
        <v>111824716</v>
      </c>
      <c r="AF38" s="96">
        <f>SUMIFS('Federal Data'!W2:W501,'Federal Data'!$E2:$E501,"Establish Justice",'Federal Data'!$D2:$D501,"Nongrant")</f>
        <v>12314347</v>
      </c>
      <c r="AG38" s="104">
        <f>'State and Local P&amp;L (detailed)'!$M$28</f>
        <v>113534507</v>
      </c>
      <c r="AH38" s="104">
        <f t="shared" ref="AH38:AH44" si="86">SUM(AF38:AG38)</f>
        <v>125848854</v>
      </c>
      <c r="AI38" s="96">
        <f>SUMIFS('Federal Data'!X2:X501,'Federal Data'!$E2:$E501,"Establish Justice",'Federal Data'!$D2:$D501,"Nongrant")</f>
        <v>12960174</v>
      </c>
      <c r="AJ38" s="104">
        <f>'State and Local P&amp;L (detailed)'!$N$28</f>
        <v>123596033</v>
      </c>
      <c r="AK38" s="104">
        <f t="shared" ref="AK38:AK44" si="87">SUM(AI38:AJ38)</f>
        <v>136556207</v>
      </c>
      <c r="AL38" s="96">
        <f>SUMIFS('Federal Data'!Y2:Y501,'Federal Data'!$E2:$E501,"Establish Justice",'Federal Data'!$D2:$D501,"Nongrant")</f>
        <v>15299353</v>
      </c>
      <c r="AM38" s="104">
        <f>'State and Local P&amp;L (detailed)'!$O$28</f>
        <v>132708280</v>
      </c>
      <c r="AN38" s="104">
        <f t="shared" ref="AN38:AN44" si="88">SUM(AL38:AM38)</f>
        <v>148007633</v>
      </c>
      <c r="AO38" s="96">
        <f>SUMIFS('Federal Data'!Z2:Z501,'Federal Data'!$E2:$E501,"Establish Justice",'Federal Data'!$D2:$D501,"Nongrant")</f>
        <v>16379501</v>
      </c>
      <c r="AP38" s="104">
        <f>'State and Local P&amp;L (detailed)'!$P$28</f>
        <v>137768600</v>
      </c>
      <c r="AQ38" s="104">
        <f t="shared" ref="AQ38:AQ44" si="89">SUM(AO38:AP38)</f>
        <v>154148101</v>
      </c>
      <c r="AR38" s="96">
        <f>SUMIFS('Federal Data'!AA2:AA501,'Federal Data'!$E2:$E501,"Establish Justice",'Federal Data'!$D2:$D501,"Nongrant")</f>
        <v>16901362</v>
      </c>
      <c r="AS38" s="104">
        <f>'State and Local P&amp;L (detailed)'!$Q$28</f>
        <v>147839678</v>
      </c>
      <c r="AT38" s="104">
        <f t="shared" ref="AT38:AT44" si="90">SUM(AR38:AS38)</f>
        <v>164741040</v>
      </c>
      <c r="AU38" s="96">
        <f>SUMIFS('Federal Data'!AB2:AB501,'Federal Data'!$E2:$E501,"Establish Justice",'Federal Data'!$D2:$D501,"Nongrant")</f>
        <v>18731000</v>
      </c>
      <c r="AV38" s="104">
        <f>'State and Local P&amp;L (detailed)'!$R$28</f>
        <v>160090940</v>
      </c>
      <c r="AW38" s="104">
        <f t="shared" ref="AW38:AW44" si="91">SUM(AU38:AV38)</f>
        <v>178821940</v>
      </c>
      <c r="AX38" s="96">
        <f>SUMIFS('Federal Data'!AC2:AC501,'Federal Data'!$E2:$E501,"Establish Justice",'Federal Data'!$D2:$D501,"Nongrant")</f>
        <v>18874000</v>
      </c>
      <c r="AY38" s="104">
        <f>'State and Local P&amp;L (detailed)'!$S$28</f>
        <v>168165725</v>
      </c>
      <c r="AZ38" s="104">
        <f t="shared" ref="AZ38:AZ44" si="92">SUM(AX38:AY38)</f>
        <v>187039725</v>
      </c>
      <c r="BA38" s="96">
        <f>SUMIFS('Federal Data'!AD2:AD501,'Federal Data'!$E2:$E501,"Establish Justice",'Federal Data'!$D2:$D501,"Nongrant")</f>
        <v>19879000</v>
      </c>
      <c r="BB38" s="104">
        <f>'State and Local P&amp;L (detailed)'!$T$28</f>
        <v>179167148</v>
      </c>
      <c r="BC38" s="104">
        <f t="shared" ref="BC38:BC44" si="93">SUM(BA38:BB38)</f>
        <v>199046148</v>
      </c>
      <c r="BD38" s="96">
        <f>SUMIFS('Federal Data'!AE2:AE501,'Federal Data'!$E2:$E501,"Establish Justice",'Federal Data'!$D2:$D501,"Nongrant")</f>
        <v>19182000</v>
      </c>
      <c r="BE38" s="104">
        <f>'State and Local P&amp;L (detailed)'!$U$28</f>
        <v>191362557</v>
      </c>
      <c r="BF38" s="104">
        <f t="shared" ref="BF38:BF44" si="94">SUM(BD38:BE38)</f>
        <v>210544557</v>
      </c>
      <c r="BG38" s="96">
        <f>SUMIFS('Federal Data'!AF2:AF501,'Federal Data'!$E2:$E501,"Establish Justice",'Federal Data'!$D2:$D501,"Nongrant")</f>
        <v>21849000</v>
      </c>
      <c r="BH38" s="104">
        <f>'State and Local P&amp;L (detailed)'!$V$28</f>
        <v>204728937</v>
      </c>
      <c r="BI38" s="104">
        <f t="shared" ref="BI38:BI44" si="95">SUM(BG38:BH38)</f>
        <v>226577937</v>
      </c>
      <c r="BJ38" s="96">
        <f>SUMIFS('Federal Data'!AG2:AG501,'Federal Data'!$E2:$E501,"Establish Justice",'Federal Data'!$D2:$D501,"Nongrant")</f>
        <v>22426000</v>
      </c>
      <c r="BK38" s="104">
        <f>'State and Local P&amp;L (detailed)'!$W$28</f>
        <v>219213888</v>
      </c>
      <c r="BL38" s="104">
        <f t="shared" ref="BL38:BL44" si="96">SUM(BJ38:BK38)</f>
        <v>241639888</v>
      </c>
      <c r="BM38" s="96">
        <f>SUMIFS('Federal Data'!AH2:AH501,'Federal Data'!$E2:$E501,"Establish Justice",'Federal Data'!$D2:$D501,"Nongrant")</f>
        <v>23323000</v>
      </c>
      <c r="BN38" s="104">
        <f>'State and Local P&amp;L (detailed)'!$X$28</f>
        <v>234658589</v>
      </c>
      <c r="BO38" s="104">
        <f t="shared" ref="BO38:BO44" si="97">SUM(BM38:BN38)</f>
        <v>257981589</v>
      </c>
      <c r="BP38" s="96">
        <f>SUMIFS('Federal Data'!AI2:AI501,'Federal Data'!$E2:$E501,"Establish Justice",'Federal Data'!$D2:$D501,"Nongrant")</f>
        <v>27607000</v>
      </c>
      <c r="BQ38" s="104">
        <f>'State and Local P&amp;L (detailed)'!$Y$28</f>
        <v>252861660</v>
      </c>
      <c r="BR38" s="104">
        <f t="shared" ref="BR38:BR44" si="98">SUM(BP38:BQ38)</f>
        <v>280468660</v>
      </c>
      <c r="BS38" s="96">
        <f>SUMIFS('Federal Data'!AJ2:AJ501,'Federal Data'!$E2:$E501,"Establish Justice",'Federal Data'!$D2:$D501,"Nongrant")</f>
        <v>30956000</v>
      </c>
      <c r="BT38" s="104">
        <f>'State and Local P&amp;L (detailed)'!$Z$28</f>
        <v>260655461</v>
      </c>
      <c r="BU38" s="104">
        <f t="shared" ref="BU38:BU44" si="99">SUM(BS38:BT38)</f>
        <v>291611461</v>
      </c>
      <c r="BV38" s="96">
        <f>SUMIFS('Federal Data'!AK2:AK501,'Federal Data'!$E2:$E501,"Establish Justice",'Federal Data'!$D2:$D501,"Nongrant")</f>
        <v>38981000</v>
      </c>
      <c r="BW38" s="104">
        <f>'State and Local P&amp;L (detailed)'!$AA$28</f>
        <v>265988078</v>
      </c>
      <c r="BX38" s="104">
        <f t="shared" ref="BX38:BX44" si="100">SUM(BV38:BW38)</f>
        <v>304969078</v>
      </c>
      <c r="BY38" s="96">
        <f>SUMIFS('Federal Data'!AL2:AL501,'Federal Data'!$E2:$E501,"Establish Justice",'Federal Data'!$D2:$D501,"Nongrant")</f>
        <v>35611000</v>
      </c>
      <c r="BZ38" s="104">
        <f>'State and Local P&amp;L (detailed)'!$AB$28</f>
        <v>275345434</v>
      </c>
      <c r="CA38" s="104">
        <f t="shared" ref="CA38:CA44" si="101">SUM(BY38:BZ38)</f>
        <v>310956434</v>
      </c>
      <c r="CB38" s="96">
        <f>SUMIFS('Federal Data'!AM2:AM501,'Federal Data'!$E2:$E501,"Establish Justice",'Federal Data'!$D2:$D501,"Nongrant")</f>
        <v>63171000</v>
      </c>
      <c r="CC38" s="104">
        <f>'State and Local P&amp;L (detailed)'!$AC$28</f>
        <v>289348465</v>
      </c>
      <c r="CD38" s="104">
        <f t="shared" ref="CD38:CD44" si="102">SUM(CB38:CC38)</f>
        <v>352519465</v>
      </c>
      <c r="CE38" s="96">
        <f>SUMIFS('Federal Data'!AN2:AN501,'Federal Data'!$E2:$E501,"Establish Justice",'Federal Data'!$D2:$D501,"Nongrant")</f>
        <v>40284000</v>
      </c>
      <c r="CF38" s="104">
        <f>'State and Local P&amp;L (detailed)'!$AD$28</f>
        <v>307109549</v>
      </c>
      <c r="CG38" s="104">
        <f t="shared" ref="CG38:CG44" si="103">SUM(CE38:CF38)</f>
        <v>347393549</v>
      </c>
      <c r="CH38" s="96">
        <f>SUMIFS('Federal Data'!AO2:AO501,'Federal Data'!$E2:$E501,"Establish Justice",'Federal Data'!$D2:$D501,"Nongrant")</f>
        <v>39622000</v>
      </c>
      <c r="CI38" s="104">
        <f>'State and Local P&amp;L (detailed)'!$AE$28</f>
        <v>325956875</v>
      </c>
      <c r="CJ38" s="104">
        <f t="shared" ref="CJ38:CJ44" si="104">SUM(CH38:CI38)</f>
        <v>365578875</v>
      </c>
      <c r="CK38" s="96">
        <f>SUMIFS('Federal Data'!AP2:AP501,'Federal Data'!$E2:$E501,"Establish Justice",'Federal Data'!$D2:$D501,"Nongrant")</f>
        <v>46407000</v>
      </c>
      <c r="CL38" s="104">
        <f>'State and Local P&amp;L (detailed)'!$AF$28</f>
        <v>340279672</v>
      </c>
      <c r="CM38" s="104">
        <f t="shared" ref="CM38:CM44" si="105">SUM(CK38:CL38)</f>
        <v>386686672</v>
      </c>
      <c r="CN38" s="96">
        <f>SUMIFS('Federal Data'!AQ2:AQ501,'Federal Data'!$E2:$E501,"Establish Justice",'Federal Data'!$D2:$D501,"Nongrant")</f>
        <v>44311000</v>
      </c>
      <c r="CO38" s="104">
        <f>'State and Local P&amp;L (detailed)'!$AG$28</f>
        <v>338062434</v>
      </c>
      <c r="CP38" s="104">
        <f t="shared" ref="CP38:CP44" si="106">SUM(CN38:CO38)</f>
        <v>382373434</v>
      </c>
      <c r="CQ38" s="96">
        <f>SUMIFS('Federal Data'!AR2:AR501,'Federal Data'!$E2:$E501,"Establish Justice",'Federal Data'!$D2:$D501,"Nongrant")</f>
        <v>43183000</v>
      </c>
      <c r="CR38" s="104">
        <f>'State and Local P&amp;L (detailed)'!$AH$28</f>
        <v>337389305</v>
      </c>
      <c r="CS38" s="104">
        <f t="shared" ref="CS38:CS44" si="107">SUM(CQ38:CR38)</f>
        <v>380572305</v>
      </c>
      <c r="CT38" s="96">
        <f>SUMIFS('Federal Data'!AS2:AS501,'Federal Data'!$E2:$E501,"Establish Justice",'Federal Data'!$D2:$D501,"Nongrant")</f>
        <v>45163000</v>
      </c>
      <c r="CU38" s="104">
        <f>'State and Local P&amp;L (detailed)'!$AI$28</f>
        <v>337606276</v>
      </c>
      <c r="CV38" s="104">
        <f t="shared" ref="CV38:CV44" si="108">SUM(CT38:CU38)</f>
        <v>382769276</v>
      </c>
      <c r="CW38" s="96">
        <f>SUMIFS('Federal Data'!AT2:AT501,'Federal Data'!$E2:$E501,"Establish Justice",'Federal Data'!$D2:$D501,"Nongrant")</f>
        <v>55174000</v>
      </c>
      <c r="CX38" s="104">
        <f>'State and Local P&amp;L (detailed)'!$AJ$28</f>
        <v>341166066</v>
      </c>
      <c r="CY38" s="104">
        <f t="shared" ref="CY38:CY44" si="109">SUM(CW38:CX38)</f>
        <v>396340066</v>
      </c>
      <c r="CZ38" s="96">
        <f>SUMIFS('Federal Data'!AU2:AU501,'Federal Data'!$E2:$E501,"Establish Justice",'Federal Data'!$D2:$D501,"Nongrant")</f>
        <v>43978000</v>
      </c>
      <c r="DA38" s="104">
        <f>'State and Local P&amp;L (detailed)'!$AK$28</f>
        <v>351990520</v>
      </c>
      <c r="DB38" s="104">
        <f t="shared" ref="DB38:DB44" si="110">SUM(CZ38:DA38)</f>
        <v>395968520</v>
      </c>
      <c r="DC38" s="46">
        <f>SUMIFS('Federal Data'!AV2:AV501,'Federal Data'!$E2:$E501,"Establish Justice",'Federal Data'!$D2:$D501,"Nongrant")</f>
        <v>44636000</v>
      </c>
      <c r="DD38" s="89">
        <f>'State and Local P&amp;L (detailed)'!$AL$28</f>
        <v>0</v>
      </c>
      <c r="DE38" s="89">
        <f t="shared" ref="DE38:DE44" si="111">SUM(DC38:DD38)</f>
        <v>44636000</v>
      </c>
    </row>
    <row r="39" spans="1:109" outlineLevel="1">
      <c r="A39" s="28" t="s">
        <v>28</v>
      </c>
      <c r="B39" s="94">
        <f>SUMIFS('Federal Data'!M2:M501,'Federal Data'!$F2:$F501,"Crime and Disaster",'Federal Data'!$D2:$D501,"Nongrant")</f>
        <v>4958436</v>
      </c>
      <c r="C39" s="101">
        <f>'State and Local P&amp;L (detailed)'!$C$29</f>
        <v>28247050</v>
      </c>
      <c r="D39" s="101">
        <f t="shared" si="76"/>
        <v>33205486</v>
      </c>
      <c r="E39" s="94">
        <f>SUMIFS('Federal Data'!N2:N501,'Federal Data'!$F2:$F501,"Crime and Disaster",'Federal Data'!$D2:$D501,"Nongrant")</f>
        <v>5026744</v>
      </c>
      <c r="F39" s="101">
        <f>'State and Local P&amp;L (detailed)'!$D$29</f>
        <v>31325337</v>
      </c>
      <c r="G39" s="101">
        <f t="shared" si="77"/>
        <v>36352081</v>
      </c>
      <c r="H39" s="94">
        <f>SUMIFS('Federal Data'!O2:O501,'Federal Data'!$F2:$F501,"Crime and Disaster",'Federal Data'!$D2:$D501,"Nongrant")</f>
        <v>3432551</v>
      </c>
      <c r="I39" s="101">
        <f>'State and Local P&amp;L (detailed)'!$E$29</f>
        <v>36759186</v>
      </c>
      <c r="J39" s="101">
        <f t="shared" si="78"/>
        <v>40191737</v>
      </c>
      <c r="K39" s="94">
        <f>SUMIFS('Federal Data'!P2:P501,'Federal Data'!$F2:$F501,"Crime and Disaster",'Federal Data'!$D2:$D501,"Nongrant")</f>
        <v>3823995</v>
      </c>
      <c r="L39" s="101">
        <f>'State and Local P&amp;L (detailed)'!$F$29</f>
        <v>42330601</v>
      </c>
      <c r="M39" s="101">
        <f t="shared" si="79"/>
        <v>46154596</v>
      </c>
      <c r="N39" s="94">
        <f>SUMIFS('Federal Data'!Q2:Q501,'Federal Data'!$F2:$F501,"Crime and Disaster",'Federal Data'!$D2:$D501,"Nongrant")</f>
        <v>4435764</v>
      </c>
      <c r="O39" s="101">
        <f>'State and Local P&amp;L (detailed)'!$G$29</f>
        <v>46200486</v>
      </c>
      <c r="P39" s="101">
        <f t="shared" si="80"/>
        <v>50636250</v>
      </c>
      <c r="Q39" s="94">
        <f>SUMIFS('Federal Data'!R2:R501,'Federal Data'!$F2:$F501,"Crime and Disaster",'Federal Data'!$D2:$D501,"Nongrant")</f>
        <v>4819522</v>
      </c>
      <c r="R39" s="101">
        <f>'State and Local P&amp;L (detailed)'!$H$29</f>
        <v>51148699</v>
      </c>
      <c r="S39" s="101">
        <f t="shared" si="81"/>
        <v>55968221</v>
      </c>
      <c r="T39" s="94">
        <f>SUMIFS('Federal Data'!S2:S501,'Federal Data'!$F2:$F501,"Crime and Disaster",'Federal Data'!$D2:$D501,"Nongrant")</f>
        <v>5317853</v>
      </c>
      <c r="U39" s="101">
        <f>'State and Local P&amp;L (detailed)'!$I$29</f>
        <v>56533169</v>
      </c>
      <c r="V39" s="101">
        <f t="shared" si="82"/>
        <v>61851022</v>
      </c>
      <c r="W39" s="94">
        <f>SUMIFS('Federal Data'!T2:T501,'Federal Data'!$F2:$F501,"Crime and Disaster",'Federal Data'!$D2:$D501,"Nongrant")</f>
        <v>5288909</v>
      </c>
      <c r="X39" s="101">
        <f>'State and Local P&amp;L (detailed)'!$J$29</f>
        <v>61936387</v>
      </c>
      <c r="Y39" s="101">
        <f t="shared" si="83"/>
        <v>67225296</v>
      </c>
      <c r="Z39" s="94">
        <f>SUMIFS('Federal Data'!U2:U501,'Federal Data'!$F2:$F501,"Crime and Disaster",'Federal Data'!$D2:$D501,"Nongrant")</f>
        <v>6300984</v>
      </c>
      <c r="AA39" s="101">
        <f>'State and Local P&amp;L (detailed)'!$K$29</f>
        <v>68228979</v>
      </c>
      <c r="AB39" s="101">
        <f t="shared" si="84"/>
        <v>74529963</v>
      </c>
      <c r="AC39" s="94">
        <f>SUMIFS('Federal Data'!V2:V501,'Federal Data'!$F2:$F501,"Crime and Disaster",'Federal Data'!$D2:$D501,"Nongrant")</f>
        <v>7074842</v>
      </c>
      <c r="AD39" s="101">
        <f>'State and Local P&amp;L (detailed)'!$L$29</f>
        <v>73487190</v>
      </c>
      <c r="AE39" s="101">
        <f t="shared" si="85"/>
        <v>80562032</v>
      </c>
      <c r="AF39" s="94">
        <f>SUMIFS('Federal Data'!W2:W501,'Federal Data'!$F2:$F501,"Crime and Disaster",'Federal Data'!$D2:$D501,"Nongrant")</f>
        <v>9162348</v>
      </c>
      <c r="AG39" s="101">
        <f>'State and Local P&amp;L (detailed)'!$M$29</f>
        <v>82505388</v>
      </c>
      <c r="AH39" s="101">
        <f t="shared" si="86"/>
        <v>91667736</v>
      </c>
      <c r="AI39" s="94">
        <f>SUMIFS('Federal Data'!X2:X501,'Federal Data'!$F2:$F501,"Crime and Disaster",'Federal Data'!$D2:$D501,"Nongrant")</f>
        <v>9830138</v>
      </c>
      <c r="AJ39" s="101">
        <f>'State and Local P&amp;L (detailed)'!$N$29</f>
        <v>89301996</v>
      </c>
      <c r="AK39" s="101">
        <f t="shared" si="87"/>
        <v>99132134</v>
      </c>
      <c r="AL39" s="94">
        <f>SUMIFS('Federal Data'!Y2:Y501,'Federal Data'!$F2:$F501,"Crime and Disaster",'Federal Data'!$D2:$D501,"Nongrant")</f>
        <v>11964359</v>
      </c>
      <c r="AM39" s="101">
        <f>'State and Local P&amp;L (detailed)'!$O$29</f>
        <v>95391158</v>
      </c>
      <c r="AN39" s="101">
        <f t="shared" si="88"/>
        <v>107355517</v>
      </c>
      <c r="AO39" s="94">
        <f>SUMIFS('Federal Data'!Z2:Z501,'Federal Data'!$F2:$F501,"Crime and Disaster",'Federal Data'!$D2:$D501,"Nongrant")</f>
        <v>13283307</v>
      </c>
      <c r="AP39" s="101">
        <f>'State and Local P&amp;L (detailed)'!$P$29</f>
        <v>98402810</v>
      </c>
      <c r="AQ39" s="101">
        <f t="shared" si="89"/>
        <v>111686117</v>
      </c>
      <c r="AR39" s="94">
        <f>SUMIFS('Federal Data'!AA2:AA501,'Federal Data'!$F2:$F501,"Crime and Disaster",'Federal Data'!$D2:$D501,"Nongrant")</f>
        <v>13520188</v>
      </c>
      <c r="AS39" s="101">
        <f>'State and Local P&amp;L (detailed)'!$Q$29</f>
        <v>104914980</v>
      </c>
      <c r="AT39" s="101">
        <f t="shared" si="90"/>
        <v>118435168</v>
      </c>
      <c r="AU39" s="94">
        <f>SUMIFS('Federal Data'!AB2:AB501,'Federal Data'!$F2:$F501,"Crime and Disaster",'Federal Data'!$D2:$D501,"Nongrant")</f>
        <v>15128000</v>
      </c>
      <c r="AV39" s="101">
        <f>'State and Local P&amp;L (detailed)'!$R$29</f>
        <v>113089020</v>
      </c>
      <c r="AW39" s="101">
        <f t="shared" si="91"/>
        <v>128217020</v>
      </c>
      <c r="AX39" s="94">
        <f>SUMIFS('Federal Data'!AC2:AC501,'Federal Data'!$F2:$F501,"Crime and Disaster",'Federal Data'!$D2:$D501,"Nongrant")</f>
        <v>15629000</v>
      </c>
      <c r="AY39" s="101">
        <f>'State and Local P&amp;L (detailed)'!$S$29</f>
        <v>120355551</v>
      </c>
      <c r="AZ39" s="101">
        <f t="shared" si="92"/>
        <v>135984551</v>
      </c>
      <c r="BA39" s="94">
        <f>SUMIFS('Federal Data'!AD2:AD501,'Federal Data'!$F2:$F501,"Crime and Disaster",'Federal Data'!$D2:$D501,"Nongrant")</f>
        <v>16652000</v>
      </c>
      <c r="BB39" s="101">
        <f>'State and Local P&amp;L (detailed)'!$T$29</f>
        <v>128618227</v>
      </c>
      <c r="BC39" s="101">
        <f t="shared" si="93"/>
        <v>145270227</v>
      </c>
      <c r="BD39" s="94">
        <f>SUMIFS('Federal Data'!AE2:AE501,'Federal Data'!$F2:$F501,"Crime and Disaster",'Federal Data'!$D2:$D501,"Nongrant")</f>
        <v>16712000</v>
      </c>
      <c r="BE39" s="101">
        <f>'State and Local P&amp;L (detailed)'!$U$29</f>
        <v>136796077</v>
      </c>
      <c r="BF39" s="101">
        <f t="shared" si="94"/>
        <v>153508077</v>
      </c>
      <c r="BG39" s="94">
        <f>SUMIFS('Federal Data'!AF2:AF501,'Federal Data'!$F2:$F501,"Crime and Disaster",'Federal Data'!$D2:$D501,"Nongrant")</f>
        <v>19147000</v>
      </c>
      <c r="BH39" s="101">
        <f>'State and Local P&amp;L (detailed)'!$V$29</f>
        <v>145542988</v>
      </c>
      <c r="BI39" s="101">
        <f t="shared" si="95"/>
        <v>164689988</v>
      </c>
      <c r="BJ39" s="94">
        <f>SUMIFS('Federal Data'!AG2:AG501,'Federal Data'!$F2:$F501,"Crime and Disaster",'Federal Data'!$D2:$D501,"Nongrant")</f>
        <v>19505000</v>
      </c>
      <c r="BK39" s="101">
        <f>'State and Local P&amp;L (detailed)'!$W$29</f>
        <v>155737621</v>
      </c>
      <c r="BL39" s="101">
        <f t="shared" si="96"/>
        <v>175242621</v>
      </c>
      <c r="BM39" s="94">
        <f>SUMIFS('Federal Data'!AH2:AH501,'Federal Data'!$F2:$F501,"Crime and Disaster",'Federal Data'!$D2:$D501,"Nongrant")</f>
        <v>20441000</v>
      </c>
      <c r="BN39" s="101">
        <f>'State and Local P&amp;L (detailed)'!$X$29</f>
        <v>166128389</v>
      </c>
      <c r="BO39" s="101">
        <f t="shared" si="97"/>
        <v>186569389</v>
      </c>
      <c r="BP39" s="94">
        <f>SUMIFS('Federal Data'!AI2:AI501,'Federal Data'!$F2:$F501,"Crime and Disaster",'Federal Data'!$D2:$D501,"Nongrant")</f>
        <v>24503000</v>
      </c>
      <c r="BQ39" s="101">
        <f>'State and Local P&amp;L (detailed)'!$Y$29</f>
        <v>176281400</v>
      </c>
      <c r="BR39" s="101">
        <f t="shared" si="98"/>
        <v>200784400</v>
      </c>
      <c r="BS39" s="94">
        <f>SUMIFS('Federal Data'!AJ2:AJ501,'Federal Data'!$F2:$F501,"Crime and Disaster",'Federal Data'!$D2:$D501,"Nongrant")</f>
        <v>27451000</v>
      </c>
      <c r="BT39" s="101">
        <f>'State and Local P&amp;L (detailed)'!$Z$29</f>
        <v>181630544</v>
      </c>
      <c r="BU39" s="101">
        <f t="shared" si="99"/>
        <v>209081544</v>
      </c>
      <c r="BV39" s="94">
        <f>SUMIFS('Federal Data'!AK2:AK501,'Federal Data'!$F2:$F501,"Crime and Disaster",'Federal Data'!$D2:$D501,"Nongrant")</f>
        <v>35440000</v>
      </c>
      <c r="BW39" s="101">
        <f>'State and Local P&amp;L (detailed)'!$AA$29</f>
        <v>188459321</v>
      </c>
      <c r="BX39" s="101">
        <f t="shared" si="100"/>
        <v>223899321</v>
      </c>
      <c r="BY39" s="94">
        <f>SUMIFS('Federal Data'!AL2:AL501,'Federal Data'!$F2:$F501,"Crime and Disaster",'Federal Data'!$D2:$D501,"Nongrant")</f>
        <v>32381000</v>
      </c>
      <c r="BZ39" s="101">
        <f>'State and Local P&amp;L (detailed)'!$AB$29</f>
        <v>199123657</v>
      </c>
      <c r="CA39" s="101">
        <f t="shared" si="101"/>
        <v>231504657</v>
      </c>
      <c r="CB39" s="94">
        <f>SUMIFS('Federal Data'!AM2:AM501,'Federal Data'!$F2:$F501,"Crime and Disaster",'Federal Data'!$D2:$D501,"Nongrant")</f>
        <v>59723000</v>
      </c>
      <c r="CC39" s="101">
        <f>'State and Local P&amp;L (detailed)'!$AC$29</f>
        <v>211692087</v>
      </c>
      <c r="CD39" s="101">
        <f t="shared" si="102"/>
        <v>271415087</v>
      </c>
      <c r="CE39" s="94">
        <f>SUMIFS('Federal Data'!AN2:AN501,'Federal Data'!$F2:$F501,"Crime and Disaster",'Federal Data'!$D2:$D501,"Nongrant")</f>
        <v>36048000</v>
      </c>
      <c r="CF39" s="101">
        <f>'State and Local P&amp;L (detailed)'!$AD$29</f>
        <v>227416290</v>
      </c>
      <c r="CG39" s="101">
        <f t="shared" si="103"/>
        <v>263464290</v>
      </c>
      <c r="CH39" s="94">
        <f>SUMIFS('Federal Data'!AO2:AO501,'Federal Data'!$F2:$F501,"Crime and Disaster",'Federal Data'!$D2:$D501,"Nongrant")</f>
        <v>35166000</v>
      </c>
      <c r="CI39" s="101">
        <f>'State and Local P&amp;L (detailed)'!$AE$29</f>
        <v>242620895</v>
      </c>
      <c r="CJ39" s="101">
        <f t="shared" si="104"/>
        <v>277786895</v>
      </c>
      <c r="CK39" s="94">
        <f>SUMIFS('Federal Data'!AP2:AP501,'Federal Data'!$F2:$F501,"Crime and Disaster",'Federal Data'!$D2:$D501,"Nongrant")</f>
        <v>40114000</v>
      </c>
      <c r="CL39" s="101">
        <f>'State and Local P&amp;L (detailed)'!$AF$29</f>
        <v>253756557</v>
      </c>
      <c r="CM39" s="101">
        <f t="shared" si="105"/>
        <v>293870557</v>
      </c>
      <c r="CN39" s="94">
        <f>SUMIFS('Federal Data'!AQ2:AQ501,'Federal Data'!$F2:$F501,"Crime and Disaster",'Federal Data'!$D2:$D501,"Nongrant")</f>
        <v>37191000</v>
      </c>
      <c r="CO39" s="101">
        <f>'State and Local P&amp;L (detailed)'!$AG$29</f>
        <v>253245646</v>
      </c>
      <c r="CP39" s="101">
        <f t="shared" si="106"/>
        <v>290436646</v>
      </c>
      <c r="CQ39" s="94">
        <f>SUMIFS('Federal Data'!AR2:AR501,'Federal Data'!$F2:$F501,"Crime and Disaster",'Federal Data'!$D2:$D501,"Nongrant")</f>
        <v>37297000</v>
      </c>
      <c r="CR39" s="101">
        <f>'State and Local P&amp;L (detailed)'!$AH$29</f>
        <v>254316127</v>
      </c>
      <c r="CS39" s="101">
        <f t="shared" si="107"/>
        <v>291613127</v>
      </c>
      <c r="CT39" s="94">
        <f>SUMIFS('Federal Data'!AS2:AS501,'Federal Data'!$F2:$F501,"Crime and Disaster",'Federal Data'!$D2:$D501,"Nongrant")</f>
        <v>38800000</v>
      </c>
      <c r="CU39" s="101">
        <f>'State and Local P&amp;L (detailed)'!$AI$29</f>
        <v>255249963</v>
      </c>
      <c r="CV39" s="101">
        <f t="shared" si="108"/>
        <v>294049963</v>
      </c>
      <c r="CW39" s="94">
        <f>SUMIFS('Federal Data'!AT2:AT501,'Federal Data'!$F2:$F501,"Crime and Disaster",'Federal Data'!$D2:$D501,"Nongrant")</f>
        <v>49411000</v>
      </c>
      <c r="CX39" s="101">
        <f>'State and Local P&amp;L (detailed)'!$AJ$29</f>
        <v>257099117</v>
      </c>
      <c r="CY39" s="101">
        <f t="shared" si="109"/>
        <v>306510117</v>
      </c>
      <c r="CZ39" s="94">
        <f>SUMIFS('Federal Data'!AU2:AU501,'Federal Data'!$F2:$F501,"Crime and Disaster",'Federal Data'!$D2:$D501,"Nongrant")</f>
        <v>37801000</v>
      </c>
      <c r="DA39" s="101">
        <f>'State and Local P&amp;L (detailed)'!$AK$29</f>
        <v>264885131</v>
      </c>
      <c r="DB39" s="101">
        <f t="shared" si="110"/>
        <v>302686131</v>
      </c>
      <c r="DC39" s="37">
        <f>SUMIFS('Federal Data'!AV2:AV501,'Federal Data'!$F2:$F501,"Crime and Disaster",'Federal Data'!$D2:$D501,"Nongrant")</f>
        <v>37499000</v>
      </c>
      <c r="DD39" s="85">
        <f>'State and Local P&amp;L (detailed)'!$AL$29</f>
        <v>0</v>
      </c>
      <c r="DE39" s="85">
        <f t="shared" si="111"/>
        <v>37499000</v>
      </c>
    </row>
    <row r="40" spans="1:109" outlineLevel="2">
      <c r="A40" s="29" t="s">
        <v>29</v>
      </c>
      <c r="B40" s="94">
        <f>SUMIFS('Federal Data'!M2:M501,'Federal Data'!$G2:$G501,"Law Enforcement and Corrections",'Federal Data'!$D2:$D501,"Nongrant")</f>
        <v>1949721</v>
      </c>
      <c r="C40" s="101">
        <f>'State and Local P&amp;L (detailed)'!$C$30</f>
        <v>19941205</v>
      </c>
      <c r="D40" s="101">
        <f t="shared" si="76"/>
        <v>21890926</v>
      </c>
      <c r="E40" s="94">
        <f>SUMIFS('Federal Data'!N2:N501,'Federal Data'!$G2:$G501,"Law Enforcement and Corrections",'Federal Data'!$D2:$D501,"Nongrant")</f>
        <v>2124302</v>
      </c>
      <c r="F40" s="101">
        <f>'State and Local P&amp;L (detailed)'!$D$30</f>
        <v>22339916</v>
      </c>
      <c r="G40" s="101">
        <f t="shared" si="77"/>
        <v>24464218</v>
      </c>
      <c r="H40" s="94">
        <f>SUMIFS('Federal Data'!O2:O501,'Federal Data'!$G2:$G501,"Law Enforcement and Corrections",'Federal Data'!$D2:$D501,"Nongrant")</f>
        <v>2130865</v>
      </c>
      <c r="I40" s="101">
        <f>'State and Local P&amp;L (detailed)'!$E$30</f>
        <v>24981342</v>
      </c>
      <c r="J40" s="101">
        <f t="shared" si="78"/>
        <v>27112207</v>
      </c>
      <c r="K40" s="94">
        <f>SUMIFS('Federal Data'!P2:P501,'Federal Data'!$G2:$G501,"Law Enforcement and Corrections",'Federal Data'!$D2:$D501,"Nongrant")</f>
        <v>2384343</v>
      </c>
      <c r="L40" s="101">
        <f>'State and Local P&amp;L (detailed)'!$F$30</f>
        <v>27741095</v>
      </c>
      <c r="M40" s="101">
        <f t="shared" si="79"/>
        <v>30125438</v>
      </c>
      <c r="N40" s="94">
        <f>SUMIFS('Federal Data'!Q2:Q501,'Federal Data'!$G2:$G501,"Law Enforcement and Corrections",'Federal Data'!$D2:$D501,"Nongrant")</f>
        <v>2708787</v>
      </c>
      <c r="O40" s="101">
        <f>'State and Local P&amp;L (detailed)'!$G$30</f>
        <v>30349893</v>
      </c>
      <c r="P40" s="101">
        <f t="shared" si="80"/>
        <v>33058680</v>
      </c>
      <c r="Q40" s="94">
        <f>SUMIFS('Federal Data'!R2:R501,'Federal Data'!$G2:$G501,"Law Enforcement and Corrections",'Federal Data'!$D2:$D501,"Nongrant")</f>
        <v>2969315</v>
      </c>
      <c r="R40" s="101">
        <f>'State and Local P&amp;L (detailed)'!$H$30</f>
        <v>33794943</v>
      </c>
      <c r="S40" s="101">
        <f t="shared" si="81"/>
        <v>36764258</v>
      </c>
      <c r="T40" s="94">
        <f>SUMIFS('Federal Data'!S2:S501,'Federal Data'!$G2:$G501,"Law Enforcement and Corrections",'Federal Data'!$D2:$D501,"Nongrant")</f>
        <v>3042038</v>
      </c>
      <c r="U40" s="101">
        <f>'State and Local P&amp;L (detailed)'!$I$30</f>
        <v>37642801</v>
      </c>
      <c r="V40" s="101">
        <f t="shared" si="82"/>
        <v>40684839</v>
      </c>
      <c r="W40" s="94">
        <f>SUMIFS('Federal Data'!T2:T501,'Federal Data'!$G2:$G501,"Law Enforcement and Corrections",'Federal Data'!$D2:$D501,"Nongrant")</f>
        <v>3284776</v>
      </c>
      <c r="X40" s="101">
        <f>'State and Local P&amp;L (detailed)'!$J$30</f>
        <v>41380269</v>
      </c>
      <c r="Y40" s="101">
        <f t="shared" si="83"/>
        <v>44665045</v>
      </c>
      <c r="Z40" s="94">
        <f>SUMIFS('Federal Data'!U2:U501,'Federal Data'!$G2:$G501,"Law Enforcement and Corrections",'Federal Data'!$D2:$D501,"Nongrant")</f>
        <v>3904564</v>
      </c>
      <c r="AA40" s="101">
        <f>'State and Local P&amp;L (detailed)'!$K$30</f>
        <v>45262749</v>
      </c>
      <c r="AB40" s="101">
        <f t="shared" si="84"/>
        <v>49167313</v>
      </c>
      <c r="AC40" s="94">
        <f>SUMIFS('Federal Data'!V2:V501,'Federal Data'!$G2:$G501,"Law Enforcement and Corrections",'Federal Data'!$D2:$D501,"Nongrant")</f>
        <v>4341198</v>
      </c>
      <c r="AD40" s="101">
        <f>'State and Local P&amp;L (detailed)'!$L$30</f>
        <v>48968112</v>
      </c>
      <c r="AE40" s="101">
        <f t="shared" si="85"/>
        <v>53309310</v>
      </c>
      <c r="AF40" s="94">
        <f>SUMIFS('Federal Data'!W2:W501,'Federal Data'!$G2:$G501,"Law Enforcement and Corrections",'Federal Data'!$D2:$D501,"Nongrant")</f>
        <v>4858420</v>
      </c>
      <c r="AG40" s="101">
        <f>'State and Local P&amp;L (detailed)'!$M$30</f>
        <v>55211807</v>
      </c>
      <c r="AH40" s="101">
        <f t="shared" si="86"/>
        <v>60070227</v>
      </c>
      <c r="AI40" s="94">
        <f>SUMIFS('Federal Data'!X2:X501,'Federal Data'!$G2:$G501,"Law Enforcement and Corrections",'Federal Data'!$D2:$D501,"Nongrant")</f>
        <v>5731719</v>
      </c>
      <c r="AJ40" s="101">
        <f>'State and Local P&amp;L (detailed)'!$N$30</f>
        <v>60128061</v>
      </c>
      <c r="AK40" s="101">
        <f t="shared" si="87"/>
        <v>65859780</v>
      </c>
      <c r="AL40" s="94">
        <f>SUMIFS('Federal Data'!Y2:Y501,'Federal Data'!$G2:$G501,"Law Enforcement and Corrections",'Federal Data'!$D2:$D501,"Nongrant")</f>
        <v>6873806</v>
      </c>
      <c r="AM40" s="101">
        <f>'State and Local P&amp;L (detailed)'!$O$30</f>
        <v>64181520</v>
      </c>
      <c r="AN40" s="101">
        <f t="shared" si="88"/>
        <v>71055326</v>
      </c>
      <c r="AO40" s="94">
        <f>SUMIFS('Federal Data'!Z2:Z501,'Federal Data'!$G2:$G501,"Law Enforcement and Corrections",'Federal Data'!$D2:$D501,"Nongrant")</f>
        <v>7065082</v>
      </c>
      <c r="AP40" s="101">
        <f>'State and Local P&amp;L (detailed)'!$P$30</f>
        <v>66037631</v>
      </c>
      <c r="AQ40" s="101">
        <f t="shared" si="89"/>
        <v>73102713</v>
      </c>
      <c r="AR40" s="94">
        <f>SUMIFS('Federal Data'!AA2:AA501,'Federal Data'!$G2:$G501,"Law Enforcement and Corrections",'Federal Data'!$D2:$D501,"Nongrant")</f>
        <v>7322033</v>
      </c>
      <c r="AS40" s="101">
        <f>'State and Local P&amp;L (detailed)'!$Q$30</f>
        <v>70914966</v>
      </c>
      <c r="AT40" s="101">
        <f t="shared" si="90"/>
        <v>78236999</v>
      </c>
      <c r="AU40" s="94">
        <f>SUMIFS('Federal Data'!AB2:AB501,'Federal Data'!$G2:$G501,"Law Enforcement and Corrections",'Federal Data'!$D2:$D501,"Nongrant")</f>
        <v>7742000</v>
      </c>
      <c r="AV40" s="101">
        <f>'State and Local P&amp;L (detailed)'!$R$30</f>
        <v>76911386</v>
      </c>
      <c r="AW40" s="101">
        <f t="shared" si="91"/>
        <v>84653386</v>
      </c>
      <c r="AX40" s="94">
        <f>SUMIFS('Federal Data'!AC2:AC501,'Federal Data'!$G2:$G501,"Law Enforcement and Corrections",'Federal Data'!$D2:$D501,"Nongrant")</f>
        <v>8468000</v>
      </c>
      <c r="AY40" s="101">
        <f>'State and Local P&amp;L (detailed)'!$S$30</f>
        <v>82193002</v>
      </c>
      <c r="AZ40" s="101">
        <f t="shared" si="92"/>
        <v>90661002</v>
      </c>
      <c r="BA40" s="94">
        <f>SUMIFS('Federal Data'!AD2:AD501,'Federal Data'!$G2:$G501,"Law Enforcement and Corrections",'Federal Data'!$D2:$D501,"Nongrant")</f>
        <v>9307000</v>
      </c>
      <c r="BB40" s="101">
        <f>'State and Local P&amp;L (detailed)'!$T$30</f>
        <v>87565200</v>
      </c>
      <c r="BC40" s="101">
        <f t="shared" si="93"/>
        <v>96872200</v>
      </c>
      <c r="BD40" s="94">
        <f>SUMIFS('Federal Data'!AE2:AE501,'Federal Data'!$G2:$G501,"Law Enforcement and Corrections",'Federal Data'!$D2:$D501,"Nongrant")</f>
        <v>9823000</v>
      </c>
      <c r="BE40" s="101">
        <f>'State and Local P&amp;L (detailed)'!$U$30</f>
        <v>92953832</v>
      </c>
      <c r="BF40" s="101">
        <f t="shared" si="94"/>
        <v>102776832</v>
      </c>
      <c r="BG40" s="94">
        <f>SUMIFS('Federal Data'!AF2:AF501,'Federal Data'!$G2:$G501,"Law Enforcement and Corrections",'Federal Data'!$D2:$D501,"Nongrant")</f>
        <v>10868000</v>
      </c>
      <c r="BH40" s="101">
        <f>'State and Local P&amp;L (detailed)'!$V$30</f>
        <v>98964591</v>
      </c>
      <c r="BI40" s="101">
        <f t="shared" si="95"/>
        <v>109832591</v>
      </c>
      <c r="BJ40" s="94">
        <f>SUMIFS('Federal Data'!AG2:AG501,'Federal Data'!$G2:$G501,"Law Enforcement and Corrections",'Federal Data'!$D2:$D501,"Nongrant")</f>
        <v>11871000</v>
      </c>
      <c r="BK40" s="101">
        <f>'State and Local P&amp;L (detailed)'!$W$30</f>
        <v>105603510</v>
      </c>
      <c r="BL40" s="101">
        <f t="shared" si="96"/>
        <v>117474510</v>
      </c>
      <c r="BM40" s="94">
        <f>SUMIFS('Federal Data'!AH2:AH501,'Federal Data'!$G2:$G501,"Law Enforcement and Corrections",'Federal Data'!$D2:$D501,"Nongrant")</f>
        <v>11534000</v>
      </c>
      <c r="BN40" s="101">
        <f>'State and Local P&amp;L (detailed)'!$X$30</f>
        <v>111954428</v>
      </c>
      <c r="BO40" s="101">
        <f t="shared" si="97"/>
        <v>123488428</v>
      </c>
      <c r="BP40" s="94">
        <f>SUMIFS('Federal Data'!AI2:AI501,'Federal Data'!$G2:$G501,"Law Enforcement and Corrections",'Federal Data'!$D2:$D501,"Nongrant")</f>
        <v>14697000</v>
      </c>
      <c r="BQ40" s="101">
        <f>'State and Local P&amp;L (detailed)'!$Y$30</f>
        <v>119073631</v>
      </c>
      <c r="BR40" s="101">
        <f t="shared" si="98"/>
        <v>133770631</v>
      </c>
      <c r="BS40" s="94">
        <f>SUMIFS('Federal Data'!AJ2:AJ501,'Federal Data'!$G2:$G501,"Law Enforcement and Corrections",'Federal Data'!$D2:$D501,"Nongrant")</f>
        <v>15558000</v>
      </c>
      <c r="BT40" s="101">
        <f>'State and Local P&amp;L (detailed)'!$Z$30</f>
        <v>122832686</v>
      </c>
      <c r="BU40" s="101">
        <f t="shared" si="99"/>
        <v>138390686</v>
      </c>
      <c r="BV40" s="94">
        <f>SUMIFS('Federal Data'!AK2:AK501,'Federal Data'!$G2:$G501,"Law Enforcement and Corrections",'Federal Data'!$D2:$D501,"Nongrant")</f>
        <v>23453000</v>
      </c>
      <c r="BW40" s="101">
        <f>'State and Local P&amp;L (detailed)'!$AA$30</f>
        <v>126414466</v>
      </c>
      <c r="BX40" s="101">
        <f t="shared" si="100"/>
        <v>149867466</v>
      </c>
      <c r="BY40" s="94">
        <f>SUMIFS('Federal Data'!AL2:AL501,'Federal Data'!$G2:$G501,"Law Enforcement and Corrections",'Federal Data'!$D2:$D501,"Nongrant")</f>
        <v>17939000</v>
      </c>
      <c r="BZ40" s="101">
        <f>'State and Local P&amp;L (detailed)'!$AB$30</f>
        <v>133233166</v>
      </c>
      <c r="CA40" s="101">
        <f t="shared" si="101"/>
        <v>151172166</v>
      </c>
      <c r="CB40" s="94">
        <f>SUMIFS('Federal Data'!AM2:AM501,'Federal Data'!$G2:$G501,"Law Enforcement and Corrections",'Federal Data'!$D2:$D501,"Nongrant")</f>
        <v>17589000</v>
      </c>
      <c r="CC40" s="101">
        <f>'State and Local P&amp;L (detailed)'!$AC$30</f>
        <v>141045798</v>
      </c>
      <c r="CD40" s="101">
        <f t="shared" si="102"/>
        <v>158634798</v>
      </c>
      <c r="CE40" s="94">
        <f>SUMIFS('Federal Data'!AN2:AN501,'Federal Data'!$G2:$G501,"Law Enforcement and Corrections",'Federal Data'!$D2:$D501,"Nongrant")</f>
        <v>17385000</v>
      </c>
      <c r="CF40" s="101">
        <f>'State and Local P&amp;L (detailed)'!$AD$30</f>
        <v>152031914</v>
      </c>
      <c r="CG40" s="101">
        <f t="shared" si="103"/>
        <v>169416914</v>
      </c>
      <c r="CH40" s="94">
        <f>SUMIFS('Federal Data'!AO2:AO501,'Federal Data'!$G2:$G501,"Law Enforcement and Corrections",'Federal Data'!$D2:$D501,"Nongrant")</f>
        <v>20059000</v>
      </c>
      <c r="CI40" s="101">
        <f>'State and Local P&amp;L (detailed)'!$AE$30</f>
        <v>162215648</v>
      </c>
      <c r="CJ40" s="101">
        <f t="shared" si="104"/>
        <v>182274648</v>
      </c>
      <c r="CK40" s="94">
        <f>SUMIFS('Federal Data'!AP2:AP501,'Federal Data'!$G2:$G501,"Law Enforcement and Corrections",'Federal Data'!$D2:$D501,"Nongrant")</f>
        <v>19497000</v>
      </c>
      <c r="CL40" s="101">
        <f>'State and Local P&amp;L (detailed)'!$AF$30</f>
        <v>170113275</v>
      </c>
      <c r="CM40" s="101">
        <f t="shared" si="105"/>
        <v>189610275</v>
      </c>
      <c r="CN40" s="94">
        <f>SUMIFS('Federal Data'!AQ2:AQ501,'Federal Data'!$G2:$G501,"Law Enforcement and Corrections",'Federal Data'!$D2:$D501,"Nongrant")</f>
        <v>20879000</v>
      </c>
      <c r="CO40" s="101">
        <f>'State and Local P&amp;L (detailed)'!$AG$30</f>
        <v>168872071</v>
      </c>
      <c r="CP40" s="101">
        <f t="shared" si="106"/>
        <v>189751071</v>
      </c>
      <c r="CQ40" s="94">
        <f>SUMIFS('Federal Data'!AR2:AR501,'Federal Data'!$G2:$G501,"Law Enforcement and Corrections",'Federal Data'!$D2:$D501,"Nongrant")</f>
        <v>22030000</v>
      </c>
      <c r="CR40" s="101">
        <f>'State and Local P&amp;L (detailed)'!$AH$30</f>
        <v>170009525</v>
      </c>
      <c r="CS40" s="101">
        <f t="shared" si="107"/>
        <v>192039525</v>
      </c>
      <c r="CT40" s="94">
        <f>SUMIFS('Federal Data'!AS2:AS501,'Federal Data'!$G2:$G501,"Law Enforcement and Corrections",'Federal Data'!$D2:$D501,"Nongrant")</f>
        <v>21364000</v>
      </c>
      <c r="CU40" s="101">
        <f>'State and Local P&amp;L (detailed)'!$AI$30</f>
        <v>169612728</v>
      </c>
      <c r="CV40" s="101">
        <f t="shared" si="108"/>
        <v>190976728</v>
      </c>
      <c r="CW40" s="94">
        <f>SUMIFS('Federal Data'!AT2:AT501,'Federal Data'!$G2:$G501,"Law Enforcement and Corrections",'Federal Data'!$D2:$D501,"Nongrant")</f>
        <v>20101000</v>
      </c>
      <c r="CX40" s="101">
        <f>'State and Local P&amp;L (detailed)'!$AJ$30</f>
        <v>171991712</v>
      </c>
      <c r="CY40" s="101">
        <f t="shared" si="109"/>
        <v>192092712</v>
      </c>
      <c r="CZ40" s="94">
        <f>SUMIFS('Federal Data'!AU2:AU501,'Federal Data'!$G2:$G501,"Law Enforcement and Corrections",'Federal Data'!$D2:$D501,"Nongrant")</f>
        <v>19067000</v>
      </c>
      <c r="DA40" s="101">
        <f>'State and Local P&amp;L (detailed)'!$AK$30</f>
        <v>176694596</v>
      </c>
      <c r="DB40" s="101">
        <f t="shared" si="110"/>
        <v>195761596</v>
      </c>
      <c r="DC40" s="37">
        <f>SUMIFS('Federal Data'!AV2:AV501,'Federal Data'!$G2:$G501,"Law Enforcement and Corrections",'Federal Data'!$D2:$D501,"Nongrant")</f>
        <v>20321000</v>
      </c>
      <c r="DD40" s="85">
        <f>'State and Local P&amp;L (detailed)'!$AL$30</f>
        <v>0</v>
      </c>
      <c r="DE40" s="85">
        <f t="shared" si="111"/>
        <v>20321000</v>
      </c>
    </row>
    <row r="41" spans="1:109" outlineLevel="2">
      <c r="A41" s="29" t="s">
        <v>30</v>
      </c>
      <c r="B41" s="94">
        <f>SUMIFS('Federal Data'!M2:M501,'Federal Data'!$G2:$G501,"Justice System",'Federal Data'!$D2:$D501,"Nongrant")</f>
        <v>1346920</v>
      </c>
      <c r="C41" s="101">
        <f>'State and Local P&amp;L (detailed)'!$C$33</f>
        <v>2587613</v>
      </c>
      <c r="D41" s="101">
        <f t="shared" si="76"/>
        <v>3934533</v>
      </c>
      <c r="E41" s="94">
        <f>SUMIFS('Federal Data'!N2:N501,'Federal Data'!$G2:$G501,"Justice System",'Federal Data'!$D2:$D501,"Nongrant")</f>
        <v>1491332</v>
      </c>
      <c r="F41" s="101">
        <f>'State and Local P&amp;L (detailed)'!$D$33</f>
        <v>2649660</v>
      </c>
      <c r="G41" s="101">
        <f t="shared" si="77"/>
        <v>4140992</v>
      </c>
      <c r="H41" s="94">
        <f>SUMIFS('Federal Data'!O2:O501,'Federal Data'!$G2:$G501,"Justice System",'Federal Data'!$D2:$D501,"Nongrant")</f>
        <v>1516922</v>
      </c>
      <c r="I41" s="101">
        <f>'State and Local P&amp;L (detailed)'!$E$33</f>
        <v>4752288</v>
      </c>
      <c r="J41" s="101">
        <f t="shared" si="78"/>
        <v>6269210</v>
      </c>
      <c r="K41" s="94">
        <f>SUMIFS('Federal Data'!P2:P501,'Federal Data'!$G2:$G501,"Justice System",'Federal Data'!$D2:$D501,"Nongrant")</f>
        <v>1627393</v>
      </c>
      <c r="L41" s="101">
        <f>'State and Local P&amp;L (detailed)'!$F$33</f>
        <v>7007431</v>
      </c>
      <c r="M41" s="101">
        <f t="shared" si="79"/>
        <v>8634824</v>
      </c>
      <c r="N41" s="94">
        <f>SUMIFS('Federal Data'!Q2:Q501,'Federal Data'!$G2:$G501,"Justice System",'Federal Data'!$D2:$D501,"Nongrant")</f>
        <v>1824786</v>
      </c>
      <c r="O41" s="101">
        <f>'State and Local P&amp;L (detailed)'!$G$33</f>
        <v>7648866</v>
      </c>
      <c r="P41" s="101">
        <f t="shared" si="80"/>
        <v>9473652</v>
      </c>
      <c r="Q41" s="94">
        <f>SUMIFS('Federal Data'!R2:R501,'Federal Data'!$G2:$G501,"Justice System",'Federal Data'!$D2:$D501,"Nongrant")</f>
        <v>2064475</v>
      </c>
      <c r="R41" s="101">
        <f>'State and Local P&amp;L (detailed)'!$H$33</f>
        <v>8437125</v>
      </c>
      <c r="S41" s="101">
        <f t="shared" si="81"/>
        <v>10501600</v>
      </c>
      <c r="T41" s="94">
        <f>SUMIFS('Federal Data'!S2:S501,'Federal Data'!$G2:$G501,"Justice System",'Federal Data'!$D2:$D501,"Nongrant")</f>
        <v>2158502</v>
      </c>
      <c r="U41" s="101">
        <f>'State and Local P&amp;L (detailed)'!$I$33</f>
        <v>9303842</v>
      </c>
      <c r="V41" s="101">
        <f t="shared" si="82"/>
        <v>11462344</v>
      </c>
      <c r="W41" s="94">
        <f>SUMIFS('Federal Data'!T2:T501,'Federal Data'!$G2:$G501,"Justice System",'Federal Data'!$D2:$D501,"Nongrant")</f>
        <v>2434204</v>
      </c>
      <c r="X41" s="101">
        <f>'State and Local P&amp;L (detailed)'!$J$33</f>
        <v>10103225</v>
      </c>
      <c r="Y41" s="101">
        <f t="shared" si="83"/>
        <v>12537429</v>
      </c>
      <c r="Z41" s="94">
        <f>SUMIFS('Federal Data'!U2:U501,'Federal Data'!$G2:$G501,"Justice System",'Federal Data'!$D2:$D501,"Nongrant")</f>
        <v>2799575</v>
      </c>
      <c r="AA41" s="101">
        <f>'State and Local P&amp;L (detailed)'!$K$33</f>
        <v>11213374</v>
      </c>
      <c r="AB41" s="101">
        <f t="shared" si="84"/>
        <v>14012949</v>
      </c>
      <c r="AC41" s="94">
        <f>SUMIFS('Federal Data'!V2:V501,'Federal Data'!$G2:$G501,"Justice System",'Federal Data'!$D2:$D501,"Nongrant")</f>
        <v>3091863</v>
      </c>
      <c r="AD41" s="101">
        <f>'State and Local P&amp;L (detailed)'!$L$33</f>
        <v>12586861</v>
      </c>
      <c r="AE41" s="101">
        <f t="shared" si="85"/>
        <v>15678724</v>
      </c>
      <c r="AF41" s="94">
        <f>SUMIFS('Federal Data'!W2:W501,'Federal Data'!$G2:$G501,"Justice System",'Federal Data'!$D2:$D501,"Nongrant")</f>
        <v>3389904</v>
      </c>
      <c r="AG41" s="101">
        <f>'State and Local P&amp;L (detailed)'!$M$33</f>
        <v>14107500</v>
      </c>
      <c r="AH41" s="101">
        <f t="shared" si="86"/>
        <v>17497404</v>
      </c>
      <c r="AI41" s="94">
        <f>SUMIFS('Federal Data'!X2:X501,'Federal Data'!$G2:$G501,"Justice System",'Federal Data'!$D2:$D501,"Nongrant")</f>
        <v>4072217</v>
      </c>
      <c r="AJ41" s="101">
        <f>'State and Local P&amp;L (detailed)'!$N$33</f>
        <v>15377798</v>
      </c>
      <c r="AK41" s="101">
        <f t="shared" si="87"/>
        <v>19450015</v>
      </c>
      <c r="AL41" s="94">
        <f>SUMIFS('Federal Data'!Y2:Y501,'Federal Data'!$G2:$G501,"Justice System",'Federal Data'!$D2:$D501,"Nongrant")</f>
        <v>4842839</v>
      </c>
      <c r="AM41" s="101">
        <f>'State and Local P&amp;L (detailed)'!$O$33</f>
        <v>16458980</v>
      </c>
      <c r="AN41" s="101">
        <f t="shared" si="88"/>
        <v>21301819</v>
      </c>
      <c r="AO41" s="94">
        <f>SUMIFS('Federal Data'!Z2:Z501,'Federal Data'!$G2:$G501,"Justice System",'Federal Data'!$D2:$D501,"Nongrant")</f>
        <v>5131516</v>
      </c>
      <c r="AP41" s="101">
        <f>'State and Local P&amp;L (detailed)'!$P$33</f>
        <v>16992532</v>
      </c>
      <c r="AQ41" s="101">
        <f t="shared" si="89"/>
        <v>22124048</v>
      </c>
      <c r="AR41" s="94">
        <f>SUMIFS('Federal Data'!AA2:AA501,'Federal Data'!$G2:$G501,"Justice System",'Federal Data'!$D2:$D501,"Nongrant")</f>
        <v>5245441</v>
      </c>
      <c r="AS41" s="101">
        <f>'State and Local P&amp;L (detailed)'!$Q$33</f>
        <v>17877217</v>
      </c>
      <c r="AT41" s="101">
        <f t="shared" si="90"/>
        <v>23122658</v>
      </c>
      <c r="AU41" s="94">
        <f>SUMIFS('Federal Data'!AB2:AB501,'Federal Data'!$G2:$G501,"Justice System",'Federal Data'!$D2:$D501,"Nongrant")</f>
        <v>5879000</v>
      </c>
      <c r="AV41" s="101">
        <f>'State and Local P&amp;L (detailed)'!$R$33</f>
        <v>19168153</v>
      </c>
      <c r="AW41" s="101">
        <f t="shared" si="91"/>
        <v>25047153</v>
      </c>
      <c r="AX41" s="94">
        <f>SUMIFS('Federal Data'!AC2:AC501,'Federal Data'!$G2:$G501,"Justice System",'Federal Data'!$D2:$D501,"Nongrant")</f>
        <v>5904000</v>
      </c>
      <c r="AY41" s="101">
        <f>'State and Local P&amp;L (detailed)'!$S$33</f>
        <v>20453777</v>
      </c>
      <c r="AZ41" s="101">
        <f t="shared" si="92"/>
        <v>26357777</v>
      </c>
      <c r="BA41" s="94">
        <f>SUMIFS('Federal Data'!AD2:AD501,'Federal Data'!$G2:$G501,"Justice System",'Federal Data'!$D2:$D501,"Nongrant")</f>
        <v>6148000</v>
      </c>
      <c r="BB41" s="101">
        <f>'State and Local P&amp;L (detailed)'!$T$33</f>
        <v>21645774</v>
      </c>
      <c r="BC41" s="101">
        <f t="shared" si="93"/>
        <v>27793774</v>
      </c>
      <c r="BD41" s="94">
        <f>SUMIFS('Federal Data'!AE2:AE501,'Federal Data'!$G2:$G501,"Justice System",'Federal Data'!$D2:$D501,"Nongrant")</f>
        <v>6497000</v>
      </c>
      <c r="BE41" s="101">
        <f>'State and Local P&amp;L (detailed)'!$U$33</f>
        <v>23573382</v>
      </c>
      <c r="BF41" s="101">
        <f t="shared" si="94"/>
        <v>30070382</v>
      </c>
      <c r="BG41" s="94">
        <f>SUMIFS('Federal Data'!AF2:AF501,'Federal Data'!$G2:$G501,"Justice System",'Federal Data'!$D2:$D501,"Nongrant")</f>
        <v>7122000</v>
      </c>
      <c r="BH41" s="101">
        <f>'State and Local P&amp;L (detailed)'!$V$33</f>
        <v>25316294</v>
      </c>
      <c r="BI41" s="101">
        <f t="shared" si="95"/>
        <v>32438294</v>
      </c>
      <c r="BJ41" s="94">
        <f>SUMIFS('Federal Data'!AG2:AG501,'Federal Data'!$G2:$G501,"Justice System",'Federal Data'!$D2:$D501,"Nongrant")</f>
        <v>7468000</v>
      </c>
      <c r="BK41" s="101">
        <f>'State and Local P&amp;L (detailed)'!$W$33</f>
        <v>27032180</v>
      </c>
      <c r="BL41" s="101">
        <f t="shared" si="96"/>
        <v>34500180</v>
      </c>
      <c r="BM41" s="94">
        <f>SUMIFS('Federal Data'!AH2:AH501,'Federal Data'!$G2:$G501,"Justice System",'Federal Data'!$D2:$D501,"Nongrant")</f>
        <v>8091000</v>
      </c>
      <c r="BN41" s="101">
        <f>'State and Local P&amp;L (detailed)'!$X$33</f>
        <v>29203901</v>
      </c>
      <c r="BO41" s="101">
        <f t="shared" si="97"/>
        <v>37294901</v>
      </c>
      <c r="BP41" s="94">
        <f>SUMIFS('Federal Data'!AI2:AI501,'Federal Data'!$G2:$G501,"Justice System",'Federal Data'!$D2:$D501,"Nongrant")</f>
        <v>8912000</v>
      </c>
      <c r="BQ41" s="101">
        <f>'State and Local P&amp;L (detailed)'!$Y$33</f>
        <v>31210148</v>
      </c>
      <c r="BR41" s="101">
        <f t="shared" si="98"/>
        <v>40122148</v>
      </c>
      <c r="BS41" s="94">
        <f>SUMIFS('Federal Data'!AJ2:AJ501,'Federal Data'!$G2:$G501,"Justice System",'Federal Data'!$D2:$D501,"Nongrant")</f>
        <v>9647000</v>
      </c>
      <c r="BT41" s="101">
        <f>'State and Local P&amp;L (detailed)'!$Z$33</f>
        <v>32460282</v>
      </c>
      <c r="BU41" s="101">
        <f t="shared" si="99"/>
        <v>42107282</v>
      </c>
      <c r="BV41" s="94">
        <f>SUMIFS('Federal Data'!AK2:AK501,'Federal Data'!$G2:$G501,"Justice System",'Federal Data'!$D2:$D501,"Nongrant")</f>
        <v>10175000</v>
      </c>
      <c r="BW41" s="101">
        <f>'State and Local P&amp;L (detailed)'!$AA$33</f>
        <v>33054300</v>
      </c>
      <c r="BX41" s="101">
        <f t="shared" si="100"/>
        <v>43229300</v>
      </c>
      <c r="BY41" s="94">
        <f>SUMIFS('Federal Data'!AL2:AL501,'Federal Data'!$G2:$G501,"Justice System",'Federal Data'!$D2:$D501,"Nongrant")</f>
        <v>10327000</v>
      </c>
      <c r="BZ41" s="101">
        <f>'State and Local P&amp;L (detailed)'!$AB$33</f>
        <v>35060379</v>
      </c>
      <c r="CA41" s="101">
        <f t="shared" si="101"/>
        <v>45387379</v>
      </c>
      <c r="CB41" s="94">
        <f>SUMIFS('Federal Data'!AM2:AM501,'Federal Data'!$G2:$G501,"Justice System",'Federal Data'!$D2:$D501,"Nongrant")</f>
        <v>10825000</v>
      </c>
      <c r="CC41" s="101">
        <f>'State and Local P&amp;L (detailed)'!$AC$33</f>
        <v>36991723</v>
      </c>
      <c r="CD41" s="101">
        <f t="shared" si="102"/>
        <v>47816723</v>
      </c>
      <c r="CE41" s="94">
        <f>SUMIFS('Federal Data'!AN2:AN501,'Federal Data'!$G2:$G501,"Justice System",'Federal Data'!$D2:$D501,"Nongrant")</f>
        <v>11711000</v>
      </c>
      <c r="CF41" s="101">
        <f>'State and Local P&amp;L (detailed)'!$AD$33</f>
        <v>38696825</v>
      </c>
      <c r="CG41" s="101">
        <f t="shared" si="103"/>
        <v>50407825</v>
      </c>
      <c r="CH41" s="94">
        <f>SUMIFS('Federal Data'!AO2:AO501,'Federal Data'!$G2:$G501,"Justice System",'Federal Data'!$D2:$D501,"Nongrant")</f>
        <v>12567000</v>
      </c>
      <c r="CI41" s="101">
        <f>'State and Local P&amp;L (detailed)'!$AE$33</f>
        <v>41100373</v>
      </c>
      <c r="CJ41" s="101">
        <f t="shared" si="104"/>
        <v>53667373</v>
      </c>
      <c r="CK41" s="94">
        <f>SUMIFS('Federal Data'!AP2:AP501,'Federal Data'!$G2:$G501,"Justice System",'Federal Data'!$D2:$D501,"Nongrant")</f>
        <v>12975000</v>
      </c>
      <c r="CL41" s="101">
        <f>'State and Local P&amp;L (detailed)'!$AF$33</f>
        <v>42756817</v>
      </c>
      <c r="CM41" s="101">
        <f t="shared" si="105"/>
        <v>55731817</v>
      </c>
      <c r="CN41" s="94">
        <f>SUMIFS('Federal Data'!AQ2:AQ501,'Federal Data'!$G2:$G501,"Justice System",'Federal Data'!$D2:$D501,"Nongrant")</f>
        <v>14051000</v>
      </c>
      <c r="CO41" s="101">
        <f>'State and Local P&amp;L (detailed)'!$AG$33</f>
        <v>43038929</v>
      </c>
      <c r="CP41" s="101">
        <f t="shared" si="106"/>
        <v>57089929</v>
      </c>
      <c r="CQ41" s="94">
        <f>SUMIFS('Federal Data'!AR2:AR501,'Federal Data'!$G2:$G501,"Justice System",'Federal Data'!$D2:$D501,"Nongrant")</f>
        <v>14562000</v>
      </c>
      <c r="CR41" s="101">
        <f>'State and Local P&amp;L (detailed)'!$AH$33</f>
        <v>42925983</v>
      </c>
      <c r="CS41" s="101">
        <f t="shared" si="107"/>
        <v>57487983</v>
      </c>
      <c r="CT41" s="94">
        <f>SUMIFS('Federal Data'!AS2:AS501,'Federal Data'!$G2:$G501,"Justice System",'Federal Data'!$D2:$D501,"Nongrant")</f>
        <v>15703000</v>
      </c>
      <c r="CU41" s="101">
        <f>'State and Local P&amp;L (detailed)'!$AI$33</f>
        <v>43187152</v>
      </c>
      <c r="CV41" s="101">
        <f t="shared" si="108"/>
        <v>58890152</v>
      </c>
      <c r="CW41" s="94">
        <f>SUMIFS('Federal Data'!AT2:AT501,'Federal Data'!$G2:$G501,"Justice System",'Federal Data'!$D2:$D501,"Nongrant")</f>
        <v>14126000</v>
      </c>
      <c r="CX41" s="101">
        <f>'State and Local P&amp;L (detailed)'!$AJ$33</f>
        <v>42556541</v>
      </c>
      <c r="CY41" s="101">
        <f t="shared" si="109"/>
        <v>56682541</v>
      </c>
      <c r="CZ41" s="94">
        <f>SUMIFS('Federal Data'!AU2:AU501,'Federal Data'!$G2:$G501,"Justice System",'Federal Data'!$D2:$D501,"Nongrant")</f>
        <v>13746000</v>
      </c>
      <c r="DA41" s="101">
        <f>'State and Local P&amp;L (detailed)'!$AK$33</f>
        <v>44050275</v>
      </c>
      <c r="DB41" s="101">
        <f t="shared" si="110"/>
        <v>57796275</v>
      </c>
      <c r="DC41" s="37">
        <f>SUMIFS('Federal Data'!AV2:AV501,'Federal Data'!$G2:$G501,"Justice System",'Federal Data'!$D2:$D501,"Nongrant")</f>
        <v>14110000</v>
      </c>
      <c r="DD41" s="85">
        <f>'State and Local P&amp;L (detailed)'!$AL$33</f>
        <v>0</v>
      </c>
      <c r="DE41" s="85">
        <f t="shared" si="111"/>
        <v>14110000</v>
      </c>
    </row>
    <row r="42" spans="1:109" outlineLevel="2">
      <c r="A42" s="29" t="s">
        <v>31</v>
      </c>
      <c r="B42" s="101" t="s">
        <v>487</v>
      </c>
      <c r="C42" s="101">
        <f>'State and Local P&amp;L (detailed)'!$C$34</f>
        <v>5718232</v>
      </c>
      <c r="D42" s="101">
        <f t="shared" si="76"/>
        <v>5718232</v>
      </c>
      <c r="E42" s="101" t="s">
        <v>487</v>
      </c>
      <c r="F42" s="101">
        <f>'State and Local P&amp;L (detailed)'!$D$34</f>
        <v>6335761</v>
      </c>
      <c r="G42" s="101">
        <f t="shared" si="77"/>
        <v>6335761</v>
      </c>
      <c r="H42" s="101" t="s">
        <v>487</v>
      </c>
      <c r="I42" s="101">
        <f>'State and Local P&amp;L (detailed)'!$E$34</f>
        <v>7025556</v>
      </c>
      <c r="J42" s="101">
        <f t="shared" si="78"/>
        <v>7025556</v>
      </c>
      <c r="K42" s="101" t="s">
        <v>487</v>
      </c>
      <c r="L42" s="101">
        <f>'State and Local P&amp;L (detailed)'!$F$34</f>
        <v>7582075</v>
      </c>
      <c r="M42" s="101">
        <f t="shared" si="79"/>
        <v>7582075</v>
      </c>
      <c r="N42" s="101" t="s">
        <v>487</v>
      </c>
      <c r="O42" s="101">
        <f>'State and Local P&amp;L (detailed)'!$G$34</f>
        <v>8201727</v>
      </c>
      <c r="P42" s="101">
        <f t="shared" si="80"/>
        <v>8201727</v>
      </c>
      <c r="Q42" s="101" t="s">
        <v>487</v>
      </c>
      <c r="R42" s="101">
        <f>'State and Local P&amp;L (detailed)'!$H$34</f>
        <v>8916631</v>
      </c>
      <c r="S42" s="101">
        <f t="shared" si="81"/>
        <v>8916631</v>
      </c>
      <c r="T42" s="101" t="s">
        <v>487</v>
      </c>
      <c r="U42" s="101">
        <f>'State and Local P&amp;L (detailed)'!$I$34</f>
        <v>9586526</v>
      </c>
      <c r="V42" s="101">
        <f t="shared" si="82"/>
        <v>9586526</v>
      </c>
      <c r="W42" s="101" t="s">
        <v>487</v>
      </c>
      <c r="X42" s="101">
        <f>'State and Local P&amp;L (detailed)'!$J$34</f>
        <v>10452893</v>
      </c>
      <c r="Y42" s="101">
        <f t="shared" si="83"/>
        <v>10452893</v>
      </c>
      <c r="Z42" s="101" t="s">
        <v>487</v>
      </c>
      <c r="AA42" s="101">
        <f>'State and Local P&amp;L (detailed)'!$K$34</f>
        <v>11752856</v>
      </c>
      <c r="AB42" s="101">
        <f t="shared" si="84"/>
        <v>11752856</v>
      </c>
      <c r="AC42" s="101" t="s">
        <v>487</v>
      </c>
      <c r="AD42" s="101">
        <f>'State and Local P&amp;L (detailed)'!$L$34</f>
        <v>11932217</v>
      </c>
      <c r="AE42" s="101">
        <f t="shared" si="85"/>
        <v>11932217</v>
      </c>
      <c r="AF42" s="101" t="s">
        <v>487</v>
      </c>
      <c r="AG42" s="101">
        <f>'State and Local P&amp;L (detailed)'!$M$34</f>
        <v>13186081</v>
      </c>
      <c r="AH42" s="101">
        <f t="shared" si="86"/>
        <v>13186081</v>
      </c>
      <c r="AI42" s="101" t="s">
        <v>487</v>
      </c>
      <c r="AJ42" s="101">
        <f>'State and Local P&amp;L (detailed)'!$N$34</f>
        <v>13796137</v>
      </c>
      <c r="AK42" s="101">
        <f t="shared" si="87"/>
        <v>13796137</v>
      </c>
      <c r="AL42" s="101" t="s">
        <v>487</v>
      </c>
      <c r="AM42" s="101">
        <f>'State and Local P&amp;L (detailed)'!$O$34</f>
        <v>14750658</v>
      </c>
      <c r="AN42" s="101">
        <f t="shared" si="88"/>
        <v>14750658</v>
      </c>
      <c r="AO42" s="101" t="s">
        <v>487</v>
      </c>
      <c r="AP42" s="101">
        <f>'State and Local P&amp;L (detailed)'!$P$34</f>
        <v>15372647</v>
      </c>
      <c r="AQ42" s="101">
        <f t="shared" si="89"/>
        <v>15372647</v>
      </c>
      <c r="AR42" s="101" t="s">
        <v>487</v>
      </c>
      <c r="AS42" s="101">
        <f>'State and Local P&amp;L (detailed)'!$Q$34</f>
        <v>16122797</v>
      </c>
      <c r="AT42" s="101">
        <f t="shared" si="90"/>
        <v>16122797</v>
      </c>
      <c r="AU42" s="101" t="s">
        <v>487</v>
      </c>
      <c r="AV42" s="101">
        <f>'State and Local P&amp;L (detailed)'!$R$34</f>
        <v>17009481</v>
      </c>
      <c r="AW42" s="101">
        <f t="shared" si="91"/>
        <v>17009481</v>
      </c>
      <c r="AX42" s="101" t="s">
        <v>487</v>
      </c>
      <c r="AY42" s="101">
        <f>'State and Local P&amp;L (detailed)'!$S$34</f>
        <v>17708772</v>
      </c>
      <c r="AZ42" s="101">
        <f t="shared" si="92"/>
        <v>17708772</v>
      </c>
      <c r="BA42" s="101" t="s">
        <v>487</v>
      </c>
      <c r="BB42" s="101">
        <f>'State and Local P&amp;L (detailed)'!$T$34</f>
        <v>19407253</v>
      </c>
      <c r="BC42" s="101">
        <f t="shared" si="93"/>
        <v>19407253</v>
      </c>
      <c r="BD42" s="101" t="s">
        <v>487</v>
      </c>
      <c r="BE42" s="101">
        <f>'State and Local P&amp;L (detailed)'!$U$34</f>
        <v>20268863</v>
      </c>
      <c r="BF42" s="101">
        <f t="shared" si="94"/>
        <v>20268863</v>
      </c>
      <c r="BG42" s="101" t="s">
        <v>487</v>
      </c>
      <c r="BH42" s="101">
        <f>'State and Local P&amp;L (detailed)'!$V$34</f>
        <v>21262103</v>
      </c>
      <c r="BI42" s="101">
        <f t="shared" si="95"/>
        <v>21262103</v>
      </c>
      <c r="BJ42" s="101" t="s">
        <v>487</v>
      </c>
      <c r="BK42" s="101">
        <f>'State and Local P&amp;L (detailed)'!$W$34</f>
        <v>23101931</v>
      </c>
      <c r="BL42" s="101">
        <f t="shared" si="96"/>
        <v>23101931</v>
      </c>
      <c r="BM42" s="101" t="s">
        <v>487</v>
      </c>
      <c r="BN42" s="101">
        <f>'State and Local P&amp;L (detailed)'!$X$34</f>
        <v>24970060</v>
      </c>
      <c r="BO42" s="101">
        <f t="shared" si="97"/>
        <v>24970060</v>
      </c>
      <c r="BP42" s="101" t="s">
        <v>487</v>
      </c>
      <c r="BQ42" s="101">
        <f>'State and Local P&amp;L (detailed)'!$Y$34</f>
        <v>25997621</v>
      </c>
      <c r="BR42" s="101">
        <f t="shared" si="98"/>
        <v>25997621</v>
      </c>
      <c r="BS42" s="101" t="s">
        <v>487</v>
      </c>
      <c r="BT42" s="101">
        <f>'State and Local P&amp;L (detailed)'!$Z$34</f>
        <v>26337576</v>
      </c>
      <c r="BU42" s="101">
        <f t="shared" si="99"/>
        <v>26337576</v>
      </c>
      <c r="BV42" s="101" t="s">
        <v>487</v>
      </c>
      <c r="BW42" s="101">
        <f>'State and Local P&amp;L (detailed)'!$AA$34</f>
        <v>28990555</v>
      </c>
      <c r="BX42" s="101">
        <f t="shared" si="100"/>
        <v>28990555</v>
      </c>
      <c r="BY42" s="101" t="s">
        <v>487</v>
      </c>
      <c r="BZ42" s="101">
        <f>'State and Local P&amp;L (detailed)'!$AB$34</f>
        <v>30830112</v>
      </c>
      <c r="CA42" s="101">
        <f t="shared" si="101"/>
        <v>30830112</v>
      </c>
      <c r="CB42" s="101" t="s">
        <v>487</v>
      </c>
      <c r="CC42" s="101">
        <f>'State and Local P&amp;L (detailed)'!$AC$34</f>
        <v>33654566</v>
      </c>
      <c r="CD42" s="101">
        <f t="shared" si="102"/>
        <v>33654566</v>
      </c>
      <c r="CE42" s="101" t="s">
        <v>487</v>
      </c>
      <c r="CF42" s="101">
        <f>'State and Local P&amp;L (detailed)'!$AD$34</f>
        <v>36687551</v>
      </c>
      <c r="CG42" s="101">
        <f t="shared" si="103"/>
        <v>36687551</v>
      </c>
      <c r="CH42" s="101" t="s">
        <v>487</v>
      </c>
      <c r="CI42" s="101">
        <f>'State and Local P&amp;L (detailed)'!$AE$34</f>
        <v>39304874</v>
      </c>
      <c r="CJ42" s="101">
        <f t="shared" si="104"/>
        <v>39304874</v>
      </c>
      <c r="CK42" s="101" t="s">
        <v>487</v>
      </c>
      <c r="CL42" s="101">
        <f>'State and Local P&amp;L (detailed)'!$AF$34</f>
        <v>40886465</v>
      </c>
      <c r="CM42" s="101">
        <f t="shared" si="105"/>
        <v>40886465</v>
      </c>
      <c r="CN42" s="101" t="s">
        <v>487</v>
      </c>
      <c r="CO42" s="101">
        <f>'State and Local P&amp;L (detailed)'!$AG$34</f>
        <v>41334646</v>
      </c>
      <c r="CP42" s="101">
        <f t="shared" si="106"/>
        <v>41334646</v>
      </c>
      <c r="CQ42" s="101" t="s">
        <v>487</v>
      </c>
      <c r="CR42" s="101">
        <f>'State and Local P&amp;L (detailed)'!$AH$34</f>
        <v>41380619</v>
      </c>
      <c r="CS42" s="101">
        <f t="shared" si="107"/>
        <v>41380619</v>
      </c>
      <c r="CT42" s="101" t="s">
        <v>487</v>
      </c>
      <c r="CU42" s="101">
        <f>'State and Local P&amp;L (detailed)'!$AI$34</f>
        <v>42450083</v>
      </c>
      <c r="CV42" s="101">
        <f t="shared" si="108"/>
        <v>42450083</v>
      </c>
      <c r="CW42" s="101" t="s">
        <v>487</v>
      </c>
      <c r="CX42" s="101">
        <f>'State and Local P&amp;L (detailed)'!$AJ$34</f>
        <v>42550864</v>
      </c>
      <c r="CY42" s="101">
        <f t="shared" si="109"/>
        <v>42550864</v>
      </c>
      <c r="CZ42" s="101" t="s">
        <v>487</v>
      </c>
      <c r="DA42" s="101">
        <f>'State and Local P&amp;L (detailed)'!$AK$34</f>
        <v>44140260</v>
      </c>
      <c r="DB42" s="101">
        <f t="shared" si="110"/>
        <v>44140260</v>
      </c>
      <c r="DC42" s="85" t="s">
        <v>487</v>
      </c>
      <c r="DD42" s="85">
        <f>'State and Local P&amp;L (detailed)'!$AL$34</f>
        <v>0</v>
      </c>
      <c r="DE42" s="85">
        <f t="shared" si="111"/>
        <v>0</v>
      </c>
    </row>
    <row r="43" spans="1:109" outlineLevel="2">
      <c r="A43" s="29" t="s">
        <v>300</v>
      </c>
      <c r="B43" s="101">
        <f>SUMIFS('Federal Data'!M2:M501,'Federal Data'!$G2:$G501,"Disaster Relief",'Federal Data'!$D2:$D501,"Nongrant")</f>
        <v>1661795</v>
      </c>
      <c r="C43" s="101" t="s">
        <v>487</v>
      </c>
      <c r="D43" s="101">
        <f t="shared" si="76"/>
        <v>1661795</v>
      </c>
      <c r="E43" s="94">
        <f>SUMIFS('Federal Data'!N2:N501,'Federal Data'!$G2:$G501,"Disaster Relief",'Federal Data'!$D2:$D501,"Nongrant")</f>
        <v>1411110</v>
      </c>
      <c r="F43" s="101" t="s">
        <v>487</v>
      </c>
      <c r="G43" s="101">
        <f t="shared" si="77"/>
        <v>1411110</v>
      </c>
      <c r="H43" s="94">
        <f>SUMIFS('Federal Data'!O2:O501,'Federal Data'!$G2:$G501,"Disaster Relief",'Federal Data'!$D2:$D501,"Nongrant")</f>
        <v>-215236</v>
      </c>
      <c r="I43" s="101" t="s">
        <v>487</v>
      </c>
      <c r="J43" s="101">
        <f t="shared" si="78"/>
        <v>-215236</v>
      </c>
      <c r="K43" s="94">
        <f>SUMIFS('Federal Data'!P2:P501,'Federal Data'!$G2:$G501,"Disaster Relief",'Federal Data'!$D2:$D501,"Nongrant")</f>
        <v>-187741</v>
      </c>
      <c r="L43" s="101" t="s">
        <v>487</v>
      </c>
      <c r="M43" s="101">
        <f t="shared" si="79"/>
        <v>-187741</v>
      </c>
      <c r="N43" s="94">
        <f>SUMIFS('Federal Data'!Q2:Q501,'Federal Data'!$G2:$G501,"Disaster Relief",'Federal Data'!$D2:$D501,"Nongrant")</f>
        <v>-97809</v>
      </c>
      <c r="O43" s="101" t="s">
        <v>487</v>
      </c>
      <c r="P43" s="101">
        <f t="shared" si="80"/>
        <v>-97809</v>
      </c>
      <c r="Q43" s="94">
        <f>SUMIFS('Federal Data'!R2:R501,'Federal Data'!$G2:$G501,"Disaster Relief",'Federal Data'!$D2:$D501,"Nongrant")</f>
        <v>-214268</v>
      </c>
      <c r="R43" s="101" t="s">
        <v>487</v>
      </c>
      <c r="S43" s="101">
        <f t="shared" si="81"/>
        <v>-214268</v>
      </c>
      <c r="T43" s="94">
        <f>SUMIFS('Federal Data'!S2:S501,'Federal Data'!$G2:$G501,"Disaster Relief",'Federal Data'!$D2:$D501,"Nongrant")</f>
        <v>117313</v>
      </c>
      <c r="U43" s="101" t="s">
        <v>487</v>
      </c>
      <c r="V43" s="101">
        <f t="shared" si="82"/>
        <v>117313</v>
      </c>
      <c r="W43" s="94">
        <f>SUMIFS('Federal Data'!T2:T501,'Federal Data'!$G2:$G501,"Disaster Relief",'Federal Data'!$D2:$D501,"Nongrant")</f>
        <v>-430071</v>
      </c>
      <c r="X43" s="101" t="s">
        <v>487</v>
      </c>
      <c r="Y43" s="101">
        <f t="shared" si="83"/>
        <v>-430071</v>
      </c>
      <c r="Z43" s="94">
        <f>SUMIFS('Federal Data'!U2:U501,'Federal Data'!$G2:$G501,"Disaster Relief",'Federal Data'!$D2:$D501,"Nongrant")</f>
        <v>-403155</v>
      </c>
      <c r="AA43" s="101" t="s">
        <v>487</v>
      </c>
      <c r="AB43" s="101">
        <f t="shared" si="84"/>
        <v>-403155</v>
      </c>
      <c r="AC43" s="94">
        <f>SUMIFS('Federal Data'!V2:V501,'Federal Data'!$G2:$G501,"Disaster Relief",'Federal Data'!$D2:$D501,"Nongrant")</f>
        <v>-358219</v>
      </c>
      <c r="AD43" s="101" t="s">
        <v>487</v>
      </c>
      <c r="AE43" s="101">
        <f t="shared" si="85"/>
        <v>-358219</v>
      </c>
      <c r="AF43" s="94">
        <f>SUMIFS('Federal Data'!W2:W501,'Federal Data'!$G2:$G501,"Disaster Relief",'Federal Data'!$D2:$D501,"Nongrant")</f>
        <v>914024</v>
      </c>
      <c r="AG43" s="101" t="s">
        <v>487</v>
      </c>
      <c r="AH43" s="101">
        <f t="shared" si="86"/>
        <v>914024</v>
      </c>
      <c r="AI43" s="94">
        <f>SUMIFS('Federal Data'!X2:X501,'Federal Data'!$G2:$G501,"Disaster Relief",'Federal Data'!$D2:$D501,"Nongrant")</f>
        <v>26202</v>
      </c>
      <c r="AJ43" s="101" t="s">
        <v>487</v>
      </c>
      <c r="AK43" s="101">
        <f t="shared" si="87"/>
        <v>26202</v>
      </c>
      <c r="AL43" s="94">
        <f>SUMIFS('Federal Data'!Y2:Y501,'Federal Data'!$G2:$G501,"Disaster Relief",'Federal Data'!$D2:$D501,"Nongrant")</f>
        <v>247714</v>
      </c>
      <c r="AM43" s="101" t="s">
        <v>487</v>
      </c>
      <c r="AN43" s="101">
        <f t="shared" si="88"/>
        <v>247714</v>
      </c>
      <c r="AO43" s="94">
        <f>SUMIFS('Federal Data'!Z2:Z501,'Federal Data'!$G2:$G501,"Disaster Relief",'Federal Data'!$D2:$D501,"Nongrant")</f>
        <v>1086709</v>
      </c>
      <c r="AP43" s="101" t="s">
        <v>487</v>
      </c>
      <c r="AQ43" s="101">
        <f t="shared" si="89"/>
        <v>1086709</v>
      </c>
      <c r="AR43" s="94">
        <f>SUMIFS('Federal Data'!AA2:AA501,'Federal Data'!$G2:$G501,"Disaster Relief",'Federal Data'!$D2:$D501,"Nongrant")</f>
        <v>952714</v>
      </c>
      <c r="AS43" s="101" t="s">
        <v>487</v>
      </c>
      <c r="AT43" s="101">
        <f t="shared" si="90"/>
        <v>952714</v>
      </c>
      <c r="AU43" s="94">
        <f>SUMIFS('Federal Data'!AB2:AB501,'Federal Data'!$G2:$G501,"Disaster Relief",'Federal Data'!$D2:$D501,"Nongrant")</f>
        <v>1507000</v>
      </c>
      <c r="AV43" s="101" t="s">
        <v>487</v>
      </c>
      <c r="AW43" s="101">
        <f t="shared" si="91"/>
        <v>1507000</v>
      </c>
      <c r="AX43" s="94">
        <f>SUMIFS('Federal Data'!AC2:AC501,'Federal Data'!$G2:$G501,"Disaster Relief",'Federal Data'!$D2:$D501,"Nongrant")</f>
        <v>1257000</v>
      </c>
      <c r="AY43" s="101" t="s">
        <v>487</v>
      </c>
      <c r="AZ43" s="101">
        <f t="shared" si="92"/>
        <v>1257000</v>
      </c>
      <c r="BA43" s="94">
        <f>SUMIFS('Federal Data'!AD2:AD501,'Federal Data'!$G2:$G501,"Disaster Relief",'Federal Data'!$D2:$D501,"Nongrant")</f>
        <v>1197000</v>
      </c>
      <c r="BB43" s="101" t="s">
        <v>487</v>
      </c>
      <c r="BC43" s="101">
        <f t="shared" si="93"/>
        <v>1197000</v>
      </c>
      <c r="BD43" s="94">
        <f>SUMIFS('Federal Data'!AE2:AE501,'Federal Data'!$G2:$G501,"Disaster Relief",'Federal Data'!$D2:$D501,"Nongrant")</f>
        <v>392000</v>
      </c>
      <c r="BE43" s="101" t="s">
        <v>487</v>
      </c>
      <c r="BF43" s="101">
        <f t="shared" si="94"/>
        <v>392000</v>
      </c>
      <c r="BG43" s="94">
        <f>SUMIFS('Federal Data'!AF2:AF501,'Federal Data'!$G2:$G501,"Disaster Relief",'Federal Data'!$D2:$D501,"Nongrant")</f>
        <v>1157000</v>
      </c>
      <c r="BH43" s="101" t="s">
        <v>487</v>
      </c>
      <c r="BI43" s="101">
        <f t="shared" si="95"/>
        <v>1157000</v>
      </c>
      <c r="BJ43" s="94">
        <f>SUMIFS('Federal Data'!AG2:AG501,'Federal Data'!$G2:$G501,"Disaster Relief",'Federal Data'!$D2:$D501,"Nongrant")</f>
        <v>166000</v>
      </c>
      <c r="BK43" s="101" t="s">
        <v>487</v>
      </c>
      <c r="BL43" s="101">
        <f t="shared" si="96"/>
        <v>166000</v>
      </c>
      <c r="BM43" s="94">
        <f>SUMIFS('Federal Data'!AH2:AH501,'Federal Data'!$G2:$G501,"Disaster Relief",'Federal Data'!$D2:$D501,"Nongrant")</f>
        <v>816000</v>
      </c>
      <c r="BN43" s="101" t="s">
        <v>487</v>
      </c>
      <c r="BO43" s="101">
        <f t="shared" si="97"/>
        <v>816000</v>
      </c>
      <c r="BP43" s="94">
        <f>SUMIFS('Federal Data'!AI2:AI501,'Federal Data'!$G2:$G501,"Disaster Relief",'Federal Data'!$D2:$D501,"Nongrant")</f>
        <v>894000</v>
      </c>
      <c r="BQ43" s="101" t="s">
        <v>487</v>
      </c>
      <c r="BR43" s="101">
        <f t="shared" si="98"/>
        <v>894000</v>
      </c>
      <c r="BS43" s="94">
        <f>SUMIFS('Federal Data'!AJ2:AJ501,'Federal Data'!$G2:$G501,"Disaster Relief",'Federal Data'!$D2:$D501,"Nongrant")</f>
        <v>2246000</v>
      </c>
      <c r="BT43" s="101" t="s">
        <v>487</v>
      </c>
      <c r="BU43" s="101">
        <f t="shared" si="99"/>
        <v>2246000</v>
      </c>
      <c r="BV43" s="94">
        <f>SUMIFS('Federal Data'!AK2:AK501,'Federal Data'!$G2:$G501,"Disaster Relief",'Federal Data'!$D2:$D501,"Nongrant")</f>
        <v>1812000</v>
      </c>
      <c r="BW43" s="101" t="s">
        <v>487</v>
      </c>
      <c r="BX43" s="101">
        <f t="shared" si="100"/>
        <v>1812000</v>
      </c>
      <c r="BY43" s="94">
        <f>SUMIFS('Federal Data'!AL2:AL501,'Federal Data'!$G2:$G501,"Disaster Relief",'Federal Data'!$D2:$D501,"Nongrant")</f>
        <v>4115000</v>
      </c>
      <c r="BZ43" s="101" t="s">
        <v>487</v>
      </c>
      <c r="CA43" s="101">
        <f t="shared" si="101"/>
        <v>4115000</v>
      </c>
      <c r="CB43" s="94">
        <f>SUMIFS('Federal Data'!AM2:AM501,'Federal Data'!$G2:$G501,"Disaster Relief",'Federal Data'!$D2:$D501,"Nongrant")</f>
        <v>31309000</v>
      </c>
      <c r="CC43" s="101" t="s">
        <v>487</v>
      </c>
      <c r="CD43" s="101">
        <f t="shared" si="102"/>
        <v>31309000</v>
      </c>
      <c r="CE43" s="94">
        <f>SUMIFS('Federal Data'!AN2:AN501,'Federal Data'!$G2:$G501,"Disaster Relief",'Federal Data'!$D2:$D501,"Nongrant")</f>
        <v>6952000</v>
      </c>
      <c r="CF43" s="101" t="s">
        <v>487</v>
      </c>
      <c r="CG43" s="101">
        <f t="shared" si="103"/>
        <v>6952000</v>
      </c>
      <c r="CH43" s="94">
        <f>SUMIFS('Federal Data'!AO2:AO501,'Federal Data'!$G2:$G501,"Disaster Relief",'Federal Data'!$D2:$D501,"Nongrant")</f>
        <v>2540000</v>
      </c>
      <c r="CI43" s="101" t="s">
        <v>487</v>
      </c>
      <c r="CJ43" s="101">
        <f t="shared" si="104"/>
        <v>2540000</v>
      </c>
      <c r="CK43" s="94">
        <f>SUMIFS('Federal Data'!AP2:AP501,'Federal Data'!$G2:$G501,"Disaster Relief",'Federal Data'!$D2:$D501,"Nongrant")</f>
        <v>7642000</v>
      </c>
      <c r="CL43" s="101" t="s">
        <v>487</v>
      </c>
      <c r="CM43" s="101">
        <f t="shared" si="105"/>
        <v>7642000</v>
      </c>
      <c r="CN43" s="94">
        <f>SUMIFS('Federal Data'!AQ2:AQ501,'Federal Data'!$G2:$G501,"Disaster Relief",'Federal Data'!$D2:$D501,"Nongrant")</f>
        <v>2261000</v>
      </c>
      <c r="CO43" s="101" t="s">
        <v>487</v>
      </c>
      <c r="CP43" s="101">
        <f t="shared" si="106"/>
        <v>2261000</v>
      </c>
      <c r="CQ43" s="94">
        <f>SUMIFS('Federal Data'!AR2:AR501,'Federal Data'!$G2:$G501,"Disaster Relief",'Federal Data'!$D2:$D501,"Nongrant")</f>
        <v>705000</v>
      </c>
      <c r="CR43" s="101" t="s">
        <v>487</v>
      </c>
      <c r="CS43" s="101">
        <f t="shared" si="107"/>
        <v>705000</v>
      </c>
      <c r="CT43" s="94">
        <f>SUMIFS('Federal Data'!AS2:AS501,'Federal Data'!$G2:$G501,"Disaster Relief",'Federal Data'!$D2:$D501,"Nongrant")</f>
        <v>1733000</v>
      </c>
      <c r="CU43" s="101" t="s">
        <v>487</v>
      </c>
      <c r="CV43" s="101">
        <f t="shared" si="108"/>
        <v>1733000</v>
      </c>
      <c r="CW43" s="94">
        <f>SUMIFS('Federal Data'!AT2:AT501,'Federal Data'!$G2:$G501,"Disaster Relief",'Federal Data'!$D2:$D501,"Nongrant")</f>
        <v>15184000</v>
      </c>
      <c r="CX43" s="101" t="s">
        <v>487</v>
      </c>
      <c r="CY43" s="101">
        <f t="shared" si="109"/>
        <v>15184000</v>
      </c>
      <c r="CZ43" s="94">
        <f>SUMIFS('Federal Data'!AU2:AU501,'Federal Data'!$G2:$G501,"Disaster Relief",'Federal Data'!$D2:$D501,"Nongrant")</f>
        <v>4988000</v>
      </c>
      <c r="DA43" s="101" t="s">
        <v>487</v>
      </c>
      <c r="DB43" s="101">
        <f t="shared" si="110"/>
        <v>4988000</v>
      </c>
      <c r="DC43" s="37">
        <f>SUMIFS('Federal Data'!AV2:AV501,'Federal Data'!$G2:$G501,"Disaster Relief",'Federal Data'!$D2:$D501,"Nongrant")</f>
        <v>3068000</v>
      </c>
      <c r="DD43" s="82" t="s">
        <v>487</v>
      </c>
      <c r="DE43" s="85">
        <f t="shared" si="111"/>
        <v>3068000</v>
      </c>
    </row>
    <row r="44" spans="1:109" outlineLevel="1">
      <c r="A44" s="28" t="s">
        <v>262</v>
      </c>
      <c r="B44" s="94">
        <f>SUMIFS('Federal Data'!M2:M501,'Federal Data'!$F2:$F501,"General Business Regulation",'Federal Data'!$D2:$D501,"Nongrant")</f>
        <v>1626416</v>
      </c>
      <c r="C44" s="101">
        <f>'State and Local P&amp;L (detailed)'!$C$35</f>
        <v>2317612</v>
      </c>
      <c r="D44" s="101">
        <f t="shared" si="76"/>
        <v>3944028</v>
      </c>
      <c r="E44" s="94">
        <f>SUMIFS('Federal Data'!N2:N501,'Federal Data'!$F2:$F501,"General Business Regulation",'Federal Data'!$D2:$D501,"Nongrant")</f>
        <v>1717261</v>
      </c>
      <c r="F44" s="101">
        <f>'State and Local P&amp;L (detailed)'!$D$35</f>
        <v>2556994</v>
      </c>
      <c r="G44" s="101">
        <f t="shared" si="77"/>
        <v>4274255</v>
      </c>
      <c r="H44" s="94">
        <f>SUMIFS('Federal Data'!O2:O501,'Federal Data'!$F2:$F501,"General Business Regulation",'Federal Data'!$D2:$D501,"Nongrant")</f>
        <v>1746586</v>
      </c>
      <c r="I44" s="101">
        <f>'State and Local P&amp;L (detailed)'!$E$35</f>
        <v>2787350</v>
      </c>
      <c r="J44" s="101">
        <f t="shared" si="78"/>
        <v>4533936</v>
      </c>
      <c r="K44" s="94">
        <f>SUMIFS('Federal Data'!P2:P501,'Federal Data'!$F2:$F501,"General Business Regulation",'Federal Data'!$D2:$D501,"Nongrant")</f>
        <v>1749609</v>
      </c>
      <c r="L44" s="101">
        <f>'State and Local P&amp;L (detailed)'!$F$35</f>
        <v>2967185</v>
      </c>
      <c r="M44" s="101">
        <f t="shared" si="79"/>
        <v>4716794</v>
      </c>
      <c r="N44" s="94">
        <f>SUMIFS('Federal Data'!Q2:Q501,'Federal Data'!$F2:$F501,"General Business Regulation",'Federal Data'!$D2:$D501,"Nongrant")</f>
        <v>1824386</v>
      </c>
      <c r="O44" s="101">
        <f>'State and Local P&amp;L (detailed)'!$G$35</f>
        <v>3233321</v>
      </c>
      <c r="P44" s="101">
        <f t="shared" si="80"/>
        <v>5057707</v>
      </c>
      <c r="Q44" s="94">
        <f>SUMIFS('Federal Data'!R2:R501,'Federal Data'!$F2:$F501,"General Business Regulation",'Federal Data'!$D2:$D501,"Nongrant")</f>
        <v>1948900</v>
      </c>
      <c r="R44" s="101">
        <f>'State and Local P&amp;L (detailed)'!$H$35</f>
        <v>3530205</v>
      </c>
      <c r="S44" s="101">
        <f t="shared" si="81"/>
        <v>5479105</v>
      </c>
      <c r="T44" s="94">
        <f>SUMIFS('Federal Data'!S2:S501,'Federal Data'!$F2:$F501,"General Business Regulation",'Federal Data'!$D2:$D501,"Nongrant")</f>
        <v>1958647</v>
      </c>
      <c r="U44" s="101">
        <f>'State and Local P&amp;L (detailed)'!$I$35</f>
        <v>4078692</v>
      </c>
      <c r="V44" s="101">
        <f t="shared" si="82"/>
        <v>6037339</v>
      </c>
      <c r="W44" s="94">
        <f>SUMIFS('Federal Data'!T2:T501,'Federal Data'!$F2:$F501,"General Business Regulation",'Federal Data'!$D2:$D501,"Nongrant")</f>
        <v>2044006</v>
      </c>
      <c r="X44" s="101">
        <f>'State and Local P&amp;L (detailed)'!$J$35</f>
        <v>4417026</v>
      </c>
      <c r="Y44" s="101">
        <f t="shared" si="83"/>
        <v>6461032</v>
      </c>
      <c r="Z44" s="94">
        <f>SUMIFS('Federal Data'!U2:U501,'Federal Data'!$F2:$F501,"General Business Regulation",'Federal Data'!$D2:$D501,"Nongrant")</f>
        <v>2157626</v>
      </c>
      <c r="AA44" s="101">
        <f>'State and Local P&amp;L (detailed)'!$K$35</f>
        <v>4723810</v>
      </c>
      <c r="AB44" s="101">
        <f t="shared" si="84"/>
        <v>6881436</v>
      </c>
      <c r="AC44" s="94">
        <f>SUMIFS('Federal Data'!V2:V501,'Federal Data'!$F2:$F501,"General Business Regulation",'Federal Data'!$D2:$D501,"Nongrant")</f>
        <v>2468697</v>
      </c>
      <c r="AD44" s="101">
        <f>'State and Local P&amp;L (detailed)'!$L$35</f>
        <v>5080913</v>
      </c>
      <c r="AE44" s="101">
        <f t="shared" si="85"/>
        <v>7549610</v>
      </c>
      <c r="AF44" s="94">
        <f>SUMIFS('Federal Data'!W2:W501,'Federal Data'!$F2:$F501,"General Business Regulation",'Federal Data'!$D2:$D501,"Nongrant")</f>
        <v>2543879</v>
      </c>
      <c r="AG44" s="101">
        <f>'State and Local P&amp;L (detailed)'!$M$35</f>
        <v>5570328</v>
      </c>
      <c r="AH44" s="101">
        <f t="shared" si="86"/>
        <v>8114207</v>
      </c>
      <c r="AI44" s="94">
        <f>SUMIFS('Federal Data'!X2:X501,'Federal Data'!$F2:$F501,"General Business Regulation",'Federal Data'!$D2:$D501,"Nongrant")</f>
        <v>2467736</v>
      </c>
      <c r="AJ44" s="101">
        <f>'State and Local P&amp;L (detailed)'!$N$35</f>
        <v>6008078</v>
      </c>
      <c r="AK44" s="101">
        <f t="shared" si="87"/>
        <v>8475814</v>
      </c>
      <c r="AL44" s="94">
        <f>SUMIFS('Federal Data'!Y2:Y501,'Federal Data'!$F2:$F501,"General Business Regulation",'Federal Data'!$D2:$D501,"Nongrant")</f>
        <v>2733280</v>
      </c>
      <c r="AM44" s="101">
        <f>'State and Local P&amp;L (detailed)'!$O$35</f>
        <v>6272404</v>
      </c>
      <c r="AN44" s="101">
        <f t="shared" si="88"/>
        <v>9005684</v>
      </c>
      <c r="AO44" s="94">
        <f>SUMIFS('Federal Data'!Z2:Z501,'Federal Data'!$F2:$F501,"General Business Regulation",'Federal Data'!$D2:$D501,"Nongrant")</f>
        <v>2507029</v>
      </c>
      <c r="AP44" s="101">
        <f>'State and Local P&amp;L (detailed)'!$P$35</f>
        <v>6353983</v>
      </c>
      <c r="AQ44" s="101">
        <f t="shared" si="89"/>
        <v>8861012</v>
      </c>
      <c r="AR44" s="94">
        <f>SUMIFS('Federal Data'!AA2:AA501,'Federal Data'!$F2:$F501,"General Business Regulation",'Federal Data'!$D2:$D501,"Nongrant")</f>
        <v>2720996</v>
      </c>
      <c r="AS44" s="101">
        <f>'State and Local P&amp;L (detailed)'!$Q$35</f>
        <v>6637861</v>
      </c>
      <c r="AT44" s="101">
        <f t="shared" si="90"/>
        <v>9358857</v>
      </c>
      <c r="AU44" s="94">
        <f>SUMIFS('Federal Data'!AB2:AB501,'Federal Data'!$F2:$F501,"General Business Regulation",'Federal Data'!$D2:$D501,"Nongrant")</f>
        <v>2885000</v>
      </c>
      <c r="AV44" s="101">
        <f>'State and Local P&amp;L (detailed)'!$R$35</f>
        <v>7236299</v>
      </c>
      <c r="AW44" s="101">
        <f t="shared" si="91"/>
        <v>10121299</v>
      </c>
      <c r="AX44" s="94">
        <f>SUMIFS('Federal Data'!AC2:AC501,'Federal Data'!$F2:$F501,"General Business Regulation",'Federal Data'!$D2:$D501,"Nongrant")</f>
        <v>2513000</v>
      </c>
      <c r="AY44" s="101">
        <f>'State and Local P&amp;L (detailed)'!$S$35</f>
        <v>7222021</v>
      </c>
      <c r="AZ44" s="101">
        <f t="shared" si="92"/>
        <v>9735021</v>
      </c>
      <c r="BA44" s="94">
        <f>SUMIFS('Federal Data'!AD2:AD501,'Federal Data'!$F2:$F501,"General Business Regulation",'Federal Data'!$D2:$D501,"Nongrant")</f>
        <v>2713000</v>
      </c>
      <c r="BB44" s="101">
        <f>'State and Local P&amp;L (detailed)'!$T$35</f>
        <v>7668988</v>
      </c>
      <c r="BC44" s="101">
        <f t="shared" si="93"/>
        <v>10381988</v>
      </c>
      <c r="BD44" s="94">
        <f>SUMIFS('Federal Data'!AE2:AE501,'Federal Data'!$F2:$F501,"General Business Regulation",'Federal Data'!$D2:$D501,"Nongrant")</f>
        <v>2547000</v>
      </c>
      <c r="BE44" s="101">
        <f>'State and Local P&amp;L (detailed)'!$U$35</f>
        <v>7957951</v>
      </c>
      <c r="BF44" s="101">
        <f t="shared" si="94"/>
        <v>10504951</v>
      </c>
      <c r="BG44" s="94">
        <f>SUMIFS('Federal Data'!AF2:AF501,'Federal Data'!$F2:$F501,"General Business Regulation",'Federal Data'!$D2:$D501,"Nongrant")</f>
        <v>2733000</v>
      </c>
      <c r="BH44" s="101">
        <f>'State and Local P&amp;L (detailed)'!$V$35</f>
        <v>8515847</v>
      </c>
      <c r="BI44" s="101">
        <f t="shared" si="95"/>
        <v>11248847</v>
      </c>
      <c r="BJ44" s="94">
        <f>SUMIFS('Federal Data'!AG2:AG501,'Federal Data'!$F2:$F501,"General Business Regulation",'Federal Data'!$D2:$D501,"Nongrant")</f>
        <v>2843000</v>
      </c>
      <c r="BK44" s="101">
        <f>'State and Local P&amp;L (detailed)'!$W$35</f>
        <v>9103757</v>
      </c>
      <c r="BL44" s="101">
        <f t="shared" si="96"/>
        <v>11946757</v>
      </c>
      <c r="BM44" s="94">
        <f>SUMIFS('Federal Data'!AH2:AH501,'Federal Data'!$F2:$F501,"General Business Regulation",'Federal Data'!$D2:$D501,"Nongrant")</f>
        <v>3133000</v>
      </c>
      <c r="BN44" s="101">
        <f>'State and Local P&amp;L (detailed)'!$X$35</f>
        <v>9619967</v>
      </c>
      <c r="BO44" s="101">
        <f t="shared" si="97"/>
        <v>12752967</v>
      </c>
      <c r="BP44" s="94">
        <f>SUMIFS('Federal Data'!AI2:AI501,'Federal Data'!$F2:$F501,"General Business Regulation",'Federal Data'!$D2:$D501,"Nongrant")</f>
        <v>3211000</v>
      </c>
      <c r="BQ44" s="101">
        <f>'State and Local P&amp;L (detailed)'!$Y$35</f>
        <v>11631226</v>
      </c>
      <c r="BR44" s="101">
        <f t="shared" si="98"/>
        <v>14842226</v>
      </c>
      <c r="BS44" s="94">
        <f>SUMIFS('Federal Data'!AJ2:AJ501,'Federal Data'!$F2:$F501,"General Business Regulation",'Federal Data'!$D2:$D501,"Nongrant")</f>
        <v>3482000</v>
      </c>
      <c r="BT44" s="101">
        <f>'State and Local P&amp;L (detailed)'!$Z$35</f>
        <v>11592515</v>
      </c>
      <c r="BU44" s="101">
        <f t="shared" si="99"/>
        <v>15074515</v>
      </c>
      <c r="BV44" s="94">
        <f>SUMIFS('Federal Data'!AK2:AK501,'Federal Data'!$F2:$F501,"General Business Regulation",'Federal Data'!$D2:$D501,"Nongrant")</f>
        <v>3467000</v>
      </c>
      <c r="BW44" s="101">
        <f>'State and Local P&amp;L (detailed)'!$AA$35</f>
        <v>11494126</v>
      </c>
      <c r="BX44" s="101">
        <f t="shared" si="100"/>
        <v>14961126</v>
      </c>
      <c r="BY44" s="94">
        <f>SUMIFS('Federal Data'!AL2:AL501,'Federal Data'!$F2:$F501,"General Business Regulation",'Federal Data'!$D2:$D501,"Nongrant")</f>
        <v>3243000</v>
      </c>
      <c r="BZ44" s="101">
        <f>'State and Local P&amp;L (detailed)'!$AB$35</f>
        <v>12694457</v>
      </c>
      <c r="CA44" s="101">
        <f t="shared" si="101"/>
        <v>15937457</v>
      </c>
      <c r="CB44" s="94">
        <f>SUMIFS('Federal Data'!AM2:AM501,'Federal Data'!$F2:$F501,"General Business Regulation",'Federal Data'!$D2:$D501,"Nongrant")</f>
        <v>3304000</v>
      </c>
      <c r="CC44" s="101">
        <f>'State and Local P&amp;L (detailed)'!$AC$35</f>
        <v>13010287</v>
      </c>
      <c r="CD44" s="101">
        <f t="shared" si="102"/>
        <v>16314287</v>
      </c>
      <c r="CE44" s="94">
        <f>SUMIFS('Federal Data'!AN2:AN501,'Federal Data'!$F2:$F501,"General Business Regulation",'Federal Data'!$D2:$D501,"Nongrant")</f>
        <v>3966000</v>
      </c>
      <c r="CF44" s="101">
        <f>'State and Local P&amp;L (detailed)'!$AD$35</f>
        <v>14249981</v>
      </c>
      <c r="CG44" s="101">
        <f t="shared" si="103"/>
        <v>18215981</v>
      </c>
      <c r="CH44" s="94">
        <f>SUMIFS('Federal Data'!AO2:AO501,'Federal Data'!$F2:$F501,"General Business Regulation",'Federal Data'!$D2:$D501,"Nongrant")</f>
        <v>4236000</v>
      </c>
      <c r="CI44" s="101">
        <f>'State and Local P&amp;L (detailed)'!$AE$35</f>
        <v>14950863</v>
      </c>
      <c r="CJ44" s="101">
        <f t="shared" si="104"/>
        <v>19186863</v>
      </c>
      <c r="CK44" s="94">
        <f>SUMIFS('Federal Data'!AP2:AP501,'Federal Data'!$F2:$F501,"General Business Regulation",'Federal Data'!$D2:$D501,"Nongrant")</f>
        <v>6047000</v>
      </c>
      <c r="CL44" s="101">
        <f>'State and Local P&amp;L (detailed)'!$AF$35</f>
        <v>14735225</v>
      </c>
      <c r="CM44" s="101">
        <f t="shared" si="105"/>
        <v>20782225</v>
      </c>
      <c r="CN44" s="94">
        <f>SUMIFS('Federal Data'!AQ2:AQ501,'Federal Data'!$F2:$F501,"General Business Regulation",'Federal Data'!$D2:$D501,"Nongrant")</f>
        <v>6525000</v>
      </c>
      <c r="CO44" s="101">
        <f>'State and Local P&amp;L (detailed)'!$AG$35</f>
        <v>14138824</v>
      </c>
      <c r="CP44" s="101">
        <f t="shared" si="106"/>
        <v>20663824</v>
      </c>
      <c r="CQ44" s="94">
        <f>SUMIFS('Federal Data'!AR2:AR501,'Federal Data'!$F2:$F501,"General Business Regulation",'Federal Data'!$D2:$D501,"Nongrant")</f>
        <v>5255000</v>
      </c>
      <c r="CR44" s="101">
        <f>'State and Local P&amp;L (detailed)'!$AH$35</f>
        <v>13811995</v>
      </c>
      <c r="CS44" s="101">
        <f t="shared" si="107"/>
        <v>19066995</v>
      </c>
      <c r="CT44" s="94">
        <f>SUMIFS('Federal Data'!AS2:AS501,'Federal Data'!$F2:$F501,"General Business Regulation",'Federal Data'!$D2:$D501,"Nongrant")</f>
        <v>5815000</v>
      </c>
      <c r="CU44" s="101">
        <f>'State and Local P&amp;L (detailed)'!$AI$35</f>
        <v>13567740</v>
      </c>
      <c r="CV44" s="101">
        <f t="shared" si="108"/>
        <v>19382740</v>
      </c>
      <c r="CW44" s="94">
        <f>SUMIFS('Federal Data'!AT2:AT501,'Federal Data'!$F2:$F501,"General Business Regulation",'Federal Data'!$D2:$D501,"Nongrant")</f>
        <v>5278000</v>
      </c>
      <c r="CX44" s="101">
        <f>'State and Local P&amp;L (detailed)'!$AJ$35</f>
        <v>14043377</v>
      </c>
      <c r="CY44" s="101">
        <f t="shared" si="109"/>
        <v>19321377</v>
      </c>
      <c r="CZ44" s="94">
        <f>SUMIFS('Federal Data'!AU2:AU501,'Federal Data'!$F2:$F501,"General Business Regulation",'Federal Data'!$D2:$D501,"Nongrant")</f>
        <v>5561000</v>
      </c>
      <c r="DA44" s="101">
        <f>'State and Local P&amp;L (detailed)'!$AK$35</f>
        <v>14123867</v>
      </c>
      <c r="DB44" s="101">
        <f t="shared" si="110"/>
        <v>19684867</v>
      </c>
      <c r="DC44" s="37">
        <f>SUMIFS('Federal Data'!AV2:AV501,'Federal Data'!$F2:$F501,"General Business Regulation",'Federal Data'!$D2:$D501,"Nongrant")</f>
        <v>6556000</v>
      </c>
      <c r="DD44" s="85">
        <f>'State and Local P&amp;L (detailed)'!$AL$35</f>
        <v>0</v>
      </c>
      <c r="DE44" s="85">
        <f t="shared" si="111"/>
        <v>6556000</v>
      </c>
    </row>
    <row r="45" spans="1:109" outlineLevel="2">
      <c r="A45" s="29" t="s">
        <v>91</v>
      </c>
      <c r="B45" s="94">
        <f>SUMIFS('Federal Data'!M2:M501,'Federal Data'!$G2:$G501,"Consumer Protection",'Federal Data'!$D2:$D501,"Nongrant")</f>
        <v>717821</v>
      </c>
      <c r="C45" s="101" t="s">
        <v>487</v>
      </c>
      <c r="D45" s="101" t="s">
        <v>487</v>
      </c>
      <c r="E45" s="94">
        <f>SUMIFS('Federal Data'!N2:N501,'Federal Data'!$G2:$G501,"Consumer Protection",'Federal Data'!$D2:$D501,"Nongrant")</f>
        <v>736935</v>
      </c>
      <c r="F45" s="101" t="s">
        <v>487</v>
      </c>
      <c r="G45" s="101" t="s">
        <v>487</v>
      </c>
      <c r="H45" s="94">
        <f>SUMIFS('Federal Data'!O2:O501,'Federal Data'!$G2:$G501,"Consumer Protection",'Federal Data'!$D2:$D501,"Nongrant")</f>
        <v>747735</v>
      </c>
      <c r="I45" s="101" t="s">
        <v>487</v>
      </c>
      <c r="J45" s="101" t="s">
        <v>487</v>
      </c>
      <c r="K45" s="94">
        <f>SUMIFS('Federal Data'!P2:P501,'Federal Data'!$G2:$G501,"Consumer Protection",'Federal Data'!$D2:$D501,"Nongrant")</f>
        <v>780363</v>
      </c>
      <c r="L45" s="101" t="s">
        <v>487</v>
      </c>
      <c r="M45" s="101" t="s">
        <v>487</v>
      </c>
      <c r="N45" s="94">
        <f>SUMIFS('Federal Data'!Q2:Q501,'Federal Data'!$G2:$G501,"Consumer Protection",'Federal Data'!$D2:$D501,"Nongrant")</f>
        <v>822081</v>
      </c>
      <c r="O45" s="101" t="s">
        <v>487</v>
      </c>
      <c r="P45" s="101" t="s">
        <v>487</v>
      </c>
      <c r="Q45" s="94">
        <f>SUMIFS('Federal Data'!R2:R501,'Federal Data'!$G2:$G501,"Consumer Protection",'Federal Data'!$D2:$D501,"Nongrant")</f>
        <v>881852</v>
      </c>
      <c r="R45" s="101" t="s">
        <v>487</v>
      </c>
      <c r="S45" s="101" t="s">
        <v>487</v>
      </c>
      <c r="T45" s="94">
        <f>SUMIFS('Federal Data'!S2:S501,'Federal Data'!$G2:$G501,"Consumer Protection",'Federal Data'!$D2:$D501,"Nongrant")</f>
        <v>870218</v>
      </c>
      <c r="U45" s="101" t="s">
        <v>487</v>
      </c>
      <c r="V45" s="101" t="s">
        <v>487</v>
      </c>
      <c r="W45" s="94">
        <f>SUMIFS('Federal Data'!T2:T501,'Federal Data'!$G2:$G501,"Consumer Protection",'Federal Data'!$D2:$D501,"Nongrant")</f>
        <v>901402</v>
      </c>
      <c r="X45" s="101" t="s">
        <v>487</v>
      </c>
      <c r="Y45" s="101" t="s">
        <v>487</v>
      </c>
      <c r="Z45" s="94">
        <f>SUMIFS('Federal Data'!U2:U501,'Federal Data'!$G2:$G501,"Consumer Protection",'Federal Data'!$D2:$D501,"Nongrant")</f>
        <v>977638</v>
      </c>
      <c r="AA45" s="101" t="s">
        <v>487</v>
      </c>
      <c r="AB45" s="101" t="s">
        <v>487</v>
      </c>
      <c r="AC45" s="94">
        <f>SUMIFS('Federal Data'!V2:V501,'Federal Data'!$G2:$G501,"Consumer Protection",'Federal Data'!$D2:$D501,"Nongrant")</f>
        <v>1048454</v>
      </c>
      <c r="AD45" s="101" t="s">
        <v>487</v>
      </c>
      <c r="AE45" s="101" t="s">
        <v>487</v>
      </c>
      <c r="AF45" s="94">
        <f>SUMIFS('Federal Data'!W2:W501,'Federal Data'!$G2:$G501,"Consumer Protection",'Federal Data'!$D2:$D501,"Nongrant")</f>
        <v>1101564</v>
      </c>
      <c r="AG45" s="101" t="s">
        <v>487</v>
      </c>
      <c r="AH45" s="101" t="s">
        <v>487</v>
      </c>
      <c r="AI45" s="94">
        <f>SUMIFS('Federal Data'!X2:X501,'Federal Data'!$G2:$G501,"Consumer Protection",'Federal Data'!$D2:$D501,"Nongrant")</f>
        <v>1229030</v>
      </c>
      <c r="AJ45" s="101" t="s">
        <v>487</v>
      </c>
      <c r="AK45" s="101" t="s">
        <v>487</v>
      </c>
      <c r="AL45" s="94">
        <f>SUMIFS('Federal Data'!Y2:Y501,'Federal Data'!$G2:$G501,"Consumer Protection",'Federal Data'!$D2:$D501,"Nongrant")</f>
        <v>1335881</v>
      </c>
      <c r="AM45" s="101" t="s">
        <v>487</v>
      </c>
      <c r="AN45" s="101" t="s">
        <v>487</v>
      </c>
      <c r="AO45" s="94">
        <f>SUMIFS('Federal Data'!Z2:Z501,'Federal Data'!$G2:$G501,"Consumer Protection",'Federal Data'!$D2:$D501,"Nongrant")</f>
        <v>1344636</v>
      </c>
      <c r="AP45" s="101" t="s">
        <v>487</v>
      </c>
      <c r="AQ45" s="101" t="s">
        <v>487</v>
      </c>
      <c r="AR45" s="94">
        <f>SUMIFS('Federal Data'!AA2:AA501,'Federal Data'!$G2:$G501,"Consumer Protection",'Federal Data'!$D2:$D501,"Nongrant")</f>
        <v>1385536</v>
      </c>
      <c r="AS45" s="101" t="s">
        <v>487</v>
      </c>
      <c r="AT45" s="101" t="s">
        <v>487</v>
      </c>
      <c r="AU45" s="94">
        <f>SUMIFS('Federal Data'!AB2:AB501,'Federal Data'!$G2:$G501,"Consumer Protection",'Federal Data'!$D2:$D501,"Nongrant")</f>
        <v>1502000</v>
      </c>
      <c r="AV45" s="101" t="s">
        <v>487</v>
      </c>
      <c r="AW45" s="101" t="s">
        <v>487</v>
      </c>
      <c r="AX45" s="94">
        <f>SUMIFS('Federal Data'!AC2:AC501,'Federal Data'!$G2:$G501,"Consumer Protection",'Federal Data'!$D2:$D501,"Nongrant")</f>
        <v>1440000</v>
      </c>
      <c r="AY45" s="101" t="s">
        <v>487</v>
      </c>
      <c r="AZ45" s="101" t="s">
        <v>487</v>
      </c>
      <c r="BA45" s="94">
        <f>SUMIFS('Federal Data'!AD2:AD501,'Federal Data'!$G2:$G501,"Consumer Protection",'Federal Data'!$D2:$D501,"Nongrant")</f>
        <v>1422000</v>
      </c>
      <c r="BB45" s="101" t="s">
        <v>487</v>
      </c>
      <c r="BC45" s="101" t="s">
        <v>487</v>
      </c>
      <c r="BD45" s="94">
        <f>SUMIFS('Federal Data'!AE2:AE501,'Federal Data'!$G2:$G501,"Consumer Protection",'Federal Data'!$D2:$D501,"Nongrant")</f>
        <v>1201000</v>
      </c>
      <c r="BE45" s="101" t="s">
        <v>487</v>
      </c>
      <c r="BF45" s="101" t="s">
        <v>487</v>
      </c>
      <c r="BG45" s="94">
        <f>SUMIFS('Federal Data'!AF2:AF501,'Federal Data'!$G2:$G501,"Consumer Protection",'Federal Data'!$D2:$D501,"Nongrant")</f>
        <v>1299000</v>
      </c>
      <c r="BH45" s="101" t="s">
        <v>487</v>
      </c>
      <c r="BI45" s="101" t="s">
        <v>487</v>
      </c>
      <c r="BJ45" s="94">
        <f>SUMIFS('Federal Data'!AG2:AG501,'Federal Data'!$G2:$G501,"Consumer Protection",'Federal Data'!$D2:$D501,"Nongrant")</f>
        <v>1167000</v>
      </c>
      <c r="BK45" s="101" t="s">
        <v>487</v>
      </c>
      <c r="BL45" s="101" t="s">
        <v>487</v>
      </c>
      <c r="BM45" s="94">
        <f>SUMIFS('Federal Data'!AH2:AH501,'Federal Data'!$G2:$G501,"Consumer Protection",'Federal Data'!$D2:$D501,"Nongrant")</f>
        <v>1399000</v>
      </c>
      <c r="BN45" s="101" t="s">
        <v>487</v>
      </c>
      <c r="BO45" s="101" t="s">
        <v>487</v>
      </c>
      <c r="BP45" s="94">
        <f>SUMIFS('Federal Data'!AI2:AI501,'Federal Data'!$G2:$G501,"Consumer Protection",'Federal Data'!$D2:$D501,"Nongrant")</f>
        <v>1314000</v>
      </c>
      <c r="BQ45" s="101" t="s">
        <v>487</v>
      </c>
      <c r="BR45" s="101" t="s">
        <v>487</v>
      </c>
      <c r="BS45" s="94">
        <f>SUMIFS('Federal Data'!AJ2:AJ501,'Federal Data'!$G2:$G501,"Consumer Protection",'Federal Data'!$D2:$D501,"Nongrant")</f>
        <v>1610000</v>
      </c>
      <c r="BT45" s="101" t="s">
        <v>487</v>
      </c>
      <c r="BU45" s="101" t="s">
        <v>487</v>
      </c>
      <c r="BV45" s="94">
        <f>SUMIFS('Federal Data'!AK2:AK501,'Federal Data'!$G2:$G501,"Consumer Protection",'Federal Data'!$D2:$D501,"Nongrant")</f>
        <v>1469000</v>
      </c>
      <c r="BW45" s="101" t="s">
        <v>487</v>
      </c>
      <c r="BX45" s="101" t="s">
        <v>487</v>
      </c>
      <c r="BY45" s="94">
        <f>SUMIFS('Federal Data'!AL2:AL501,'Federal Data'!$G2:$G501,"Consumer Protection",'Federal Data'!$D2:$D501,"Nongrant")</f>
        <v>1350000</v>
      </c>
      <c r="BZ45" s="101" t="s">
        <v>487</v>
      </c>
      <c r="CA45" s="101" t="s">
        <v>487</v>
      </c>
      <c r="CB45" s="94">
        <f>SUMIFS('Federal Data'!AM2:AM501,'Federal Data'!$G2:$G501,"Consumer Protection",'Federal Data'!$D2:$D501,"Nongrant")</f>
        <v>1268000</v>
      </c>
      <c r="CC45" s="101" t="s">
        <v>487</v>
      </c>
      <c r="CD45" s="101" t="s">
        <v>487</v>
      </c>
      <c r="CE45" s="94">
        <f>SUMIFS('Federal Data'!AN2:AN501,'Federal Data'!$G2:$G501,"Consumer Protection",'Federal Data'!$D2:$D501,"Nongrant")</f>
        <v>1684000</v>
      </c>
      <c r="CF45" s="101" t="s">
        <v>487</v>
      </c>
      <c r="CG45" s="101" t="s">
        <v>487</v>
      </c>
      <c r="CH45" s="94">
        <f>SUMIFS('Federal Data'!AO2:AO501,'Federal Data'!$G2:$G501,"Consumer Protection",'Federal Data'!$D2:$D501,"Nongrant")</f>
        <v>1968000</v>
      </c>
      <c r="CI45" s="101" t="s">
        <v>487</v>
      </c>
      <c r="CJ45" s="101" t="s">
        <v>487</v>
      </c>
      <c r="CK45" s="94">
        <f>SUMIFS('Federal Data'!AP2:AP501,'Federal Data'!$G2:$G501,"Consumer Protection",'Federal Data'!$D2:$D501,"Nongrant")</f>
        <v>3463000</v>
      </c>
      <c r="CL45" s="101" t="s">
        <v>487</v>
      </c>
      <c r="CM45" s="101" t="s">
        <v>487</v>
      </c>
      <c r="CN45" s="94">
        <f>SUMIFS('Federal Data'!AQ2:AQ501,'Federal Data'!$G2:$G501,"Consumer Protection",'Federal Data'!$D2:$D501,"Nongrant")</f>
        <v>3164000</v>
      </c>
      <c r="CO45" s="101" t="s">
        <v>487</v>
      </c>
      <c r="CP45" s="101" t="s">
        <v>487</v>
      </c>
      <c r="CQ45" s="94">
        <f>SUMIFS('Federal Data'!AR2:AR501,'Federal Data'!$G2:$G501,"Consumer Protection",'Federal Data'!$D2:$D501,"Nongrant")</f>
        <v>3008000</v>
      </c>
      <c r="CR45" s="101" t="s">
        <v>487</v>
      </c>
      <c r="CS45" s="101" t="s">
        <v>487</v>
      </c>
      <c r="CT45" s="94">
        <f>SUMIFS('Federal Data'!AS2:AS501,'Federal Data'!$G2:$G501,"Consumer Protection",'Federal Data'!$D2:$D501,"Nongrant")</f>
        <v>3467000</v>
      </c>
      <c r="CU45" s="101" t="s">
        <v>487</v>
      </c>
      <c r="CV45" s="101" t="s">
        <v>487</v>
      </c>
      <c r="CW45" s="94">
        <f>SUMIFS('Federal Data'!AT2:AT501,'Federal Data'!$G2:$G501,"Consumer Protection",'Federal Data'!$D2:$D501,"Nongrant")</f>
        <v>3098000</v>
      </c>
      <c r="CX45" s="101" t="s">
        <v>487</v>
      </c>
      <c r="CY45" s="101" t="s">
        <v>487</v>
      </c>
      <c r="CZ45" s="94">
        <f>SUMIFS('Federal Data'!AU2:AU501,'Federal Data'!$G2:$G501,"Consumer Protection",'Federal Data'!$D2:$D501,"Nongrant")</f>
        <v>3651000</v>
      </c>
      <c r="DA45" s="101" t="s">
        <v>487</v>
      </c>
      <c r="DB45" s="101" t="s">
        <v>487</v>
      </c>
      <c r="DC45" s="37">
        <f>SUMIFS('Federal Data'!AV2:AV501,'Federal Data'!$G2:$G501,"Consumer Protection",'Federal Data'!$D2:$D501,"Nongrant")</f>
        <v>4168000</v>
      </c>
      <c r="DD45" s="85" t="s">
        <v>487</v>
      </c>
      <c r="DE45" s="85" t="s">
        <v>487</v>
      </c>
    </row>
    <row r="46" spans="1:109" outlineLevel="2">
      <c r="A46" s="29" t="s">
        <v>92</v>
      </c>
      <c r="B46" s="94">
        <f>SUMIFS('Federal Data'!M2:M501,'Federal Data'!$G2:$G501,"Employee Protection",'Federal Data'!$D2:$D501,"Nongrant")</f>
        <v>728937</v>
      </c>
      <c r="C46" s="101" t="s">
        <v>487</v>
      </c>
      <c r="D46" s="101" t="s">
        <v>487</v>
      </c>
      <c r="E46" s="94">
        <f>SUMIFS('Federal Data'!N2:N501,'Federal Data'!$G2:$G501,"Employee Protection",'Federal Data'!$D2:$D501,"Nongrant")</f>
        <v>790984</v>
      </c>
      <c r="F46" s="101" t="s">
        <v>487</v>
      </c>
      <c r="G46" s="101" t="s">
        <v>487</v>
      </c>
      <c r="H46" s="94">
        <f>SUMIFS('Federal Data'!O2:O501,'Federal Data'!$G2:$G501,"Employee Protection",'Federal Data'!$D2:$D501,"Nongrant")</f>
        <v>774212</v>
      </c>
      <c r="I46" s="101" t="s">
        <v>487</v>
      </c>
      <c r="J46" s="101" t="s">
        <v>487</v>
      </c>
      <c r="K46" s="94">
        <f>SUMIFS('Federal Data'!P2:P501,'Federal Data'!$G2:$G501,"Employee Protection",'Federal Data'!$D2:$D501,"Nongrant")</f>
        <v>785102</v>
      </c>
      <c r="L46" s="101" t="s">
        <v>487</v>
      </c>
      <c r="M46" s="101" t="s">
        <v>487</v>
      </c>
      <c r="N46" s="94">
        <f>SUMIFS('Federal Data'!Q2:Q501,'Federal Data'!$G2:$G501,"Employee Protection",'Federal Data'!$D2:$D501,"Nongrant")</f>
        <v>809924</v>
      </c>
      <c r="O46" s="101" t="s">
        <v>487</v>
      </c>
      <c r="P46" s="101" t="s">
        <v>487</v>
      </c>
      <c r="Q46" s="94">
        <f>SUMIFS('Federal Data'!R2:R501,'Federal Data'!$G2:$G501,"Employee Protection",'Federal Data'!$D2:$D501,"Nongrant")</f>
        <v>844408</v>
      </c>
      <c r="R46" s="101" t="s">
        <v>487</v>
      </c>
      <c r="S46" s="101" t="s">
        <v>487</v>
      </c>
      <c r="T46" s="94">
        <f>SUMIFS('Federal Data'!S2:S501,'Federal Data'!$G2:$G501,"Employee Protection",'Federal Data'!$D2:$D501,"Nongrant")</f>
        <v>831242</v>
      </c>
      <c r="U46" s="101" t="s">
        <v>487</v>
      </c>
      <c r="V46" s="101" t="s">
        <v>487</v>
      </c>
      <c r="W46" s="94">
        <f>SUMIFS('Federal Data'!T2:T501,'Federal Data'!$G2:$G501,"Employee Protection",'Federal Data'!$D2:$D501,"Nongrant")</f>
        <v>826326</v>
      </c>
      <c r="X46" s="101" t="s">
        <v>487</v>
      </c>
      <c r="Y46" s="101" t="s">
        <v>487</v>
      </c>
      <c r="Z46" s="94">
        <f>SUMIFS('Federal Data'!U2:U501,'Federal Data'!$G2:$G501,"Employee Protection",'Federal Data'!$D2:$D501,"Nongrant")</f>
        <v>916897</v>
      </c>
      <c r="AA46" s="101" t="s">
        <v>487</v>
      </c>
      <c r="AB46" s="101" t="s">
        <v>487</v>
      </c>
      <c r="AC46" s="94">
        <f>SUMIFS('Federal Data'!V2:V501,'Federal Data'!$G2:$G501,"Employee Protection",'Federal Data'!$D2:$D501,"Nongrant")</f>
        <v>957746</v>
      </c>
      <c r="AD46" s="101" t="s">
        <v>487</v>
      </c>
      <c r="AE46" s="101" t="s">
        <v>487</v>
      </c>
      <c r="AF46" s="94">
        <f>SUMIFS('Federal Data'!W2:W501,'Federal Data'!$G2:$G501,"Employee Protection",'Federal Data'!$D2:$D501,"Nongrant")</f>
        <v>1013700</v>
      </c>
      <c r="AG46" s="101" t="s">
        <v>487</v>
      </c>
      <c r="AH46" s="101" t="s">
        <v>487</v>
      </c>
      <c r="AI46" s="94">
        <f>SUMIFS('Federal Data'!X2:X501,'Federal Data'!$G2:$G501,"Employee Protection",'Federal Data'!$D2:$D501,"Nongrant")</f>
        <v>948268</v>
      </c>
      <c r="AJ46" s="101" t="s">
        <v>487</v>
      </c>
      <c r="AK46" s="101" t="s">
        <v>487</v>
      </c>
      <c r="AL46" s="94">
        <f>SUMIFS('Federal Data'!Y2:Y501,'Federal Data'!$G2:$G501,"Employee Protection",'Federal Data'!$D2:$D501,"Nongrant")</f>
        <v>1074924</v>
      </c>
      <c r="AM46" s="101" t="s">
        <v>487</v>
      </c>
      <c r="AN46" s="101" t="s">
        <v>487</v>
      </c>
      <c r="AO46" s="94">
        <f>SUMIFS('Federal Data'!Z2:Z501,'Federal Data'!$G2:$G501,"Employee Protection",'Federal Data'!$D2:$D501,"Nongrant")</f>
        <v>1075993</v>
      </c>
      <c r="AP46" s="101" t="s">
        <v>487</v>
      </c>
      <c r="AQ46" s="101" t="s">
        <v>487</v>
      </c>
      <c r="AR46" s="94">
        <f>SUMIFS('Federal Data'!AA2:AA501,'Federal Data'!$G2:$G501,"Employee Protection",'Federal Data'!$D2:$D501,"Nongrant")</f>
        <v>1102305</v>
      </c>
      <c r="AS46" s="101" t="s">
        <v>487</v>
      </c>
      <c r="AT46" s="101" t="s">
        <v>487</v>
      </c>
      <c r="AU46" s="94">
        <f>SUMIFS('Federal Data'!AB2:AB501,'Federal Data'!$G2:$G501,"Employee Protection",'Federal Data'!$D2:$D501,"Nongrant")</f>
        <v>1107000</v>
      </c>
      <c r="AV46" s="101" t="s">
        <v>487</v>
      </c>
      <c r="AW46" s="101" t="s">
        <v>487</v>
      </c>
      <c r="AX46" s="94">
        <f>SUMIFS('Federal Data'!AC2:AC501,'Federal Data'!$G2:$G501,"Employee Protection",'Federal Data'!$D2:$D501,"Nongrant")</f>
        <v>1060000</v>
      </c>
      <c r="AY46" s="101" t="s">
        <v>487</v>
      </c>
      <c r="AZ46" s="101" t="s">
        <v>487</v>
      </c>
      <c r="BA46" s="94">
        <f>SUMIFS('Federal Data'!AD2:AD501,'Federal Data'!$G2:$G501,"Employee Protection",'Federal Data'!$D2:$D501,"Nongrant")</f>
        <v>1144000</v>
      </c>
      <c r="BB46" s="101" t="s">
        <v>487</v>
      </c>
      <c r="BC46" s="101" t="s">
        <v>487</v>
      </c>
      <c r="BD46" s="94">
        <f>SUMIFS('Federal Data'!AE2:AE501,'Federal Data'!$G2:$G501,"Employee Protection",'Federal Data'!$D2:$D501,"Nongrant")</f>
        <v>1190000</v>
      </c>
      <c r="BE46" s="101" t="s">
        <v>487</v>
      </c>
      <c r="BF46" s="101" t="s">
        <v>487</v>
      </c>
      <c r="BG46" s="94">
        <f>SUMIFS('Federal Data'!AF2:AF501,'Federal Data'!$G2:$G501,"Employee Protection",'Federal Data'!$D2:$D501,"Nongrant")</f>
        <v>1240000</v>
      </c>
      <c r="BH46" s="101" t="s">
        <v>487</v>
      </c>
      <c r="BI46" s="101" t="s">
        <v>487</v>
      </c>
      <c r="BJ46" s="94">
        <f>SUMIFS('Federal Data'!AG2:AG501,'Federal Data'!$G2:$G501,"Employee Protection",'Federal Data'!$D2:$D501,"Nongrant")</f>
        <v>1359000</v>
      </c>
      <c r="BK46" s="101" t="s">
        <v>487</v>
      </c>
      <c r="BL46" s="101" t="s">
        <v>487</v>
      </c>
      <c r="BM46" s="94">
        <f>SUMIFS('Federal Data'!AH2:AH501,'Federal Data'!$G2:$G501,"Employee Protection",'Federal Data'!$D2:$D501,"Nongrant")</f>
        <v>1471000</v>
      </c>
      <c r="BN46" s="101" t="s">
        <v>487</v>
      </c>
      <c r="BO46" s="101" t="s">
        <v>487</v>
      </c>
      <c r="BP46" s="94">
        <f>SUMIFS('Federal Data'!AI2:AI501,'Federal Data'!$G2:$G501,"Employee Protection",'Federal Data'!$D2:$D501,"Nongrant")</f>
        <v>1609000</v>
      </c>
      <c r="BQ46" s="101" t="s">
        <v>487</v>
      </c>
      <c r="BR46" s="101" t="s">
        <v>487</v>
      </c>
      <c r="BS46" s="94">
        <f>SUMIFS('Federal Data'!AJ2:AJ501,'Federal Data'!$G2:$G501,"Employee Protection",'Federal Data'!$D2:$D501,"Nongrant")</f>
        <v>1678000</v>
      </c>
      <c r="BT46" s="101" t="s">
        <v>487</v>
      </c>
      <c r="BU46" s="101" t="s">
        <v>487</v>
      </c>
      <c r="BV46" s="94">
        <f>SUMIFS('Federal Data'!AK2:AK501,'Federal Data'!$G2:$G501,"Employee Protection",'Federal Data'!$D2:$D501,"Nongrant")</f>
        <v>1754000</v>
      </c>
      <c r="BW46" s="101" t="s">
        <v>487</v>
      </c>
      <c r="BX46" s="101" t="s">
        <v>487</v>
      </c>
      <c r="BY46" s="94">
        <f>SUMIFS('Federal Data'!AL2:AL501,'Federal Data'!$G2:$G501,"Employee Protection",'Federal Data'!$D2:$D501,"Nongrant")</f>
        <v>1811000</v>
      </c>
      <c r="BZ46" s="101" t="s">
        <v>487</v>
      </c>
      <c r="CA46" s="101" t="s">
        <v>487</v>
      </c>
      <c r="CB46" s="94">
        <f>SUMIFS('Federal Data'!AM2:AM501,'Federal Data'!$G2:$G501,"Employee Protection",'Federal Data'!$D2:$D501,"Nongrant")</f>
        <v>1843000</v>
      </c>
      <c r="CC46" s="101" t="s">
        <v>487</v>
      </c>
      <c r="CD46" s="101" t="s">
        <v>487</v>
      </c>
      <c r="CE46" s="94">
        <f>SUMIFS('Federal Data'!AN2:AN501,'Federal Data'!$G2:$G501,"Employee Protection",'Federal Data'!$D2:$D501,"Nongrant")</f>
        <v>1846000</v>
      </c>
      <c r="CF46" s="101" t="s">
        <v>487</v>
      </c>
      <c r="CG46" s="101" t="s">
        <v>487</v>
      </c>
      <c r="CH46" s="94">
        <f>SUMIFS('Federal Data'!AO2:AO501,'Federal Data'!$G2:$G501,"Employee Protection",'Federal Data'!$D2:$D501,"Nongrant")</f>
        <v>1904000</v>
      </c>
      <c r="CI46" s="101" t="s">
        <v>487</v>
      </c>
      <c r="CJ46" s="101" t="s">
        <v>487</v>
      </c>
      <c r="CK46" s="94">
        <f>SUMIFS('Federal Data'!AP2:AP501,'Federal Data'!$G2:$G501,"Employee Protection",'Federal Data'!$D2:$D501,"Nongrant")</f>
        <v>1915000</v>
      </c>
      <c r="CL46" s="101" t="s">
        <v>487</v>
      </c>
      <c r="CM46" s="101" t="s">
        <v>487</v>
      </c>
      <c r="CN46" s="94">
        <f>SUMIFS('Federal Data'!AQ2:AQ501,'Federal Data'!$G2:$G501,"Employee Protection",'Federal Data'!$D2:$D501,"Nongrant")</f>
        <v>2040000</v>
      </c>
      <c r="CO46" s="101" t="s">
        <v>487</v>
      </c>
      <c r="CP46" s="101" t="s">
        <v>487</v>
      </c>
      <c r="CQ46" s="94">
        <f>SUMIFS('Federal Data'!AR2:AR501,'Federal Data'!$G2:$G501,"Employee Protection",'Federal Data'!$D2:$D501,"Nongrant")</f>
        <v>2164000</v>
      </c>
      <c r="CR46" s="101" t="s">
        <v>487</v>
      </c>
      <c r="CS46" s="101" t="s">
        <v>487</v>
      </c>
      <c r="CT46" s="94">
        <f>SUMIFS('Federal Data'!AS2:AS501,'Federal Data'!$G2:$G501,"Employee Protection",'Federal Data'!$D2:$D501,"Nongrant")</f>
        <v>2162000</v>
      </c>
      <c r="CU46" s="101" t="s">
        <v>487</v>
      </c>
      <c r="CV46" s="101" t="s">
        <v>487</v>
      </c>
      <c r="CW46" s="94">
        <f>SUMIFS('Federal Data'!AT2:AT501,'Federal Data'!$G2:$G501,"Employee Protection",'Federal Data'!$D2:$D501,"Nongrant")</f>
        <v>2184000</v>
      </c>
      <c r="CX46" s="101" t="s">
        <v>487</v>
      </c>
      <c r="CY46" s="101" t="s">
        <v>487</v>
      </c>
      <c r="CZ46" s="94">
        <f>SUMIFS('Federal Data'!AU2:AU501,'Federal Data'!$G2:$G501,"Employee Protection",'Federal Data'!$D2:$D501,"Nongrant")</f>
        <v>2114000</v>
      </c>
      <c r="DA46" s="101" t="s">
        <v>487</v>
      </c>
      <c r="DB46" s="101" t="s">
        <v>487</v>
      </c>
      <c r="DC46" s="37">
        <f>SUMIFS('Federal Data'!AV2:AV501,'Federal Data'!$G2:$G501,"Employee Protection",'Federal Data'!$D2:$D501,"Nongrant")</f>
        <v>2115000</v>
      </c>
      <c r="DD46" s="85" t="s">
        <v>487</v>
      </c>
      <c r="DE46" s="85" t="s">
        <v>487</v>
      </c>
    </row>
    <row r="47" spans="1:109" outlineLevel="2">
      <c r="A47" s="29" t="s">
        <v>120</v>
      </c>
      <c r="B47" s="94">
        <f>SUMIFS('Federal Data'!M2:M501,'Federal Data'!$G2:$G501,"Patents and Copyrights",'Federal Data'!$D2:$D501,"Nongrant")</f>
        <v>111142</v>
      </c>
      <c r="C47" s="101" t="s">
        <v>487</v>
      </c>
      <c r="D47" s="101" t="s">
        <v>487</v>
      </c>
      <c r="E47" s="94">
        <f>SUMIFS('Federal Data'!N2:N501,'Federal Data'!$G2:$G501,"Patents and Copyrights",'Federal Data'!$D2:$D501,"Nongrant")</f>
        <v>119218</v>
      </c>
      <c r="F47" s="101" t="s">
        <v>487</v>
      </c>
      <c r="G47" s="101" t="s">
        <v>487</v>
      </c>
      <c r="H47" s="94">
        <f>SUMIFS('Federal Data'!O2:O501,'Federal Data'!$G2:$G501,"Patents and Copyrights",'Federal Data'!$D2:$D501,"Nongrant")</f>
        <v>156633</v>
      </c>
      <c r="I47" s="101" t="s">
        <v>487</v>
      </c>
      <c r="J47" s="101" t="s">
        <v>487</v>
      </c>
      <c r="K47" s="94">
        <f>SUMIFS('Federal Data'!P2:P501,'Federal Data'!$G2:$G501,"Patents and Copyrights",'Federal Data'!$D2:$D501,"Nongrant")</f>
        <v>118680</v>
      </c>
      <c r="L47" s="101" t="s">
        <v>487</v>
      </c>
      <c r="M47" s="101" t="s">
        <v>487</v>
      </c>
      <c r="N47" s="94">
        <f>SUMIFS('Federal Data'!Q2:Q501,'Federal Data'!$G2:$G501,"Patents and Copyrights",'Federal Data'!$D2:$D501,"Nongrant")</f>
        <v>126517</v>
      </c>
      <c r="O47" s="101" t="s">
        <v>487</v>
      </c>
      <c r="P47" s="101" t="s">
        <v>487</v>
      </c>
      <c r="Q47" s="94">
        <f>SUMIFS('Federal Data'!R2:R501,'Federal Data'!$G2:$G501,"Patents and Copyrights",'Federal Data'!$D2:$D501,"Nongrant")</f>
        <v>157373</v>
      </c>
      <c r="R47" s="101" t="s">
        <v>487</v>
      </c>
      <c r="S47" s="101" t="s">
        <v>487</v>
      </c>
      <c r="T47" s="94">
        <f>SUMIFS('Federal Data'!S2:S501,'Federal Data'!$G2:$G501,"Patents and Copyrights",'Federal Data'!$D2:$D501,"Nongrant")</f>
        <v>195173</v>
      </c>
      <c r="U47" s="101" t="s">
        <v>487</v>
      </c>
      <c r="V47" s="101" t="s">
        <v>487</v>
      </c>
      <c r="W47" s="94">
        <f>SUMIFS('Federal Data'!T2:T501,'Federal Data'!$G2:$G501,"Patents and Copyrights",'Federal Data'!$D2:$D501,"Nongrant")</f>
        <v>250211</v>
      </c>
      <c r="X47" s="101" t="s">
        <v>487</v>
      </c>
      <c r="Y47" s="101" t="s">
        <v>487</v>
      </c>
      <c r="Z47" s="94">
        <f>SUMIFS('Federal Data'!U2:U501,'Federal Data'!$G2:$G501,"Patents and Copyrights",'Federal Data'!$D2:$D501,"Nongrant")</f>
        <v>167670</v>
      </c>
      <c r="AA47" s="101" t="s">
        <v>487</v>
      </c>
      <c r="AB47" s="101" t="s">
        <v>487</v>
      </c>
      <c r="AC47" s="94">
        <f>SUMIFS('Federal Data'!V2:V501,'Federal Data'!$G2:$G501,"Patents and Copyrights",'Federal Data'!$D2:$D501,"Nongrant")</f>
        <v>354162</v>
      </c>
      <c r="AD47" s="101" t="s">
        <v>487</v>
      </c>
      <c r="AE47" s="101" t="s">
        <v>487</v>
      </c>
      <c r="AF47" s="94">
        <f>SUMIFS('Federal Data'!W2:W501,'Federal Data'!$G2:$G501,"Patents and Copyrights",'Federal Data'!$D2:$D501,"Nongrant")</f>
        <v>331638</v>
      </c>
      <c r="AG47" s="101" t="s">
        <v>487</v>
      </c>
      <c r="AH47" s="101" t="s">
        <v>487</v>
      </c>
      <c r="AI47" s="94">
        <f>SUMIFS('Federal Data'!X2:X501,'Federal Data'!$G2:$G501,"Patents and Copyrights",'Federal Data'!$D2:$D501,"Nongrant")</f>
        <v>186428</v>
      </c>
      <c r="AJ47" s="101" t="s">
        <v>487</v>
      </c>
      <c r="AK47" s="101" t="s">
        <v>487</v>
      </c>
      <c r="AL47" s="94">
        <f>SUMIFS('Federal Data'!Y2:Y501,'Federal Data'!$G2:$G501,"Patents and Copyrights",'Federal Data'!$D2:$D501,"Nongrant")</f>
        <v>207834</v>
      </c>
      <c r="AM47" s="101" t="s">
        <v>487</v>
      </c>
      <c r="AN47" s="101" t="s">
        <v>487</v>
      </c>
      <c r="AO47" s="94">
        <f>SUMIFS('Federal Data'!Z2:Z501,'Federal Data'!$G2:$G501,"Patents and Copyrights",'Federal Data'!$D2:$D501,"Nongrant")</f>
        <v>-18601</v>
      </c>
      <c r="AP47" s="101" t="s">
        <v>487</v>
      </c>
      <c r="AQ47" s="101" t="s">
        <v>487</v>
      </c>
      <c r="AR47" s="94">
        <f>SUMIFS('Federal Data'!AA2:AA501,'Federal Data'!$G2:$G501,"Patents and Copyrights",'Federal Data'!$D2:$D501,"Nongrant")</f>
        <v>129535</v>
      </c>
      <c r="AS47" s="101" t="s">
        <v>487</v>
      </c>
      <c r="AT47" s="101" t="s">
        <v>487</v>
      </c>
      <c r="AU47" s="94">
        <f>SUMIFS('Federal Data'!AB2:AB501,'Federal Data'!$G2:$G501,"Patents and Copyrights",'Federal Data'!$D2:$D501,"Nongrant")</f>
        <v>206000</v>
      </c>
      <c r="AV47" s="101" t="s">
        <v>487</v>
      </c>
      <c r="AW47" s="101" t="s">
        <v>487</v>
      </c>
      <c r="AX47" s="94">
        <f>SUMIFS('Federal Data'!AC2:AC501,'Federal Data'!$G2:$G501,"Patents and Copyrights",'Federal Data'!$D2:$D501,"Nongrant")</f>
        <v>-64000</v>
      </c>
      <c r="AY47" s="101" t="s">
        <v>487</v>
      </c>
      <c r="AZ47" s="101" t="s">
        <v>487</v>
      </c>
      <c r="BA47" s="94">
        <f>SUMIFS('Federal Data'!AD2:AD501,'Federal Data'!$G2:$G501,"Patents and Copyrights",'Federal Data'!$D2:$D501,"Nongrant")</f>
        <v>81000</v>
      </c>
      <c r="BB47" s="101" t="s">
        <v>487</v>
      </c>
      <c r="BC47" s="101" t="s">
        <v>487</v>
      </c>
      <c r="BD47" s="94">
        <f>SUMIFS('Federal Data'!AE2:AE501,'Federal Data'!$G2:$G501,"Patents and Copyrights",'Federal Data'!$D2:$D501,"Nongrant")</f>
        <v>111000</v>
      </c>
      <c r="BE47" s="101" t="s">
        <v>487</v>
      </c>
      <c r="BF47" s="101" t="s">
        <v>487</v>
      </c>
      <c r="BG47" s="94">
        <f>SUMIFS('Federal Data'!AF2:AF501,'Federal Data'!$G2:$G501,"Patents and Copyrights",'Federal Data'!$D2:$D501,"Nongrant")</f>
        <v>139000</v>
      </c>
      <c r="BH47" s="101" t="s">
        <v>487</v>
      </c>
      <c r="BI47" s="101" t="s">
        <v>487</v>
      </c>
      <c r="BJ47" s="94">
        <f>SUMIFS('Federal Data'!AG2:AG501,'Federal Data'!$G2:$G501,"Patents and Copyrights",'Federal Data'!$D2:$D501,"Nongrant")</f>
        <v>249000</v>
      </c>
      <c r="BK47" s="101" t="s">
        <v>487</v>
      </c>
      <c r="BL47" s="101" t="s">
        <v>487</v>
      </c>
      <c r="BM47" s="94">
        <f>SUMIFS('Federal Data'!AH2:AH501,'Federal Data'!$G2:$G501,"Patents and Copyrights",'Federal Data'!$D2:$D501,"Nongrant")</f>
        <v>169000</v>
      </c>
      <c r="BN47" s="101" t="s">
        <v>487</v>
      </c>
      <c r="BO47" s="101" t="s">
        <v>487</v>
      </c>
      <c r="BP47" s="94">
        <f>SUMIFS('Federal Data'!AI2:AI501,'Federal Data'!$G2:$G501,"Patents and Copyrights",'Federal Data'!$D2:$D501,"Nongrant")</f>
        <v>140000</v>
      </c>
      <c r="BQ47" s="101" t="s">
        <v>487</v>
      </c>
      <c r="BR47" s="101" t="s">
        <v>487</v>
      </c>
      <c r="BS47" s="94">
        <f>SUMIFS('Federal Data'!AJ2:AJ501,'Federal Data'!$G2:$G501,"Patents and Copyrights",'Federal Data'!$D2:$D501,"Nongrant")</f>
        <v>34000</v>
      </c>
      <c r="BT47" s="101" t="s">
        <v>487</v>
      </c>
      <c r="BU47" s="101" t="s">
        <v>487</v>
      </c>
      <c r="BV47" s="94">
        <f>SUMIFS('Federal Data'!AK2:AK501,'Federal Data'!$G2:$G501,"Patents and Copyrights",'Federal Data'!$D2:$D501,"Nongrant")</f>
        <v>100000</v>
      </c>
      <c r="BW47" s="101" t="s">
        <v>487</v>
      </c>
      <c r="BX47" s="101" t="s">
        <v>487</v>
      </c>
      <c r="BY47" s="94">
        <f>SUMIFS('Federal Data'!AL2:AL501,'Federal Data'!$G2:$G501,"Patents and Copyrights",'Federal Data'!$D2:$D501,"Nongrant")</f>
        <v>-41000</v>
      </c>
      <c r="BZ47" s="101" t="s">
        <v>487</v>
      </c>
      <c r="CA47" s="101" t="s">
        <v>487</v>
      </c>
      <c r="CB47" s="94">
        <f>SUMIFS('Federal Data'!AM2:AM501,'Federal Data'!$G2:$G501,"Patents and Copyrights",'Federal Data'!$D2:$D501,"Nongrant")</f>
        <v>64000</v>
      </c>
      <c r="CC47" s="101" t="s">
        <v>487</v>
      </c>
      <c r="CD47" s="101" t="s">
        <v>487</v>
      </c>
      <c r="CE47" s="94">
        <f>SUMIFS('Federal Data'!AN2:AN501,'Federal Data'!$G2:$G501,"Patents and Copyrights",'Federal Data'!$D2:$D501,"Nongrant")</f>
        <v>320000</v>
      </c>
      <c r="CF47" s="101" t="s">
        <v>487</v>
      </c>
      <c r="CG47" s="101" t="s">
        <v>487</v>
      </c>
      <c r="CH47" s="94">
        <f>SUMIFS('Federal Data'!AO2:AO501,'Federal Data'!$G2:$G501,"Patents and Copyrights",'Federal Data'!$D2:$D501,"Nongrant")</f>
        <v>205000</v>
      </c>
      <c r="CI47" s="101" t="s">
        <v>487</v>
      </c>
      <c r="CJ47" s="101" t="s">
        <v>487</v>
      </c>
      <c r="CK47" s="94">
        <f>SUMIFS('Federal Data'!AP2:AP501,'Federal Data'!$G2:$G501,"Patents and Copyrights",'Federal Data'!$D2:$D501,"Nongrant")</f>
        <v>396000</v>
      </c>
      <c r="CL47" s="101" t="s">
        <v>487</v>
      </c>
      <c r="CM47" s="101" t="s">
        <v>487</v>
      </c>
      <c r="CN47" s="94">
        <f>SUMIFS('Federal Data'!AQ2:AQ501,'Federal Data'!$G2:$G501,"Patents and Copyrights",'Federal Data'!$D2:$D501,"Nongrant")</f>
        <v>1082000</v>
      </c>
      <c r="CO47" s="101" t="s">
        <v>487</v>
      </c>
      <c r="CP47" s="101" t="s">
        <v>487</v>
      </c>
      <c r="CQ47" s="94">
        <f>SUMIFS('Federal Data'!AR2:AR501,'Federal Data'!$G2:$G501,"Patents and Copyrights",'Federal Data'!$D2:$D501,"Nongrant")</f>
        <v>-166000</v>
      </c>
      <c r="CR47" s="101" t="s">
        <v>487</v>
      </c>
      <c r="CS47" s="101" t="s">
        <v>487</v>
      </c>
      <c r="CT47" s="94">
        <f>SUMIFS('Federal Data'!AS2:AS501,'Federal Data'!$G2:$G501,"Patents and Copyrights",'Federal Data'!$D2:$D501,"Nongrant")</f>
        <v>-56000</v>
      </c>
      <c r="CU47" s="101" t="s">
        <v>487</v>
      </c>
      <c r="CV47" s="101" t="s">
        <v>487</v>
      </c>
      <c r="CW47" s="94">
        <f>SUMIFS('Federal Data'!AT2:AT501,'Federal Data'!$G2:$G501,"Patents and Copyrights",'Federal Data'!$D2:$D501,"Nongrant")</f>
        <v>-254000</v>
      </c>
      <c r="CX47" s="101" t="s">
        <v>487</v>
      </c>
      <c r="CY47" s="101" t="s">
        <v>487</v>
      </c>
      <c r="CZ47" s="94">
        <f>SUMIFS('Federal Data'!AU2:AU501,'Federal Data'!$G2:$G501,"Patents and Copyrights",'Federal Data'!$D2:$D501,"Nongrant")</f>
        <v>-475000</v>
      </c>
      <c r="DA47" s="101" t="s">
        <v>487</v>
      </c>
      <c r="DB47" s="101" t="s">
        <v>487</v>
      </c>
      <c r="DC47" s="37">
        <f>SUMIFS('Federal Data'!AV2:AV501,'Federal Data'!$G2:$G501,"Patents and Copyrights",'Federal Data'!$D2:$D501,"Nongrant")</f>
        <v>40000</v>
      </c>
      <c r="DD47" s="85" t="s">
        <v>487</v>
      </c>
      <c r="DE47" s="85" t="s">
        <v>487</v>
      </c>
    </row>
    <row r="48" spans="1:109" outlineLevel="2">
      <c r="A48" s="29" t="s">
        <v>93</v>
      </c>
      <c r="B48" s="94">
        <f>SUMIFS('Federal Data'!M2:M501,'Federal Data'!$G2:$G501,"Other Business Regulation",'Federal Data'!$D2:$D501,"Nongrant")</f>
        <v>68516</v>
      </c>
      <c r="C48" s="101" t="s">
        <v>487</v>
      </c>
      <c r="D48" s="101" t="s">
        <v>487</v>
      </c>
      <c r="E48" s="94">
        <f>SUMIFS('Federal Data'!N2:N501,'Federal Data'!$G2:$G501,"Other Business Regulation",'Federal Data'!$D2:$D501,"Nongrant")</f>
        <v>70124</v>
      </c>
      <c r="F48" s="101" t="s">
        <v>487</v>
      </c>
      <c r="G48" s="101" t="s">
        <v>487</v>
      </c>
      <c r="H48" s="94">
        <f>SUMIFS('Federal Data'!O2:O501,'Federal Data'!$G2:$G501,"Other Business Regulation",'Federal Data'!$D2:$D501,"Nongrant")</f>
        <v>68006</v>
      </c>
      <c r="I48" s="101" t="s">
        <v>487</v>
      </c>
      <c r="J48" s="101" t="s">
        <v>487</v>
      </c>
      <c r="K48" s="94">
        <f>SUMIFS('Federal Data'!P2:P501,'Federal Data'!$G2:$G501,"Other Business Regulation",'Federal Data'!$D2:$D501,"Nongrant")</f>
        <v>65464</v>
      </c>
      <c r="L48" s="101" t="s">
        <v>487</v>
      </c>
      <c r="M48" s="101" t="s">
        <v>487</v>
      </c>
      <c r="N48" s="94">
        <f>SUMIFS('Federal Data'!Q2:Q501,'Federal Data'!$G2:$G501,"Other Business Regulation",'Federal Data'!$D2:$D501,"Nongrant")</f>
        <v>65864</v>
      </c>
      <c r="O48" s="101" t="s">
        <v>487</v>
      </c>
      <c r="P48" s="101" t="s">
        <v>487</v>
      </c>
      <c r="Q48" s="94">
        <f>SUMIFS('Federal Data'!R2:R501,'Federal Data'!$G2:$G501,"Other Business Regulation",'Federal Data'!$D2:$D501,"Nongrant")</f>
        <v>65267</v>
      </c>
      <c r="R48" s="101" t="s">
        <v>487</v>
      </c>
      <c r="S48" s="101" t="s">
        <v>487</v>
      </c>
      <c r="T48" s="94">
        <f>SUMIFS('Federal Data'!S2:S501,'Federal Data'!$G2:$G501,"Other Business Regulation",'Federal Data'!$D2:$D501,"Nongrant")</f>
        <v>62014</v>
      </c>
      <c r="U48" s="101" t="s">
        <v>487</v>
      </c>
      <c r="V48" s="101" t="s">
        <v>487</v>
      </c>
      <c r="W48" s="94">
        <f>SUMIFS('Federal Data'!T2:T501,'Federal Data'!$G2:$G501,"Other Business Regulation",'Federal Data'!$D2:$D501,"Nongrant")</f>
        <v>66067</v>
      </c>
      <c r="X48" s="101" t="s">
        <v>487</v>
      </c>
      <c r="Y48" s="101" t="s">
        <v>487</v>
      </c>
      <c r="Z48" s="94">
        <f>SUMIFS('Federal Data'!U2:U501,'Federal Data'!$G2:$G501,"Other Business Regulation",'Federal Data'!$D2:$D501,"Nongrant")</f>
        <v>95421</v>
      </c>
      <c r="AA48" s="101" t="s">
        <v>487</v>
      </c>
      <c r="AB48" s="101" t="s">
        <v>487</v>
      </c>
      <c r="AC48" s="94">
        <f>SUMIFS('Federal Data'!V2:V501,'Federal Data'!$G2:$G501,"Other Business Regulation",'Federal Data'!$D2:$D501,"Nongrant")</f>
        <v>108335</v>
      </c>
      <c r="AD48" s="101" t="s">
        <v>487</v>
      </c>
      <c r="AE48" s="101" t="s">
        <v>487</v>
      </c>
      <c r="AF48" s="94">
        <f>SUMIFS('Federal Data'!W2:W501,'Federal Data'!$G2:$G501,"Other Business Regulation",'Federal Data'!$D2:$D501,"Nongrant")</f>
        <v>96977</v>
      </c>
      <c r="AG48" s="101" t="s">
        <v>487</v>
      </c>
      <c r="AH48" s="101" t="s">
        <v>487</v>
      </c>
      <c r="AI48" s="94">
        <f>SUMIFS('Federal Data'!X2:X501,'Federal Data'!$G2:$G501,"Other Business Regulation",'Federal Data'!$D2:$D501,"Nongrant")</f>
        <v>104010</v>
      </c>
      <c r="AJ48" s="101" t="s">
        <v>487</v>
      </c>
      <c r="AK48" s="101" t="s">
        <v>487</v>
      </c>
      <c r="AL48" s="94">
        <f>SUMIFS('Federal Data'!Y2:Y501,'Federal Data'!$G2:$G501,"Other Business Regulation",'Federal Data'!$D2:$D501,"Nongrant")</f>
        <v>114641</v>
      </c>
      <c r="AM48" s="101" t="s">
        <v>487</v>
      </c>
      <c r="AN48" s="101" t="s">
        <v>487</v>
      </c>
      <c r="AO48" s="94">
        <f>SUMIFS('Federal Data'!Z2:Z501,'Federal Data'!$G2:$G501,"Other Business Regulation",'Federal Data'!$D2:$D501,"Nongrant")</f>
        <v>105001</v>
      </c>
      <c r="AP48" s="101" t="s">
        <v>487</v>
      </c>
      <c r="AQ48" s="101" t="s">
        <v>487</v>
      </c>
      <c r="AR48" s="94">
        <f>SUMIFS('Federal Data'!AA2:AA501,'Federal Data'!$G2:$G501,"Other Business Regulation",'Federal Data'!$D2:$D501,"Nongrant")</f>
        <v>103620</v>
      </c>
      <c r="AS48" s="101" t="s">
        <v>487</v>
      </c>
      <c r="AT48" s="101" t="s">
        <v>487</v>
      </c>
      <c r="AU48" s="94">
        <f>SUMIFS('Federal Data'!AB2:AB501,'Federal Data'!$G2:$G501,"Other Business Regulation",'Federal Data'!$D2:$D501,"Nongrant")</f>
        <v>70000</v>
      </c>
      <c r="AV48" s="101" t="s">
        <v>487</v>
      </c>
      <c r="AW48" s="101" t="s">
        <v>487</v>
      </c>
      <c r="AX48" s="94">
        <f>SUMIFS('Federal Data'!AC2:AC501,'Federal Data'!$G2:$G501,"Other Business Regulation",'Federal Data'!$D2:$D501,"Nongrant")</f>
        <v>77000</v>
      </c>
      <c r="AY48" s="101" t="s">
        <v>487</v>
      </c>
      <c r="AZ48" s="101" t="s">
        <v>487</v>
      </c>
      <c r="BA48" s="94">
        <f>SUMIFS('Federal Data'!AD2:AD501,'Federal Data'!$G2:$G501,"Other Business Regulation",'Federal Data'!$D2:$D501,"Nongrant")</f>
        <v>66000</v>
      </c>
      <c r="BB48" s="101" t="s">
        <v>487</v>
      </c>
      <c r="BC48" s="101" t="s">
        <v>487</v>
      </c>
      <c r="BD48" s="94">
        <f>SUMIFS('Federal Data'!AE2:AE501,'Federal Data'!$G2:$G501,"Other Business Regulation",'Federal Data'!$D2:$D501,"Nongrant")</f>
        <v>45000</v>
      </c>
      <c r="BE48" s="101" t="s">
        <v>487</v>
      </c>
      <c r="BF48" s="101" t="s">
        <v>487</v>
      </c>
      <c r="BG48" s="94">
        <f>SUMIFS('Federal Data'!AF2:AF501,'Federal Data'!$G2:$G501,"Other Business Regulation",'Federal Data'!$D2:$D501,"Nongrant")</f>
        <v>55000</v>
      </c>
      <c r="BH48" s="101" t="s">
        <v>487</v>
      </c>
      <c r="BI48" s="101" t="s">
        <v>487</v>
      </c>
      <c r="BJ48" s="94">
        <f>SUMIFS('Federal Data'!AG2:AG501,'Federal Data'!$G2:$G501,"Other Business Regulation",'Federal Data'!$D2:$D501,"Nongrant")</f>
        <v>68000</v>
      </c>
      <c r="BK48" s="101" t="s">
        <v>487</v>
      </c>
      <c r="BL48" s="101" t="s">
        <v>487</v>
      </c>
      <c r="BM48" s="94">
        <f>SUMIFS('Federal Data'!AH2:AH501,'Federal Data'!$G2:$G501,"Other Business Regulation",'Federal Data'!$D2:$D501,"Nongrant")</f>
        <v>94000</v>
      </c>
      <c r="BN48" s="101" t="s">
        <v>487</v>
      </c>
      <c r="BO48" s="101" t="s">
        <v>487</v>
      </c>
      <c r="BP48" s="94">
        <f>SUMIFS('Federal Data'!AI2:AI501,'Federal Data'!$G2:$G501,"Other Business Regulation",'Federal Data'!$D2:$D501,"Nongrant")</f>
        <v>148000</v>
      </c>
      <c r="BQ48" s="101" t="s">
        <v>487</v>
      </c>
      <c r="BR48" s="101" t="s">
        <v>487</v>
      </c>
      <c r="BS48" s="94">
        <f>SUMIFS('Federal Data'!AJ2:AJ501,'Federal Data'!$G2:$G501,"Other Business Regulation",'Federal Data'!$D2:$D501,"Nongrant")</f>
        <v>160000</v>
      </c>
      <c r="BT48" s="101" t="s">
        <v>487</v>
      </c>
      <c r="BU48" s="101" t="s">
        <v>487</v>
      </c>
      <c r="BV48" s="94">
        <f>SUMIFS('Federal Data'!AK2:AK501,'Federal Data'!$G2:$G501,"Other Business Regulation",'Federal Data'!$D2:$D501,"Nongrant")</f>
        <v>144000</v>
      </c>
      <c r="BW48" s="101" t="s">
        <v>487</v>
      </c>
      <c r="BX48" s="101" t="s">
        <v>487</v>
      </c>
      <c r="BY48" s="94">
        <f>SUMIFS('Federal Data'!AL2:AL501,'Federal Data'!$G2:$G501,"Other Business Regulation",'Federal Data'!$D2:$D501,"Nongrant")</f>
        <v>123000</v>
      </c>
      <c r="BZ48" s="101" t="s">
        <v>487</v>
      </c>
      <c r="CA48" s="101" t="s">
        <v>487</v>
      </c>
      <c r="CB48" s="94">
        <f>SUMIFS('Federal Data'!AM2:AM501,'Federal Data'!$G2:$G501,"Other Business Regulation",'Federal Data'!$D2:$D501,"Nongrant")</f>
        <v>129000</v>
      </c>
      <c r="CC48" s="101" t="s">
        <v>487</v>
      </c>
      <c r="CD48" s="101" t="s">
        <v>487</v>
      </c>
      <c r="CE48" s="94">
        <f>SUMIFS('Federal Data'!AN2:AN501,'Federal Data'!$G2:$G501,"Other Business Regulation",'Federal Data'!$D2:$D501,"Nongrant")</f>
        <v>116000</v>
      </c>
      <c r="CF48" s="101" t="s">
        <v>487</v>
      </c>
      <c r="CG48" s="101" t="s">
        <v>487</v>
      </c>
      <c r="CH48" s="94">
        <f>SUMIFS('Federal Data'!AO2:AO501,'Federal Data'!$G2:$G501,"Other Business Regulation",'Federal Data'!$D2:$D501,"Nongrant")</f>
        <v>159000</v>
      </c>
      <c r="CI48" s="101" t="s">
        <v>487</v>
      </c>
      <c r="CJ48" s="101" t="s">
        <v>487</v>
      </c>
      <c r="CK48" s="94">
        <f>SUMIFS('Federal Data'!AP2:AP501,'Federal Data'!$G2:$G501,"Other Business Regulation",'Federal Data'!$D2:$D501,"Nongrant")</f>
        <v>273000</v>
      </c>
      <c r="CL48" s="101" t="s">
        <v>487</v>
      </c>
      <c r="CM48" s="101" t="s">
        <v>487</v>
      </c>
      <c r="CN48" s="94">
        <f>SUMIFS('Federal Data'!AQ2:AQ501,'Federal Data'!$G2:$G501,"Other Business Regulation",'Federal Data'!$D2:$D501,"Nongrant")</f>
        <v>239000</v>
      </c>
      <c r="CO48" s="101" t="s">
        <v>487</v>
      </c>
      <c r="CP48" s="101" t="s">
        <v>487</v>
      </c>
      <c r="CQ48" s="94">
        <f>SUMIFS('Federal Data'!AR2:AR501,'Federal Data'!$G2:$G501,"Other Business Regulation",'Federal Data'!$D2:$D501,"Nongrant")</f>
        <v>249000</v>
      </c>
      <c r="CR48" s="101" t="s">
        <v>487</v>
      </c>
      <c r="CS48" s="101" t="s">
        <v>487</v>
      </c>
      <c r="CT48" s="94">
        <f>SUMIFS('Federal Data'!AS2:AS501,'Federal Data'!$G2:$G501,"Other Business Regulation",'Federal Data'!$D2:$D501,"Nongrant")</f>
        <v>242000</v>
      </c>
      <c r="CU48" s="101" t="s">
        <v>487</v>
      </c>
      <c r="CV48" s="101" t="s">
        <v>487</v>
      </c>
      <c r="CW48" s="94">
        <f>SUMIFS('Federal Data'!AT2:AT501,'Federal Data'!$G2:$G501,"Other Business Regulation",'Federal Data'!$D2:$D501,"Nongrant")</f>
        <v>250000</v>
      </c>
      <c r="CX48" s="101" t="s">
        <v>487</v>
      </c>
      <c r="CY48" s="101" t="s">
        <v>487</v>
      </c>
      <c r="CZ48" s="94">
        <f>SUMIFS('Federal Data'!AU2:AU501,'Federal Data'!$G2:$G501,"Other Business Regulation",'Federal Data'!$D2:$D501,"Nongrant")</f>
        <v>271000</v>
      </c>
      <c r="DA48" s="101" t="s">
        <v>487</v>
      </c>
      <c r="DB48" s="101" t="s">
        <v>487</v>
      </c>
      <c r="DC48" s="37">
        <f>SUMIFS('Federal Data'!AV2:AV501,'Federal Data'!$G2:$G501,"Other Business Regulation",'Federal Data'!$D2:$D501,"Nongrant")</f>
        <v>233000</v>
      </c>
      <c r="DD48" s="85" t="s">
        <v>487</v>
      </c>
      <c r="DE48" s="85" t="s">
        <v>487</v>
      </c>
    </row>
    <row r="49" spans="1:109" outlineLevel="1">
      <c r="A49" s="42" t="s">
        <v>248</v>
      </c>
      <c r="B49" s="95">
        <f>SUMIFS('Federal Data'!M2:M501,'Federal Data'!$F2:$F501,"Child and Social Services",'Federal Data'!$D2:$D501,"Nongrant")</f>
        <v>332249</v>
      </c>
      <c r="C49" s="99">
        <f>'State and Local P&amp;L (detailed)'!$C$36</f>
        <v>11276253</v>
      </c>
      <c r="D49" s="99">
        <f t="shared" ref="D49:D68" si="112">SUM(B49:C49)</f>
        <v>11608502</v>
      </c>
      <c r="E49" s="95">
        <f>SUMIFS('Federal Data'!N2:N501,'Federal Data'!$F2:$F501,"Child and Social Services",'Federal Data'!$D2:$D501,"Nongrant")</f>
        <v>389363</v>
      </c>
      <c r="F49" s="99">
        <f>'State and Local P&amp;L (detailed)'!$D$36</f>
        <v>13111718</v>
      </c>
      <c r="G49" s="99">
        <f t="shared" ref="G49:G68" si="113">SUM(E49:F49)</f>
        <v>13501081</v>
      </c>
      <c r="H49" s="95">
        <f>SUMIFS('Federal Data'!O2:O501,'Federal Data'!$F2:$F501,"Child and Social Services",'Federal Data'!$D2:$D501,"Nongrant")</f>
        <v>317077</v>
      </c>
      <c r="I49" s="99">
        <f>'State and Local P&amp;L (detailed)'!$E$36</f>
        <v>14406935</v>
      </c>
      <c r="J49" s="99">
        <f t="shared" ref="J49:J68" si="114">SUM(H49:I49)</f>
        <v>14724012</v>
      </c>
      <c r="K49" s="95">
        <f>SUMIFS('Federal Data'!P2:P501,'Federal Data'!$F2:$F501,"Child and Social Services",'Federal Data'!$D2:$D501,"Nongrant")</f>
        <v>390801</v>
      </c>
      <c r="L49" s="99">
        <f>'State and Local P&amp;L (detailed)'!$F$36</f>
        <v>14370211</v>
      </c>
      <c r="M49" s="99">
        <f t="shared" ref="M49:M68" si="115">SUM(K49:L49)</f>
        <v>14761012</v>
      </c>
      <c r="N49" s="95">
        <f>SUMIFS('Federal Data'!Q2:Q501,'Federal Data'!$F2:$F501,"Child and Social Services",'Federal Data'!$D2:$D501,"Nongrant")</f>
        <v>420634</v>
      </c>
      <c r="O49" s="99">
        <f>'State and Local P&amp;L (detailed)'!$G$36</f>
        <v>15770172</v>
      </c>
      <c r="P49" s="99">
        <f t="shared" ref="P49:P68" si="116">SUM(N49:O49)</f>
        <v>16190806</v>
      </c>
      <c r="Q49" s="95">
        <f>SUMIFS('Federal Data'!R2:R501,'Federal Data'!$F2:$F501,"Child and Social Services",'Federal Data'!$D2:$D501,"Nongrant")</f>
        <v>370437</v>
      </c>
      <c r="R49" s="99">
        <f>'State and Local P&amp;L (detailed)'!$H$36</f>
        <v>17313669</v>
      </c>
      <c r="S49" s="99">
        <f t="shared" ref="S49:S68" si="117">SUM(Q49:R49)</f>
        <v>17684106</v>
      </c>
      <c r="T49" s="95">
        <f>SUMIFS('Federal Data'!S2:S501,'Federal Data'!$F2:$F501,"Child and Social Services",'Federal Data'!$D2:$D501,"Nongrant")</f>
        <v>384665</v>
      </c>
      <c r="U49" s="99">
        <f>'State and Local P&amp;L (detailed)'!$I$36</f>
        <v>17758459</v>
      </c>
      <c r="V49" s="99">
        <f t="shared" ref="V49:V68" si="118">SUM(T49:U49)</f>
        <v>18143124</v>
      </c>
      <c r="W49" s="95">
        <f>SUMIFS('Federal Data'!T2:T501,'Federal Data'!$F2:$F501,"Child and Social Services",'Federal Data'!$D2:$D501,"Nongrant")</f>
        <v>492702</v>
      </c>
      <c r="X49" s="99">
        <f>'State and Local P&amp;L (detailed)'!$J$36</f>
        <v>19561385</v>
      </c>
      <c r="Y49" s="99">
        <f t="shared" ref="Y49:Y68" si="119">SUM(W49:X49)</f>
        <v>20054087</v>
      </c>
      <c r="Z49" s="95">
        <f>SUMIFS('Federal Data'!U2:U501,'Federal Data'!$F2:$F501,"Child and Social Services",'Federal Data'!$D2:$D501,"Nongrant")</f>
        <v>511058</v>
      </c>
      <c r="AA49" s="99">
        <f>'State and Local P&amp;L (detailed)'!$K$36</f>
        <v>21057733</v>
      </c>
      <c r="AB49" s="99">
        <f t="shared" ref="AB49:AB68" si="120">SUM(Z49:AA49)</f>
        <v>21568791</v>
      </c>
      <c r="AC49" s="95">
        <f>SUMIFS('Federal Data'!V2:V501,'Federal Data'!$F2:$F501,"Child and Social Services",'Federal Data'!$D2:$D501,"Nongrant")</f>
        <v>578211</v>
      </c>
      <c r="AD49" s="99">
        <f>'State and Local P&amp;L (detailed)'!$L$36</f>
        <v>23134863</v>
      </c>
      <c r="AE49" s="99">
        <f t="shared" ref="AE49:AE68" si="121">SUM(AC49:AD49)</f>
        <v>23713074</v>
      </c>
      <c r="AF49" s="95">
        <f>SUMIFS('Federal Data'!W2:W501,'Federal Data'!$F2:$F501,"Child and Social Services",'Federal Data'!$D2:$D501,"Nongrant")</f>
        <v>608120</v>
      </c>
      <c r="AG49" s="99">
        <f>'State and Local P&amp;L (detailed)'!$M$36</f>
        <v>25458791</v>
      </c>
      <c r="AH49" s="99">
        <f t="shared" ref="AH49:AH68" si="122">SUM(AF49:AG49)</f>
        <v>26066911</v>
      </c>
      <c r="AI49" s="95">
        <f>SUMIFS('Federal Data'!X2:X501,'Federal Data'!$F2:$F501,"Child and Social Services",'Federal Data'!$D2:$D501,"Nongrant")</f>
        <v>662300</v>
      </c>
      <c r="AJ49" s="99">
        <f>'State and Local P&amp;L (detailed)'!$N$36</f>
        <v>28285959</v>
      </c>
      <c r="AK49" s="99">
        <f t="shared" ref="AK49:AK68" si="123">SUM(AI49:AJ49)</f>
        <v>28948259</v>
      </c>
      <c r="AL49" s="95">
        <f>SUMIFS('Federal Data'!Y2:Y501,'Federal Data'!$F2:$F501,"Child and Social Services",'Federal Data'!$D2:$D501,"Nongrant")</f>
        <v>601714</v>
      </c>
      <c r="AM49" s="99">
        <f>'State and Local P&amp;L (detailed)'!$O$36</f>
        <v>31044718</v>
      </c>
      <c r="AN49" s="99">
        <f t="shared" ref="AN49:AN68" si="124">SUM(AL49:AM49)</f>
        <v>31646432</v>
      </c>
      <c r="AO49" s="95">
        <f>SUMIFS('Federal Data'!Z2:Z501,'Federal Data'!$F2:$F501,"Child and Social Services",'Federal Data'!$D2:$D501,"Nongrant")</f>
        <v>589165</v>
      </c>
      <c r="AP49" s="99">
        <f>'State and Local P&amp;L (detailed)'!$P$36</f>
        <v>33011807</v>
      </c>
      <c r="AQ49" s="99">
        <f t="shared" ref="AQ49:AQ68" si="125">SUM(AO49:AP49)</f>
        <v>33600972</v>
      </c>
      <c r="AR49" s="95">
        <f>SUMIFS('Federal Data'!AA2:AA501,'Federal Data'!$F2:$F501,"Child and Social Services",'Federal Data'!$D2:$D501,"Nongrant")</f>
        <v>660178</v>
      </c>
      <c r="AS49" s="99">
        <f>'State and Local P&amp;L (detailed)'!$Q$36</f>
        <v>36286837</v>
      </c>
      <c r="AT49" s="99">
        <f t="shared" ref="AT49:AT68" si="126">SUM(AR49:AS49)</f>
        <v>36947015</v>
      </c>
      <c r="AU49" s="95">
        <f>SUMIFS('Federal Data'!AB2:AB501,'Federal Data'!$F2:$F501,"Child and Social Services",'Federal Data'!$D2:$D501,"Nongrant")</f>
        <v>718000</v>
      </c>
      <c r="AV49" s="99">
        <f>'State and Local P&amp;L (detailed)'!$R$36</f>
        <v>39765621</v>
      </c>
      <c r="AW49" s="99">
        <f t="shared" ref="AW49:AW68" si="127">SUM(AU49:AV49)</f>
        <v>40483621</v>
      </c>
      <c r="AX49" s="95">
        <f>SUMIFS('Federal Data'!AC2:AC501,'Federal Data'!$F2:$F501,"Child and Social Services",'Federal Data'!$D2:$D501,"Nongrant")</f>
        <v>732000</v>
      </c>
      <c r="AY49" s="99">
        <f>'State and Local P&amp;L (detailed)'!$S$36</f>
        <v>40588153</v>
      </c>
      <c r="AZ49" s="99">
        <f t="shared" ref="AZ49:AZ68" si="128">SUM(AX49:AY49)</f>
        <v>41320153</v>
      </c>
      <c r="BA49" s="95">
        <f>SUMIFS('Federal Data'!AD2:AD501,'Federal Data'!$F2:$F501,"Child and Social Services",'Federal Data'!$D2:$D501,"Nongrant")</f>
        <v>514000</v>
      </c>
      <c r="BB49" s="99">
        <f>'State and Local P&amp;L (detailed)'!$T$36</f>
        <v>42879933</v>
      </c>
      <c r="BC49" s="99">
        <f t="shared" ref="BC49:BC68" si="129">SUM(BA49:BB49)</f>
        <v>43393933</v>
      </c>
      <c r="BD49" s="95">
        <f>SUMIFS('Federal Data'!AE2:AE501,'Federal Data'!$F2:$F501,"Child and Social Services",'Federal Data'!$D2:$D501,"Nongrant")</f>
        <v>-77000</v>
      </c>
      <c r="BE49" s="99">
        <f>'State and Local P&amp;L (detailed)'!$U$36</f>
        <v>46608529</v>
      </c>
      <c r="BF49" s="99">
        <f t="shared" ref="BF49:BF68" si="130">SUM(BD49:BE49)</f>
        <v>46531529</v>
      </c>
      <c r="BG49" s="95">
        <f>SUMIFS('Federal Data'!AF2:AF501,'Federal Data'!$F2:$F501,"Child and Social Services",'Federal Data'!$D2:$D501,"Nongrant")</f>
        <v>-31000</v>
      </c>
      <c r="BH49" s="99">
        <f>'State and Local P&amp;L (detailed)'!$V$36</f>
        <v>50670102</v>
      </c>
      <c r="BI49" s="99">
        <f t="shared" ref="BI49:BI68" si="131">SUM(BG49:BH49)</f>
        <v>50639102</v>
      </c>
      <c r="BJ49" s="95">
        <f>SUMIFS('Federal Data'!AG2:AG501,'Federal Data'!$F2:$F501,"Child and Social Services",'Federal Data'!$D2:$D501,"Nongrant")</f>
        <v>78000</v>
      </c>
      <c r="BK49" s="99">
        <f>'State and Local P&amp;L (detailed)'!$W$36</f>
        <v>54372510</v>
      </c>
      <c r="BL49" s="99">
        <f t="shared" ref="BL49:BL68" si="132">SUM(BJ49:BK49)</f>
        <v>54450510</v>
      </c>
      <c r="BM49" s="95">
        <f>SUMIFS('Federal Data'!AH2:AH501,'Federal Data'!$F2:$F501,"Child and Social Services",'Federal Data'!$D2:$D501,"Nongrant")</f>
        <v>-251000</v>
      </c>
      <c r="BN49" s="99">
        <f>'State and Local P&amp;L (detailed)'!$X$36</f>
        <v>58910233</v>
      </c>
      <c r="BO49" s="99">
        <f t="shared" ref="BO49:BO68" si="133">SUM(BM49:BN49)</f>
        <v>58659233</v>
      </c>
      <c r="BP49" s="95">
        <f>SUMIFS('Federal Data'!AI2:AI501,'Federal Data'!$F2:$F501,"Child and Social Services",'Federal Data'!$D2:$D501,"Nongrant")</f>
        <v>-107000</v>
      </c>
      <c r="BQ49" s="99">
        <f>'State and Local P&amp;L (detailed)'!$Y$36</f>
        <v>64949034</v>
      </c>
      <c r="BR49" s="99">
        <f t="shared" ref="BR49:BR68" si="134">SUM(BP49:BQ49)</f>
        <v>64842034</v>
      </c>
      <c r="BS49" s="95">
        <f>SUMIFS('Federal Data'!AJ2:AJ501,'Federal Data'!$F2:$F501,"Child and Social Services",'Federal Data'!$D2:$D501,"Nongrant")</f>
        <v>23000</v>
      </c>
      <c r="BT49" s="99">
        <f>'State and Local P&amp;L (detailed)'!$Z$36</f>
        <v>67432402</v>
      </c>
      <c r="BU49" s="99">
        <f t="shared" ref="BU49:BU68" si="135">SUM(BS49:BT49)</f>
        <v>67455402</v>
      </c>
      <c r="BV49" s="95">
        <f>SUMIFS('Federal Data'!AK2:AK501,'Federal Data'!$F2:$F501,"Child and Social Services",'Federal Data'!$D2:$D501,"Nongrant")</f>
        <v>74000</v>
      </c>
      <c r="BW49" s="99">
        <f>'State and Local P&amp;L (detailed)'!$AA$36</f>
        <v>66034631</v>
      </c>
      <c r="BX49" s="99">
        <f t="shared" ref="BX49:BX68" si="136">SUM(BV49:BW49)</f>
        <v>66108631</v>
      </c>
      <c r="BY49" s="95">
        <f>SUMIFS('Federal Data'!AL2:AL501,'Federal Data'!$F2:$F501,"Child and Social Services",'Federal Data'!$D2:$D501,"Nongrant")</f>
        <v>-13000</v>
      </c>
      <c r="BZ49" s="99">
        <f>'State and Local P&amp;L (detailed)'!$AB$36</f>
        <v>63527320</v>
      </c>
      <c r="CA49" s="99">
        <f t="shared" ref="CA49:CA68" si="137">SUM(BY49:BZ49)</f>
        <v>63514320</v>
      </c>
      <c r="CB49" s="95">
        <f>SUMIFS('Federal Data'!AM2:AM501,'Federal Data'!$F2:$F501,"Child and Social Services",'Federal Data'!$D2:$D501,"Nongrant")</f>
        <v>144000</v>
      </c>
      <c r="CC49" s="99">
        <f>'State and Local P&amp;L (detailed)'!$AC$36</f>
        <v>64646091</v>
      </c>
      <c r="CD49" s="99">
        <f t="shared" ref="CD49:CD68" si="138">SUM(CB49:CC49)</f>
        <v>64790091</v>
      </c>
      <c r="CE49" s="95">
        <f>SUMIFS('Federal Data'!AN2:AN501,'Federal Data'!$F2:$F501,"Child and Social Services",'Federal Data'!$D2:$D501,"Nongrant")</f>
        <v>270000</v>
      </c>
      <c r="CF49" s="99">
        <f>'State and Local P&amp;L (detailed)'!$AD$36</f>
        <v>65443278</v>
      </c>
      <c r="CG49" s="99">
        <f t="shared" ref="CG49:CG68" si="139">SUM(CE49:CF49)</f>
        <v>65713278</v>
      </c>
      <c r="CH49" s="95">
        <f>SUMIFS('Federal Data'!AO2:AO501,'Federal Data'!$F2:$F501,"Child and Social Services",'Federal Data'!$D2:$D501,"Nongrant")</f>
        <v>220000</v>
      </c>
      <c r="CI49" s="99">
        <f>'State and Local P&amp;L (detailed)'!$AE$36</f>
        <v>68385117</v>
      </c>
      <c r="CJ49" s="99">
        <f t="shared" ref="CJ49:CJ68" si="140">SUM(CH49:CI49)</f>
        <v>68605117</v>
      </c>
      <c r="CK49" s="95">
        <f>SUMIFS('Federal Data'!AP2:AP501,'Federal Data'!$F2:$F501,"Child and Social Services",'Federal Data'!$D2:$D501,"Nongrant")</f>
        <v>246000</v>
      </c>
      <c r="CL49" s="99">
        <f>'State and Local P&amp;L (detailed)'!$AF$36</f>
        <v>71787890</v>
      </c>
      <c r="CM49" s="99">
        <f t="shared" ref="CM49:CM68" si="141">SUM(CK49:CL49)</f>
        <v>72033890</v>
      </c>
      <c r="CN49" s="95">
        <f>SUMIFS('Federal Data'!AQ2:AQ501,'Federal Data'!$F2:$F501,"Child and Social Services",'Federal Data'!$D2:$D501,"Nongrant")</f>
        <v>595000</v>
      </c>
      <c r="CO49" s="99">
        <f>'State and Local P&amp;L (detailed)'!$AG$36</f>
        <v>70677964</v>
      </c>
      <c r="CP49" s="99">
        <f t="shared" ref="CP49:CP68" si="142">SUM(CN49:CO49)</f>
        <v>71272964</v>
      </c>
      <c r="CQ49" s="95">
        <f>SUMIFS('Federal Data'!AR2:AR501,'Federal Data'!$F2:$F501,"Child and Social Services",'Federal Data'!$D2:$D501,"Nongrant")</f>
        <v>631000</v>
      </c>
      <c r="CR49" s="99">
        <f>'State and Local P&amp;L (detailed)'!$AH$36</f>
        <v>69261183</v>
      </c>
      <c r="CS49" s="99">
        <f t="shared" ref="CS49:CS68" si="143">SUM(CQ49:CR49)</f>
        <v>69892183</v>
      </c>
      <c r="CT49" s="95">
        <f>SUMIFS('Federal Data'!AS2:AS501,'Federal Data'!$F2:$F501,"Child and Social Services",'Federal Data'!$D2:$D501,"Nongrant")</f>
        <v>548000</v>
      </c>
      <c r="CU49" s="99">
        <f>'State and Local P&amp;L (detailed)'!$AI$36</f>
        <v>68788573</v>
      </c>
      <c r="CV49" s="99">
        <f t="shared" ref="CV49:CV68" si="144">SUM(CT49:CU49)</f>
        <v>69336573</v>
      </c>
      <c r="CW49" s="95">
        <f>SUMIFS('Federal Data'!AT2:AT501,'Federal Data'!$F2:$F501,"Child and Social Services",'Federal Data'!$D2:$D501,"Nongrant")</f>
        <v>485000</v>
      </c>
      <c r="CX49" s="99">
        <f>'State and Local P&amp;L (detailed)'!$AJ$36</f>
        <v>70023572</v>
      </c>
      <c r="CY49" s="99">
        <f t="shared" ref="CY49:CY68" si="145">SUM(CW49:CX49)</f>
        <v>70508572</v>
      </c>
      <c r="CZ49" s="95">
        <f>SUMIFS('Federal Data'!AU2:AU501,'Federal Data'!$F2:$F501,"Child and Social Services",'Federal Data'!$D2:$D501,"Nongrant")</f>
        <v>616000</v>
      </c>
      <c r="DA49" s="99">
        <f>'State and Local P&amp;L (detailed)'!$AK$36</f>
        <v>72981522</v>
      </c>
      <c r="DB49" s="99">
        <f t="shared" ref="DB49:DB68" si="146">SUM(CZ49:DA49)</f>
        <v>73597522</v>
      </c>
      <c r="DC49" s="41">
        <f>SUMIFS('Federal Data'!AV2:AV501,'Federal Data'!$F2:$F501,"Child and Social Services",'Federal Data'!$D2:$D501,"Nongrant")</f>
        <v>581000</v>
      </c>
      <c r="DD49" s="81">
        <f>'State and Local P&amp;L (detailed)'!$AL$36</f>
        <v>0</v>
      </c>
      <c r="DE49" s="81">
        <f t="shared" ref="DE49:DE68" si="147">SUM(DC49:DD49)</f>
        <v>581000</v>
      </c>
    </row>
    <row r="50" spans="1:109">
      <c r="A50" s="45" t="s">
        <v>35</v>
      </c>
      <c r="B50" s="96">
        <f>SUMIFS('Federal Data'!M2:M501,'Federal Data'!$E2:$E501,"Common Defense",'Federal Data'!$D2:$D501,"Nongrant")</f>
        <v>168571621</v>
      </c>
      <c r="C50" s="104">
        <f>'State and Local P&amp;L (detailed)'!$C$37</f>
        <v>60951</v>
      </c>
      <c r="D50" s="104">
        <f t="shared" si="112"/>
        <v>168632572</v>
      </c>
      <c r="E50" s="96">
        <f>SUMIFS('Federal Data'!N2:N501,'Federal Data'!$E2:$E501,"Common Defense",'Federal Data'!$D2:$D501,"Nongrant")</f>
        <v>194400505</v>
      </c>
      <c r="F50" s="104">
        <f>'State and Local P&amp;L (detailed)'!$D$37</f>
        <v>56969</v>
      </c>
      <c r="G50" s="104">
        <f t="shared" si="113"/>
        <v>194457474</v>
      </c>
      <c r="H50" s="96">
        <f>SUMIFS('Federal Data'!O2:O501,'Federal Data'!$E2:$E501,"Common Defense",'Federal Data'!$D2:$D501,"Nongrant")</f>
        <v>222423450</v>
      </c>
      <c r="I50" s="104">
        <f>'State and Local P&amp;L (detailed)'!$E$37</f>
        <v>63798</v>
      </c>
      <c r="J50" s="104">
        <f t="shared" si="114"/>
        <v>222487248</v>
      </c>
      <c r="K50" s="96">
        <f>SUMIFS('Federal Data'!P2:P501,'Federal Data'!$E2:$E501,"Common Defense",'Federal Data'!$D2:$D501,"Nongrant")</f>
        <v>247554223</v>
      </c>
      <c r="L50" s="104">
        <f>'State and Local P&amp;L (detailed)'!$F$37</f>
        <v>74688</v>
      </c>
      <c r="M50" s="104">
        <f t="shared" si="115"/>
        <v>247628911</v>
      </c>
      <c r="N50" s="96">
        <f>SUMIFS('Federal Data'!Q2:Q501,'Federal Data'!$E2:$E501,"Common Defense",'Federal Data'!$D2:$D501,"Nongrant")</f>
        <v>269902036</v>
      </c>
      <c r="O50" s="104">
        <f>'State and Local P&amp;L (detailed)'!$G$37</f>
        <v>98572</v>
      </c>
      <c r="P50" s="104">
        <f t="shared" si="116"/>
        <v>270000608</v>
      </c>
      <c r="Q50" s="96">
        <f>SUMIFS('Federal Data'!R2:R501,'Federal Data'!$E2:$E501,"Common Defense",'Federal Data'!$D2:$D501,"Nongrant")</f>
        <v>296212911</v>
      </c>
      <c r="R50" s="104">
        <f>'State and Local P&amp;L (detailed)'!$H$37</f>
        <v>112881</v>
      </c>
      <c r="S50" s="104">
        <f t="shared" si="117"/>
        <v>296325792</v>
      </c>
      <c r="T50" s="96">
        <f>SUMIFS('Federal Data'!S2:S501,'Federal Data'!$E2:$E501,"Common Defense",'Federal Data'!$D2:$D501,"Nongrant")</f>
        <v>314945187</v>
      </c>
      <c r="U50" s="104">
        <f>'State and Local P&amp;L (detailed)'!$I$37</f>
        <v>121785</v>
      </c>
      <c r="V50" s="104">
        <f t="shared" si="118"/>
        <v>315066972</v>
      </c>
      <c r="W50" s="96">
        <f>SUMIFS('Federal Data'!T2:T501,'Federal Data'!$E2:$E501,"Common Defense",'Federal Data'!$D2:$D501,"Nongrant")</f>
        <v>321789665</v>
      </c>
      <c r="X50" s="104">
        <f>'State and Local P&amp;L (detailed)'!$J$37</f>
        <v>129454</v>
      </c>
      <c r="Y50" s="104">
        <f t="shared" si="119"/>
        <v>321919119</v>
      </c>
      <c r="Z50" s="96">
        <f>SUMIFS('Federal Data'!U2:U501,'Federal Data'!$E2:$E501,"Common Defense",'Federal Data'!$D2:$D501,"Nongrant")</f>
        <v>332164297</v>
      </c>
      <c r="AA50" s="104">
        <f>'State and Local P&amp;L (detailed)'!$K$37</f>
        <v>134281</v>
      </c>
      <c r="AB50" s="104">
        <f t="shared" si="120"/>
        <v>332298578</v>
      </c>
      <c r="AC50" s="96">
        <f>SUMIFS('Federal Data'!V2:V501,'Federal Data'!$E2:$E501,"Common Defense",'Federal Data'!$D2:$D501,"Nongrant")</f>
        <v>344451433</v>
      </c>
      <c r="AD50" s="104">
        <f>'State and Local P&amp;L (detailed)'!$L$37</f>
        <v>146198</v>
      </c>
      <c r="AE50" s="104">
        <f t="shared" si="121"/>
        <v>344597631</v>
      </c>
      <c r="AF50" s="96">
        <f>SUMIFS('Federal Data'!W2:W501,'Federal Data'!$E2:$E501,"Common Defense",'Federal Data'!$D2:$D501,"Nongrant")</f>
        <v>343101182</v>
      </c>
      <c r="AG50" s="104">
        <f>'State and Local P&amp;L (detailed)'!$M$37</f>
        <v>151682</v>
      </c>
      <c r="AH50" s="104">
        <f t="shared" si="122"/>
        <v>343252864</v>
      </c>
      <c r="AI50" s="96">
        <f>SUMIFS('Federal Data'!X2:X501,'Federal Data'!$E2:$E501,"Common Defense",'Federal Data'!$D2:$D501,"Nongrant")</f>
        <v>321823850</v>
      </c>
      <c r="AJ50" s="104">
        <f>'State and Local P&amp;L (detailed)'!$N$37</f>
        <v>157313</v>
      </c>
      <c r="AK50" s="104">
        <f t="shared" si="123"/>
        <v>321981163</v>
      </c>
      <c r="AL50" s="96">
        <f>SUMIFS('Federal Data'!Y2:Y501,'Federal Data'!$E2:$E501,"Common Defense",'Federal Data'!$D2:$D501,"Nongrant")</f>
        <v>349937694</v>
      </c>
      <c r="AM50" s="104">
        <f>'State and Local P&amp;L (detailed)'!$O$37</f>
        <v>170014</v>
      </c>
      <c r="AN50" s="104">
        <f t="shared" si="124"/>
        <v>350107708</v>
      </c>
      <c r="AO50" s="96">
        <f>SUMIFS('Federal Data'!Z2:Z501,'Federal Data'!$E2:$E501,"Common Defense",'Federal Data'!$D2:$D501,"Nongrant")</f>
        <v>345611954</v>
      </c>
      <c r="AP50" s="104">
        <f>'State and Local P&amp;L (detailed)'!$P$37</f>
        <v>164681</v>
      </c>
      <c r="AQ50" s="104">
        <f t="shared" si="125"/>
        <v>345776635</v>
      </c>
      <c r="AR50" s="96">
        <f>SUMIFS('Federal Data'!AA2:AA501,'Federal Data'!$E2:$E501,"Common Defense",'Federal Data'!$D2:$D501,"Nongrant")</f>
        <v>337854378</v>
      </c>
      <c r="AS50" s="104">
        <f>'State and Local P&amp;L (detailed)'!$Q$37</f>
        <v>179076</v>
      </c>
      <c r="AT50" s="104">
        <f t="shared" si="126"/>
        <v>338033454</v>
      </c>
      <c r="AU50" s="96">
        <f>SUMIFS('Federal Data'!AB2:AB501,'Federal Data'!$E2:$E501,"Common Defense",'Federal Data'!$D2:$D501,"Nongrant")</f>
        <v>327698000</v>
      </c>
      <c r="AV50" s="104">
        <f>'State and Local P&amp;L (detailed)'!$R$37</f>
        <v>206109</v>
      </c>
      <c r="AW50" s="104">
        <f t="shared" si="127"/>
        <v>327904109</v>
      </c>
      <c r="AX50" s="96">
        <f>SUMIFS('Federal Data'!AC2:AC501,'Federal Data'!$E2:$E501,"Common Defense",'Federal Data'!$D2:$D501,"Nongrant")</f>
        <v>317866000</v>
      </c>
      <c r="AY50" s="104">
        <f>'State and Local P&amp;L (detailed)'!$S$37</f>
        <v>225645</v>
      </c>
      <c r="AZ50" s="104">
        <f t="shared" si="128"/>
        <v>318091645</v>
      </c>
      <c r="BA50" s="96">
        <f>SUMIFS('Federal Data'!AD2:AD501,'Federal Data'!$E2:$E501,"Common Defense",'Federal Data'!$D2:$D501,"Nongrant")</f>
        <v>326998000</v>
      </c>
      <c r="BB50" s="104">
        <f>'State and Local P&amp;L (detailed)'!$T$37</f>
        <v>243188</v>
      </c>
      <c r="BC50" s="104">
        <f t="shared" si="129"/>
        <v>327241188</v>
      </c>
      <c r="BD50" s="96">
        <f>SUMIFS('Federal Data'!AE2:AE501,'Federal Data'!$E2:$E501,"Common Defense",'Federal Data'!$D2:$D501,"Nongrant")</f>
        <v>326063000</v>
      </c>
      <c r="BE50" s="104">
        <f>'State and Local P&amp;L (detailed)'!$U$37</f>
        <v>288331</v>
      </c>
      <c r="BF50" s="104">
        <f t="shared" si="130"/>
        <v>326351331</v>
      </c>
      <c r="BG50" s="96">
        <f>SUMIFS('Federal Data'!AF2:AF501,'Federal Data'!$E2:$E501,"Common Defense",'Federal Data'!$D2:$D501,"Nongrant")</f>
        <v>336432000</v>
      </c>
      <c r="BH50" s="104">
        <f>'State and Local P&amp;L (detailed)'!$V$37</f>
        <v>283242</v>
      </c>
      <c r="BI50" s="104">
        <f t="shared" si="131"/>
        <v>336715242</v>
      </c>
      <c r="BJ50" s="96">
        <f>SUMIFS('Federal Data'!AG2:AG501,'Federal Data'!$E2:$E501,"Common Defense",'Federal Data'!$D2:$D501,"Nongrant")</f>
        <v>362035000</v>
      </c>
      <c r="BK50" s="104">
        <f>'State and Local P&amp;L (detailed)'!$W$37</f>
        <v>356552</v>
      </c>
      <c r="BL50" s="104">
        <f t="shared" si="132"/>
        <v>362391552</v>
      </c>
      <c r="BM50" s="96">
        <f>SUMIFS('Federal Data'!AH2:AH501,'Federal Data'!$E2:$E501,"Common Defense",'Federal Data'!$D2:$D501,"Nongrant")</f>
        <v>369677000</v>
      </c>
      <c r="BN50" s="104">
        <f>'State and Local P&amp;L (detailed)'!$X$37</f>
        <v>336520</v>
      </c>
      <c r="BO50" s="104">
        <f t="shared" si="133"/>
        <v>370013520</v>
      </c>
      <c r="BP50" s="96">
        <f>SUMIFS('Federal Data'!AI2:AI501,'Federal Data'!$E2:$E501,"Common Defense",'Federal Data'!$D2:$D501,"Nongrant")</f>
        <v>426928000</v>
      </c>
      <c r="BQ50" s="104">
        <f>'State and Local P&amp;L (detailed)'!$Y$37</f>
        <v>361190</v>
      </c>
      <c r="BR50" s="104">
        <f t="shared" si="134"/>
        <v>427289190</v>
      </c>
      <c r="BS50" s="96">
        <f>SUMIFS('Federal Data'!AJ2:AJ501,'Federal Data'!$E2:$E501,"Common Defense",'Federal Data'!$D2:$D501,"Nongrant")</f>
        <v>488105000</v>
      </c>
      <c r="BT50" s="104">
        <f>'State and Local P&amp;L (detailed)'!$Z$37</f>
        <v>1016563</v>
      </c>
      <c r="BU50" s="104">
        <f t="shared" si="135"/>
        <v>489121563</v>
      </c>
      <c r="BV50" s="96">
        <f>SUMIFS('Federal Data'!AK2:AK501,'Federal Data'!$E2:$E501,"Common Defense",'Federal Data'!$D2:$D501,"Nongrant")</f>
        <v>548848000</v>
      </c>
      <c r="BW50" s="104">
        <f>'State and Local P&amp;L (detailed)'!$AA$37</f>
        <v>1503822</v>
      </c>
      <c r="BX50" s="104">
        <f t="shared" si="136"/>
        <v>550351822</v>
      </c>
      <c r="BY50" s="96">
        <f>SUMIFS('Federal Data'!AL2:AL501,'Federal Data'!$E2:$E501,"Common Defense",'Federal Data'!$D2:$D501,"Nongrant")</f>
        <v>606411000</v>
      </c>
      <c r="BZ50" s="104">
        <f>'State and Local P&amp;L (detailed)'!$AB$37</f>
        <v>1188935</v>
      </c>
      <c r="CA50" s="104">
        <f t="shared" si="137"/>
        <v>607599935</v>
      </c>
      <c r="CB50" s="96">
        <f>SUMIFS('Federal Data'!AM2:AM501,'Federal Data'!$E2:$E501,"Common Defense",'Federal Data'!$D2:$D501,"Nongrant")</f>
        <v>628161000</v>
      </c>
      <c r="CC50" s="104">
        <f>'State and Local P&amp;L (detailed)'!$AC$37</f>
        <v>992146</v>
      </c>
      <c r="CD50" s="104">
        <f t="shared" si="138"/>
        <v>629153146</v>
      </c>
      <c r="CE50" s="96">
        <f>SUMIFS('Federal Data'!AN2:AN501,'Federal Data'!$E2:$E501,"Common Defense",'Federal Data'!$D2:$D501,"Nongrant")</f>
        <v>660571000</v>
      </c>
      <c r="CF50" s="104">
        <f>'State and Local P&amp;L (detailed)'!$AD$37</f>
        <v>1030506</v>
      </c>
      <c r="CG50" s="104">
        <f t="shared" si="139"/>
        <v>661601506</v>
      </c>
      <c r="CH50" s="96">
        <f>SUMIFS('Federal Data'!AO2:AO501,'Federal Data'!$E2:$E501,"Common Defense",'Federal Data'!$D2:$D501,"Nongrant")</f>
        <v>740148000</v>
      </c>
      <c r="CI50" s="104">
        <f>'State and Local P&amp;L (detailed)'!$AE$37</f>
        <v>1080399</v>
      </c>
      <c r="CJ50" s="104">
        <f t="shared" si="140"/>
        <v>741228399</v>
      </c>
      <c r="CK50" s="96">
        <f>SUMIFS('Federal Data'!AP2:AP501,'Federal Data'!$E2:$E501,"Common Defense",'Federal Data'!$D2:$D501,"Nongrant")</f>
        <v>808463000</v>
      </c>
      <c r="CL50" s="104">
        <f>'State and Local P&amp;L (detailed)'!$AF$37</f>
        <v>933222</v>
      </c>
      <c r="CM50" s="104">
        <f t="shared" si="141"/>
        <v>809396222</v>
      </c>
      <c r="CN50" s="96">
        <f>SUMIFS('Federal Data'!AQ2:AQ501,'Federal Data'!$E2:$E501,"Common Defense",'Federal Data'!$D2:$D501,"Nongrant")</f>
        <v>860670000</v>
      </c>
      <c r="CO50" s="104">
        <f>'State and Local P&amp;L (detailed)'!$AG$37</f>
        <v>793609</v>
      </c>
      <c r="CP50" s="104">
        <f t="shared" si="142"/>
        <v>861463609</v>
      </c>
      <c r="CQ50" s="96">
        <f>SUMIFS('Federal Data'!AR2:AR501,'Federal Data'!$E2:$E501,"Common Defense",'Federal Data'!$D2:$D501,"Nongrant")</f>
        <v>892003000</v>
      </c>
      <c r="CR50" s="104">
        <f>'State and Local P&amp;L (detailed)'!$AH$37</f>
        <v>927042</v>
      </c>
      <c r="CS50" s="104">
        <f t="shared" si="143"/>
        <v>892930042</v>
      </c>
      <c r="CT50" s="96">
        <f>SUMIFS('Federal Data'!AS2:AS501,'Federal Data'!$E2:$E501,"Common Defense",'Federal Data'!$D2:$D501,"Nongrant")</f>
        <v>863054000</v>
      </c>
      <c r="CU50" s="104">
        <f>'State and Local P&amp;L (detailed)'!$AI$37</f>
        <v>838031</v>
      </c>
      <c r="CV50" s="104">
        <f t="shared" si="144"/>
        <v>863892031</v>
      </c>
      <c r="CW50" s="96">
        <f>SUMIFS('Federal Data'!AT2:AT501,'Federal Data'!$E2:$E501,"Common Defense",'Federal Data'!$D2:$D501,"Nongrant")</f>
        <v>831329000</v>
      </c>
      <c r="CX50" s="104">
        <f>'State and Local P&amp;L (detailed)'!$AJ$37</f>
        <v>1024498</v>
      </c>
      <c r="CY50" s="104">
        <f t="shared" si="145"/>
        <v>832353498</v>
      </c>
      <c r="CZ50" s="96">
        <f>SUMIFS('Federal Data'!AU2:AU501,'Federal Data'!$E2:$E501,"Common Defense",'Federal Data'!$D2:$D501,"Nongrant")</f>
        <v>811964000</v>
      </c>
      <c r="DA50" s="104">
        <f>'State and Local P&amp;L (detailed)'!$AK$37</f>
        <v>1059763</v>
      </c>
      <c r="DB50" s="104">
        <f t="shared" si="146"/>
        <v>813023763</v>
      </c>
      <c r="DC50" s="46">
        <f>SUMIFS('Federal Data'!AV2:AV501,'Federal Data'!$E2:$E501,"Common Defense",'Federal Data'!$D2:$D501,"Nongrant")</f>
        <v>809837000</v>
      </c>
      <c r="DD50" s="89">
        <f>'State and Local P&amp;L (detailed)'!$AL$37</f>
        <v>0</v>
      </c>
      <c r="DE50" s="89">
        <f t="shared" si="147"/>
        <v>809837000</v>
      </c>
    </row>
    <row r="51" spans="1:109" outlineLevel="1">
      <c r="A51" s="28" t="s">
        <v>23</v>
      </c>
      <c r="B51" s="94">
        <f>SUMIFS('Federal Data'!M2:M501,'Federal Data'!$F2:$F501,"National Defense and Support for Veterans",'Federal Data'!$D2:$D501,"Nongrant")</f>
        <v>154981105</v>
      </c>
      <c r="C51" s="101">
        <f>'State and Local P&amp;L (detailed)'!$C$38</f>
        <v>60951</v>
      </c>
      <c r="D51" s="101">
        <f t="shared" si="112"/>
        <v>155042056</v>
      </c>
      <c r="E51" s="94">
        <f>SUMIFS('Federal Data'!N2:N501,'Federal Data'!$F2:$F501,"National Defense and Support for Veterans",'Federal Data'!$D2:$D501,"Nongrant")</f>
        <v>180336306</v>
      </c>
      <c r="F51" s="101">
        <f>'State and Local P&amp;L (detailed)'!$D$38</f>
        <v>56969</v>
      </c>
      <c r="G51" s="101">
        <f t="shared" si="113"/>
        <v>180393275</v>
      </c>
      <c r="H51" s="94">
        <f>SUMIFS('Federal Data'!O2:O501,'Federal Data'!$F2:$F501,"National Defense and Support for Veterans",'Federal Data'!$D2:$D501,"Nongrant")</f>
        <v>209116335</v>
      </c>
      <c r="I51" s="101">
        <f>'State and Local P&amp;L (detailed)'!$E$38</f>
        <v>63798</v>
      </c>
      <c r="J51" s="101">
        <f t="shared" si="114"/>
        <v>209180133</v>
      </c>
      <c r="K51" s="94">
        <f>SUMIFS('Federal Data'!P2:P501,'Federal Data'!$F2:$F501,"National Defense and Support for Veterans",'Federal Data'!$D2:$D501,"Nongrant")</f>
        <v>234574167</v>
      </c>
      <c r="L51" s="101">
        <f>'State and Local P&amp;L (detailed)'!$F$38</f>
        <v>74688</v>
      </c>
      <c r="M51" s="101">
        <f t="shared" si="115"/>
        <v>234648855</v>
      </c>
      <c r="N51" s="94">
        <f>SUMIFS('Federal Data'!Q2:Q501,'Federal Data'!$F2:$F501,"National Defense and Support for Veterans",'Federal Data'!$D2:$D501,"Nongrant")</f>
        <v>252824275</v>
      </c>
      <c r="O51" s="101">
        <f>'State and Local P&amp;L (detailed)'!$G$38</f>
        <v>98572</v>
      </c>
      <c r="P51" s="101">
        <f t="shared" si="116"/>
        <v>252922847</v>
      </c>
      <c r="Q51" s="94">
        <f>SUMIFS('Federal Data'!R2:R501,'Federal Data'!$F2:$F501,"National Defense and Support for Veterans",'Federal Data'!$D2:$D501,"Nongrant")</f>
        <v>278745989</v>
      </c>
      <c r="R51" s="101">
        <f>'State and Local P&amp;L (detailed)'!$H$38</f>
        <v>112881</v>
      </c>
      <c r="S51" s="101">
        <f t="shared" si="117"/>
        <v>278858870</v>
      </c>
      <c r="T51" s="94">
        <f>SUMIFS('Federal Data'!S2:S501,'Federal Data'!$F2:$F501,"National Defense and Support for Veterans",'Federal Data'!$D2:$D501,"Nongrant")</f>
        <v>299420554</v>
      </c>
      <c r="U51" s="101">
        <f>'State and Local P&amp;L (detailed)'!$I$38</f>
        <v>121785</v>
      </c>
      <c r="V51" s="101">
        <f t="shared" si="118"/>
        <v>299542339</v>
      </c>
      <c r="W51" s="94">
        <f>SUMIFS('Federal Data'!T2:T501,'Federal Data'!$F2:$F501,"National Defense and Support for Veterans",'Federal Data'!$D2:$D501,"Nongrant")</f>
        <v>308436321</v>
      </c>
      <c r="X51" s="101">
        <f>'State and Local P&amp;L (detailed)'!$J$38</f>
        <v>129454</v>
      </c>
      <c r="Y51" s="101">
        <f t="shared" si="119"/>
        <v>308565775</v>
      </c>
      <c r="Z51" s="94">
        <f>SUMIFS('Federal Data'!U2:U501,'Federal Data'!$F2:$F501,"National Defense and Support for Veterans",'Federal Data'!$D2:$D501,"Nongrant")</f>
        <v>319432695</v>
      </c>
      <c r="AA51" s="101">
        <f>'State and Local P&amp;L (detailed)'!$K$38</f>
        <v>134281</v>
      </c>
      <c r="AB51" s="101">
        <f t="shared" si="120"/>
        <v>319566976</v>
      </c>
      <c r="AC51" s="94">
        <f>SUMIFS('Federal Data'!V2:V501,'Federal Data'!$F2:$F501,"National Defense and Support for Veterans",'Federal Data'!$D2:$D501,"Nongrant")</f>
        <v>333177369</v>
      </c>
      <c r="AD51" s="101">
        <f>'State and Local P&amp;L (detailed)'!$L$38</f>
        <v>146198</v>
      </c>
      <c r="AE51" s="101">
        <f t="shared" si="121"/>
        <v>333323567</v>
      </c>
      <c r="AF51" s="94">
        <f>SUMIFS('Federal Data'!W2:W501,'Federal Data'!$F2:$F501,"National Defense and Support for Veterans",'Federal Data'!$D2:$D501,"Nongrant")</f>
        <v>327979751</v>
      </c>
      <c r="AG51" s="101">
        <f>'State and Local P&amp;L (detailed)'!$M$38</f>
        <v>151682</v>
      </c>
      <c r="AH51" s="101">
        <f t="shared" si="122"/>
        <v>328131433</v>
      </c>
      <c r="AI51" s="94">
        <f>SUMIFS('Federal Data'!X2:X501,'Federal Data'!$F2:$F501,"National Defense and Support for Veterans",'Federal Data'!$D2:$D501,"Nongrant")</f>
        <v>304234726</v>
      </c>
      <c r="AJ51" s="101">
        <f>'State and Local P&amp;L (detailed)'!$N$38</f>
        <v>157313</v>
      </c>
      <c r="AK51" s="101">
        <f t="shared" si="123"/>
        <v>304392039</v>
      </c>
      <c r="AL51" s="94">
        <f>SUMIFS('Federal Data'!Y2:Y501,'Federal Data'!$F2:$F501,"National Defense and Support for Veterans",'Federal Data'!$D2:$D501,"Nongrant")</f>
        <v>331901297</v>
      </c>
      <c r="AM51" s="101">
        <f>'State and Local P&amp;L (detailed)'!$O$38</f>
        <v>170014</v>
      </c>
      <c r="AN51" s="101">
        <f t="shared" si="124"/>
        <v>332071311</v>
      </c>
      <c r="AO51" s="94">
        <f>SUMIFS('Federal Data'!Z2:Z501,'Federal Data'!$F2:$F501,"National Defense and Support for Veterans",'Federal Data'!$D2:$D501,"Nongrant")</f>
        <v>326384371</v>
      </c>
      <c r="AP51" s="101">
        <f>'State and Local P&amp;L (detailed)'!$P$38</f>
        <v>164681</v>
      </c>
      <c r="AQ51" s="101">
        <f t="shared" si="125"/>
        <v>326549052</v>
      </c>
      <c r="AR51" s="94">
        <f>SUMIFS('Federal Data'!AA2:AA501,'Federal Data'!$F2:$F501,"National Defense and Support for Veterans",'Federal Data'!$D2:$D501,"Nongrant")</f>
        <v>318830505</v>
      </c>
      <c r="AS51" s="101">
        <f>'State and Local P&amp;L (detailed)'!$Q$38</f>
        <v>179076</v>
      </c>
      <c r="AT51" s="101">
        <f t="shared" si="126"/>
        <v>319009581</v>
      </c>
      <c r="AU51" s="94">
        <f>SUMIFS('Federal Data'!AB2:AB501,'Federal Data'!$F2:$F501,"National Defense and Support for Veterans",'Federal Data'!$D2:$D501,"Nongrant")</f>
        <v>309604000</v>
      </c>
      <c r="AV51" s="101">
        <f>'State and Local P&amp;L (detailed)'!$R$38</f>
        <v>206109</v>
      </c>
      <c r="AW51" s="101">
        <f t="shared" si="127"/>
        <v>309810109</v>
      </c>
      <c r="AX51" s="94">
        <f>SUMIFS('Federal Data'!AC2:AC501,'Federal Data'!$F2:$F501,"National Defense and Support for Veterans",'Federal Data'!$D2:$D501,"Nongrant")</f>
        <v>302400000</v>
      </c>
      <c r="AY51" s="101">
        <f>'State and Local P&amp;L (detailed)'!$S$38</f>
        <v>225645</v>
      </c>
      <c r="AZ51" s="101">
        <f t="shared" si="128"/>
        <v>302625645</v>
      </c>
      <c r="BA51" s="94">
        <f>SUMIFS('Federal Data'!AD2:AD501,'Federal Data'!$F2:$F501,"National Defense and Support for Veterans",'Federal Data'!$D2:$D501,"Nongrant")</f>
        <v>309508000</v>
      </c>
      <c r="BB51" s="101">
        <f>'State and Local P&amp;L (detailed)'!$T$38</f>
        <v>243188</v>
      </c>
      <c r="BC51" s="101">
        <f t="shared" si="129"/>
        <v>309751188</v>
      </c>
      <c r="BD51" s="94">
        <f>SUMIFS('Federal Data'!AE2:AE501,'Federal Data'!$F2:$F501,"National Defense and Support for Veterans",'Federal Data'!$D2:$D501,"Nongrant")</f>
        <v>309635000</v>
      </c>
      <c r="BE51" s="101">
        <f>'State and Local P&amp;L (detailed)'!$U$38</f>
        <v>288331</v>
      </c>
      <c r="BF51" s="101">
        <f t="shared" si="130"/>
        <v>309923331</v>
      </c>
      <c r="BG51" s="94">
        <f>SUMIFS('Federal Data'!AF2:AF501,'Federal Data'!$F2:$F501,"National Defense and Support for Veterans",'Federal Data'!$D2:$D501,"Nongrant")</f>
        <v>317606000</v>
      </c>
      <c r="BH51" s="101">
        <f>'State and Local P&amp;L (detailed)'!$V$38</f>
        <v>283242</v>
      </c>
      <c r="BI51" s="101">
        <f t="shared" si="131"/>
        <v>317889242</v>
      </c>
      <c r="BJ51" s="94">
        <f>SUMIFS('Federal Data'!AG2:AG501,'Federal Data'!$F2:$F501,"National Defense and Support for Veterans",'Federal Data'!$D2:$D501,"Nongrant")</f>
        <v>340916000</v>
      </c>
      <c r="BK51" s="101">
        <f>'State and Local P&amp;L (detailed)'!$W$38</f>
        <v>356552</v>
      </c>
      <c r="BL51" s="101">
        <f t="shared" si="132"/>
        <v>341272552</v>
      </c>
      <c r="BM51" s="94">
        <f>SUMIFS('Federal Data'!AH2:AH501,'Federal Data'!$F2:$F501,"National Defense and Support for Veterans",'Federal Data'!$D2:$D501,"Nongrant")</f>
        <v>349254000</v>
      </c>
      <c r="BN51" s="101">
        <f>'State and Local P&amp;L (detailed)'!$X$38</f>
        <v>336520</v>
      </c>
      <c r="BO51" s="101">
        <f t="shared" si="133"/>
        <v>349590520</v>
      </c>
      <c r="BP51" s="94">
        <f>SUMIFS('Federal Data'!AI2:AI501,'Federal Data'!$F2:$F501,"National Defense and Support for Veterans",'Federal Data'!$D2:$D501,"Nongrant")</f>
        <v>398906000</v>
      </c>
      <c r="BQ51" s="101">
        <f>'State and Local P&amp;L (detailed)'!$Y$38</f>
        <v>361190</v>
      </c>
      <c r="BR51" s="101">
        <f t="shared" si="134"/>
        <v>399267190</v>
      </c>
      <c r="BS51" s="94">
        <f>SUMIFS('Federal Data'!AJ2:AJ501,'Federal Data'!$F2:$F501,"National Defense and Support for Veterans",'Federal Data'!$D2:$D501,"Nongrant")</f>
        <v>461289000</v>
      </c>
      <c r="BT51" s="101">
        <f>'State and Local P&amp;L (detailed)'!$Z$38</f>
        <v>1016563</v>
      </c>
      <c r="BU51" s="101">
        <f t="shared" si="135"/>
        <v>462305563</v>
      </c>
      <c r="BV51" s="94">
        <f>SUMIFS('Federal Data'!AK2:AK501,'Federal Data'!$F2:$F501,"National Defense and Support for Veterans",'Federal Data'!$D2:$D501,"Nongrant")</f>
        <v>515066000</v>
      </c>
      <c r="BW51" s="101">
        <f>'State and Local P&amp;L (detailed)'!$AA$38</f>
        <v>1503822</v>
      </c>
      <c r="BX51" s="101">
        <f t="shared" si="136"/>
        <v>516569822</v>
      </c>
      <c r="BY51" s="94">
        <f>SUMIFS('Federal Data'!AL2:AL501,'Federal Data'!$F2:$F501,"National Defense and Support for Veterans",'Federal Data'!$D2:$D501,"Nongrant")</f>
        <v>564860000</v>
      </c>
      <c r="BZ51" s="101">
        <f>'State and Local P&amp;L (detailed)'!$AB$38</f>
        <v>1188935</v>
      </c>
      <c r="CA51" s="101">
        <f t="shared" si="137"/>
        <v>566048935</v>
      </c>
      <c r="CB51" s="94">
        <f>SUMIFS('Federal Data'!AM2:AM501,'Federal Data'!$F2:$F501,"National Defense and Support for Veterans",'Federal Data'!$D2:$D501,"Nongrant")</f>
        <v>591004000</v>
      </c>
      <c r="CC51" s="101">
        <f>'State and Local P&amp;L (detailed)'!$AC$38</f>
        <v>992146</v>
      </c>
      <c r="CD51" s="101">
        <f t="shared" si="138"/>
        <v>591996146</v>
      </c>
      <c r="CE51" s="94">
        <f>SUMIFS('Federal Data'!AN2:AN501,'Federal Data'!$F2:$F501,"National Defense and Support for Veterans",'Federal Data'!$D2:$D501,"Nongrant")</f>
        <v>623437000</v>
      </c>
      <c r="CF51" s="101">
        <f>'State and Local P&amp;L (detailed)'!$AD$38</f>
        <v>1030506</v>
      </c>
      <c r="CG51" s="101">
        <f t="shared" si="139"/>
        <v>624467506</v>
      </c>
      <c r="CH51" s="94">
        <f>SUMIFS('Federal Data'!AO2:AO501,'Federal Data'!$F2:$F501,"National Defense and Support for Veterans",'Federal Data'!$D2:$D501,"Nongrant")</f>
        <v>700023000</v>
      </c>
      <c r="CI51" s="101">
        <f>'State and Local P&amp;L (detailed)'!$AE$38</f>
        <v>1080399</v>
      </c>
      <c r="CJ51" s="101">
        <f t="shared" si="140"/>
        <v>701103399</v>
      </c>
      <c r="CK51" s="94">
        <f>SUMIFS('Federal Data'!AP2:AP501,'Federal Data'!$F2:$F501,"National Defense and Support for Veterans",'Federal Data'!$D2:$D501,"Nongrant")</f>
        <v>755632000</v>
      </c>
      <c r="CL51" s="101">
        <f>'State and Local P&amp;L (detailed)'!$AF$38</f>
        <v>933222</v>
      </c>
      <c r="CM51" s="101">
        <f t="shared" si="141"/>
        <v>756565222</v>
      </c>
      <c r="CN51" s="94">
        <f>SUMIFS('Federal Data'!AQ2:AQ501,'Federal Data'!$F2:$F501,"National Defense and Support for Veterans",'Federal Data'!$D2:$D501,"Nongrant")</f>
        <v>801033000</v>
      </c>
      <c r="CO51" s="101">
        <f>'State and Local P&amp;L (detailed)'!$AG$38</f>
        <v>793609</v>
      </c>
      <c r="CP51" s="101">
        <f t="shared" si="142"/>
        <v>801826609</v>
      </c>
      <c r="CQ51" s="94">
        <f>SUMIFS('Federal Data'!AR2:AR501,'Federal Data'!$F2:$F501,"National Defense and Support for Veterans",'Federal Data'!$D2:$D501,"Nongrant")</f>
        <v>831747000</v>
      </c>
      <c r="CR51" s="101">
        <f>'State and Local P&amp;L (detailed)'!$AH$38</f>
        <v>927042</v>
      </c>
      <c r="CS51" s="101">
        <f t="shared" si="143"/>
        <v>832674042</v>
      </c>
      <c r="CT51" s="94">
        <f>SUMIFS('Federal Data'!AS2:AS501,'Federal Data'!$F2:$F501,"National Defense and Support for Veterans",'Federal Data'!$D2:$D501,"Nongrant")</f>
        <v>801366000</v>
      </c>
      <c r="CU51" s="101">
        <f>'State and Local P&amp;L (detailed)'!$AI$38</f>
        <v>838031</v>
      </c>
      <c r="CV51" s="101">
        <f t="shared" si="144"/>
        <v>802204031</v>
      </c>
      <c r="CW51" s="94">
        <f>SUMIFS('Federal Data'!AT2:AT501,'Federal Data'!$F2:$F501,"National Defense and Support for Veterans",'Federal Data'!$D2:$D501,"Nongrant")</f>
        <v>771297000</v>
      </c>
      <c r="CX51" s="101">
        <f>'State and Local P&amp;L (detailed)'!$AJ$38</f>
        <v>1024498</v>
      </c>
      <c r="CY51" s="101">
        <f t="shared" si="145"/>
        <v>772321498</v>
      </c>
      <c r="CZ51" s="94">
        <f>SUMIFS('Federal Data'!AU2:AU501,'Federal Data'!$F2:$F501,"National Defense and Support for Veterans",'Federal Data'!$D2:$D501,"Nongrant")</f>
        <v>751850000</v>
      </c>
      <c r="DA51" s="101">
        <f>'State and Local P&amp;L (detailed)'!$AK$38</f>
        <v>1059763</v>
      </c>
      <c r="DB51" s="101">
        <f t="shared" si="146"/>
        <v>752909763</v>
      </c>
      <c r="DC51" s="37">
        <f>SUMIFS('Federal Data'!AV2:AV501,'Federal Data'!$F2:$F501,"National Defense and Support for Veterans",'Federal Data'!$D2:$D501,"Nongrant")</f>
        <v>747481000</v>
      </c>
      <c r="DD51" s="85">
        <f>'State and Local P&amp;L (detailed)'!$AL$38</f>
        <v>0</v>
      </c>
      <c r="DE51" s="85">
        <f t="shared" si="147"/>
        <v>747481000</v>
      </c>
    </row>
    <row r="52" spans="1:109" outlineLevel="2">
      <c r="A52" s="29" t="s">
        <v>24</v>
      </c>
      <c r="B52" s="94">
        <f>SUMIFS('Federal Data'!M2:M501,'Federal Data'!$G2:$G501,"National Defense",'Federal Data'!$D2:$D501,"Nongrant")</f>
        <v>133902806</v>
      </c>
      <c r="C52" s="101" t="s">
        <v>487</v>
      </c>
      <c r="D52" s="101">
        <f t="shared" si="112"/>
        <v>133902806</v>
      </c>
      <c r="E52" s="94">
        <f>SUMIFS('Federal Data'!N2:N501,'Federal Data'!$G2:$G501,"National Defense",'Federal Data'!$D2:$D501,"Nongrant")</f>
        <v>157437840</v>
      </c>
      <c r="F52" s="101" t="s">
        <v>487</v>
      </c>
      <c r="G52" s="101">
        <f t="shared" si="113"/>
        <v>157437840</v>
      </c>
      <c r="H52" s="94">
        <f>SUMIFS('Federal Data'!O2:O501,'Federal Data'!$G2:$G501,"National Defense",'Federal Data'!$D2:$D501,"Nongrant")</f>
        <v>185240799</v>
      </c>
      <c r="I52" s="101" t="s">
        <v>487</v>
      </c>
      <c r="J52" s="101">
        <f t="shared" si="114"/>
        <v>185240799</v>
      </c>
      <c r="K52" s="94">
        <f>SUMIFS('Federal Data'!P2:P501,'Federal Data'!$G2:$G501,"National Defense",'Federal Data'!$D2:$D501,"Nongrant")</f>
        <v>209816568</v>
      </c>
      <c r="L52" s="101" t="s">
        <v>487</v>
      </c>
      <c r="M52" s="101">
        <f t="shared" si="115"/>
        <v>209816568</v>
      </c>
      <c r="N52" s="94">
        <f>SUMIFS('Federal Data'!Q2:Q501,'Federal Data'!$G2:$G501,"National Defense",'Federal Data'!$D2:$D501,"Nongrant")</f>
        <v>227315228</v>
      </c>
      <c r="O52" s="101" t="s">
        <v>487</v>
      </c>
      <c r="P52" s="101">
        <f t="shared" si="116"/>
        <v>227315228</v>
      </c>
      <c r="Q52" s="94">
        <f>SUMIFS('Federal Data'!R2:R501,'Federal Data'!$G2:$G501,"National Defense",'Federal Data'!$D2:$D501,"Nongrant")</f>
        <v>252586131</v>
      </c>
      <c r="R52" s="101" t="s">
        <v>487</v>
      </c>
      <c r="S52" s="101">
        <f t="shared" si="117"/>
        <v>252586131</v>
      </c>
      <c r="T52" s="94">
        <f>SUMIFS('Federal Data'!S2:S501,'Federal Data'!$G2:$G501,"National Defense",'Federal Data'!$D2:$D501,"Nongrant")</f>
        <v>273196405</v>
      </c>
      <c r="U52" s="101" t="s">
        <v>487</v>
      </c>
      <c r="V52" s="101">
        <f t="shared" si="118"/>
        <v>273196405</v>
      </c>
      <c r="W52" s="94">
        <f>SUMIFS('Federal Data'!T2:T501,'Federal Data'!$G2:$G501,"National Defense",'Federal Data'!$D2:$D501,"Nongrant")</f>
        <v>281802417</v>
      </c>
      <c r="X52" s="101" t="s">
        <v>487</v>
      </c>
      <c r="Y52" s="101">
        <f t="shared" si="119"/>
        <v>281802417</v>
      </c>
      <c r="Z52" s="94">
        <f>SUMIFS('Federal Data'!U2:U501,'Federal Data'!$G2:$G501,"National Defense",'Federal Data'!$D2:$D501,"Nongrant")</f>
        <v>290172075</v>
      </c>
      <c r="AA52" s="101" t="s">
        <v>487</v>
      </c>
      <c r="AB52" s="101">
        <f t="shared" si="120"/>
        <v>290172075</v>
      </c>
      <c r="AC52" s="94">
        <f>SUMIFS('Federal Data'!V2:V501,'Federal Data'!$G2:$G501,"National Defense",'Federal Data'!$D2:$D501,"Nongrant")</f>
        <v>303301507</v>
      </c>
      <c r="AD52" s="101" t="s">
        <v>487</v>
      </c>
      <c r="AE52" s="101">
        <f t="shared" si="121"/>
        <v>303301507</v>
      </c>
      <c r="AF52" s="94">
        <f>SUMIFS('Federal Data'!W2:W501,'Federal Data'!$G2:$G501,"National Defense",'Federal Data'!$D2:$D501,"Nongrant")</f>
        <v>299079753</v>
      </c>
      <c r="AG52" s="101" t="s">
        <v>487</v>
      </c>
      <c r="AH52" s="101">
        <f t="shared" si="122"/>
        <v>299079753</v>
      </c>
      <c r="AI52" s="94">
        <f>SUMIFS('Federal Data'!X2:X501,'Federal Data'!$G2:$G501,"National Defense",'Federal Data'!$D2:$D501,"Nongrant")</f>
        <v>273100629</v>
      </c>
      <c r="AJ52" s="101" t="s">
        <v>487</v>
      </c>
      <c r="AK52" s="101">
        <f t="shared" si="123"/>
        <v>273100629</v>
      </c>
      <c r="AL52" s="94">
        <f>SUMIFS('Federal Data'!Y2:Y501,'Federal Data'!$G2:$G501,"National Defense",'Federal Data'!$D2:$D501,"Nongrant")</f>
        <v>298027802</v>
      </c>
      <c r="AM52" s="101" t="s">
        <v>487</v>
      </c>
      <c r="AN52" s="101">
        <f t="shared" si="124"/>
        <v>298027802</v>
      </c>
      <c r="AO52" s="94">
        <f>SUMIFS('Federal Data'!Z2:Z501,'Federal Data'!$G2:$G501,"National Defense",'Federal Data'!$D2:$D501,"Nongrant")</f>
        <v>290932181</v>
      </c>
      <c r="AP52" s="101" t="s">
        <v>487</v>
      </c>
      <c r="AQ52" s="101">
        <f t="shared" si="125"/>
        <v>290932181</v>
      </c>
      <c r="AR52" s="94">
        <f>SUMIFS('Federal Data'!AA2:AA501,'Federal Data'!$G2:$G501,"National Defense",'Federal Data'!$D2:$D501,"Nongrant")</f>
        <v>281470450</v>
      </c>
      <c r="AS52" s="101" t="s">
        <v>487</v>
      </c>
      <c r="AT52" s="101">
        <f t="shared" si="126"/>
        <v>281470450</v>
      </c>
      <c r="AU52" s="94">
        <f>SUMIFS('Federal Data'!AB2:AB501,'Federal Data'!$G2:$G501,"National Defense",'Federal Data'!$D2:$D501,"Nongrant")</f>
        <v>271995000</v>
      </c>
      <c r="AV52" s="101" t="s">
        <v>487</v>
      </c>
      <c r="AW52" s="101">
        <f t="shared" si="127"/>
        <v>271995000</v>
      </c>
      <c r="AX52" s="94">
        <f>SUMIFS('Federal Data'!AC2:AC501,'Federal Data'!$G2:$G501,"National Defense",'Federal Data'!$D2:$D501,"Nongrant")</f>
        <v>265710000</v>
      </c>
      <c r="AY52" s="101" t="s">
        <v>487</v>
      </c>
      <c r="AZ52" s="101">
        <f t="shared" si="128"/>
        <v>265710000</v>
      </c>
      <c r="BA52" s="94">
        <f>SUMIFS('Federal Data'!AD2:AD501,'Federal Data'!$G2:$G501,"National Defense",'Federal Data'!$D2:$D501,"Nongrant")</f>
        <v>270502000</v>
      </c>
      <c r="BB52" s="101" t="s">
        <v>487</v>
      </c>
      <c r="BC52" s="101">
        <f t="shared" si="129"/>
        <v>270502000</v>
      </c>
      <c r="BD52" s="94">
        <f>SUMIFS('Federal Data'!AE2:AE501,'Federal Data'!$G2:$G501,"National Defense",'Federal Data'!$D2:$D501,"Nongrant")</f>
        <v>268182000</v>
      </c>
      <c r="BE52" s="101" t="s">
        <v>487</v>
      </c>
      <c r="BF52" s="101">
        <f t="shared" si="130"/>
        <v>268182000</v>
      </c>
      <c r="BG52" s="94">
        <f>SUMIFS('Federal Data'!AF2:AF501,'Federal Data'!$G2:$G501,"National Defense",'Federal Data'!$D2:$D501,"Nongrant")</f>
        <v>274768000</v>
      </c>
      <c r="BH52" s="101" t="s">
        <v>487</v>
      </c>
      <c r="BI52" s="101">
        <f t="shared" si="131"/>
        <v>274768000</v>
      </c>
      <c r="BJ52" s="94">
        <f>SUMIFS('Federal Data'!AG2:AG501,'Federal Data'!$G2:$G501,"National Defense",'Federal Data'!$D2:$D501,"Nongrant")</f>
        <v>294361000</v>
      </c>
      <c r="BK52" s="101" t="s">
        <v>487</v>
      </c>
      <c r="BL52" s="101">
        <f t="shared" si="132"/>
        <v>294361000</v>
      </c>
      <c r="BM52" s="94">
        <f>SUMIFS('Federal Data'!AH2:AH501,'Federal Data'!$G2:$G501,"National Defense",'Federal Data'!$D2:$D501,"Nongrant")</f>
        <v>304685000</v>
      </c>
      <c r="BN52" s="101" t="s">
        <v>487</v>
      </c>
      <c r="BO52" s="101">
        <f t="shared" si="133"/>
        <v>304685000</v>
      </c>
      <c r="BP52" s="94">
        <f>SUMIFS('Federal Data'!AI2:AI501,'Federal Data'!$G2:$G501,"National Defense",'Federal Data'!$D2:$D501,"Nongrant")</f>
        <v>348365000</v>
      </c>
      <c r="BQ52" s="101" t="s">
        <v>487</v>
      </c>
      <c r="BR52" s="101">
        <f t="shared" si="134"/>
        <v>348365000</v>
      </c>
      <c r="BS52" s="94">
        <f>SUMIFS('Federal Data'!AJ2:AJ501,'Federal Data'!$G2:$G501,"National Defense",'Federal Data'!$D2:$D501,"Nongrant")</f>
        <v>404733000</v>
      </c>
      <c r="BT52" s="101" t="s">
        <v>487</v>
      </c>
      <c r="BU52" s="101">
        <f t="shared" si="135"/>
        <v>404733000</v>
      </c>
      <c r="BV52" s="94">
        <f>SUMIFS('Federal Data'!AK2:AK501,'Federal Data'!$G2:$G501,"National Defense",'Federal Data'!$D2:$D501,"Nongrant")</f>
        <v>455813000</v>
      </c>
      <c r="BW52" s="101" t="s">
        <v>487</v>
      </c>
      <c r="BX52" s="101">
        <f t="shared" si="136"/>
        <v>455813000</v>
      </c>
      <c r="BY52" s="94">
        <f>SUMIFS('Federal Data'!AL2:AL501,'Federal Data'!$G2:$G501,"National Defense",'Federal Data'!$D2:$D501,"Nongrant")</f>
        <v>495292000</v>
      </c>
      <c r="BZ52" s="101" t="s">
        <v>487</v>
      </c>
      <c r="CA52" s="101">
        <f t="shared" si="137"/>
        <v>495292000</v>
      </c>
      <c r="CB52" s="94">
        <f>SUMIFS('Federal Data'!AM2:AM501,'Federal Data'!$G2:$G501,"National Defense",'Federal Data'!$D2:$D501,"Nongrant")</f>
        <v>521818000</v>
      </c>
      <c r="CC52" s="101" t="s">
        <v>487</v>
      </c>
      <c r="CD52" s="101">
        <f t="shared" si="138"/>
        <v>521818000</v>
      </c>
      <c r="CE52" s="94">
        <f>SUMIFS('Federal Data'!AN2:AN501,'Federal Data'!$G2:$G501,"National Defense",'Federal Data'!$D2:$D501,"Nongrant")</f>
        <v>551258000</v>
      </c>
      <c r="CF52" s="101" t="s">
        <v>487</v>
      </c>
      <c r="CG52" s="101">
        <f t="shared" si="139"/>
        <v>551258000</v>
      </c>
      <c r="CH52" s="94">
        <f>SUMIFS('Federal Data'!AO2:AO501,'Federal Data'!$G2:$G501,"National Defense",'Federal Data'!$D2:$D501,"Nongrant")</f>
        <v>616065000</v>
      </c>
      <c r="CI52" s="101" t="s">
        <v>487</v>
      </c>
      <c r="CJ52" s="101">
        <f t="shared" si="140"/>
        <v>616065000</v>
      </c>
      <c r="CK52" s="94">
        <f>SUMIFS('Federal Data'!AP2:AP501,'Federal Data'!$G2:$G501,"National Defense",'Federal Data'!$D2:$D501,"Nongrant")</f>
        <v>661012000</v>
      </c>
      <c r="CL52" s="101" t="s">
        <v>487</v>
      </c>
      <c r="CM52" s="101">
        <f t="shared" si="141"/>
        <v>661012000</v>
      </c>
      <c r="CN52" s="94">
        <f>SUMIFS('Federal Data'!AQ2:AQ501,'Federal Data'!$G2:$G501,"National Defense",'Federal Data'!$D2:$D501,"Nongrant")</f>
        <v>693485000</v>
      </c>
      <c r="CO52" s="101" t="s">
        <v>487</v>
      </c>
      <c r="CP52" s="101">
        <f t="shared" si="142"/>
        <v>693485000</v>
      </c>
      <c r="CQ52" s="94">
        <f>SUMIFS('Federal Data'!AR2:AR501,'Federal Data'!$G2:$G501,"National Defense",'Federal Data'!$D2:$D501,"Nongrant")</f>
        <v>705554000</v>
      </c>
      <c r="CR52" s="101" t="s">
        <v>487</v>
      </c>
      <c r="CS52" s="101">
        <f t="shared" si="143"/>
        <v>705554000</v>
      </c>
      <c r="CT52" s="94">
        <f>SUMIFS('Federal Data'!AS2:AS501,'Federal Data'!$G2:$G501,"National Defense",'Federal Data'!$D2:$D501,"Nongrant")</f>
        <v>677852000</v>
      </c>
      <c r="CU52" s="101" t="s">
        <v>487</v>
      </c>
      <c r="CV52" s="101">
        <f t="shared" si="144"/>
        <v>677852000</v>
      </c>
      <c r="CW52" s="94">
        <f>SUMIFS('Federal Data'!AT2:AT501,'Federal Data'!$G2:$G501,"National Defense",'Federal Data'!$D2:$D501,"Nongrant")</f>
        <v>633446000</v>
      </c>
      <c r="CX52" s="101" t="s">
        <v>487</v>
      </c>
      <c r="CY52" s="101">
        <f t="shared" si="145"/>
        <v>633446000</v>
      </c>
      <c r="CZ52" s="94">
        <f>SUMIFS('Federal Data'!AU2:AU501,'Federal Data'!$G2:$G501,"National Defense",'Federal Data'!$D2:$D501,"Nongrant")</f>
        <v>603457000</v>
      </c>
      <c r="DA52" s="101" t="s">
        <v>487</v>
      </c>
      <c r="DB52" s="101">
        <f t="shared" si="146"/>
        <v>603457000</v>
      </c>
      <c r="DC52" s="37">
        <f>SUMIFS('Federal Data'!AV2:AV501,'Federal Data'!$G2:$G501,"National Defense",'Federal Data'!$D2:$D501,"Nongrant")</f>
        <v>589564000</v>
      </c>
      <c r="DD52" s="85" t="s">
        <v>487</v>
      </c>
      <c r="DE52" s="85">
        <f t="shared" si="147"/>
        <v>589564000</v>
      </c>
    </row>
    <row r="53" spans="1:109" outlineLevel="2">
      <c r="A53" s="29" t="s">
        <v>25</v>
      </c>
      <c r="B53" s="94">
        <f>SUMIFS('Federal Data'!M2:M501,'Federal Data'!$G2:$G501,"Support for Veterans",'Federal Data'!$D2:$D501,"Nongrant")</f>
        <v>21078299</v>
      </c>
      <c r="C53" s="101">
        <f>'State and Local P&amp;L (detailed)'!$C$39</f>
        <v>60951</v>
      </c>
      <c r="D53" s="101">
        <f t="shared" si="112"/>
        <v>21139250</v>
      </c>
      <c r="E53" s="94">
        <f>SUMIFS('Federal Data'!N2:N501,'Federal Data'!$G2:$G501,"Support for Veterans",'Federal Data'!$D2:$D501,"Nongrant")</f>
        <v>22898466</v>
      </c>
      <c r="F53" s="101">
        <f>'State and Local P&amp;L (detailed)'!$D$39</f>
        <v>56969</v>
      </c>
      <c r="G53" s="101">
        <f t="shared" si="113"/>
        <v>22955435</v>
      </c>
      <c r="H53" s="94">
        <f>SUMIFS('Federal Data'!O2:O501,'Federal Data'!$G2:$G501,"Support for Veterans",'Federal Data'!$D2:$D501,"Nongrant")</f>
        <v>23875536</v>
      </c>
      <c r="I53" s="101">
        <f>'State and Local P&amp;L (detailed)'!$E$39</f>
        <v>63798</v>
      </c>
      <c r="J53" s="101">
        <f t="shared" si="114"/>
        <v>23939334</v>
      </c>
      <c r="K53" s="94">
        <f>SUMIFS('Federal Data'!P2:P501,'Federal Data'!$G2:$G501,"Support for Veterans",'Federal Data'!$D2:$D501,"Nongrant")</f>
        <v>24757599</v>
      </c>
      <c r="L53" s="101">
        <f>'State and Local P&amp;L (detailed)'!$F$39</f>
        <v>74688</v>
      </c>
      <c r="M53" s="101">
        <f t="shared" si="115"/>
        <v>24832287</v>
      </c>
      <c r="N53" s="94">
        <f>SUMIFS('Federal Data'!Q2:Q501,'Federal Data'!$G2:$G501,"Support for Veterans",'Federal Data'!$D2:$D501,"Nongrant")</f>
        <v>25509047</v>
      </c>
      <c r="O53" s="101">
        <f>'State and Local P&amp;L (detailed)'!$G$39</f>
        <v>98572</v>
      </c>
      <c r="P53" s="101">
        <f t="shared" si="116"/>
        <v>25607619</v>
      </c>
      <c r="Q53" s="94">
        <f>SUMIFS('Federal Data'!R2:R501,'Federal Data'!$G2:$G501,"Support for Veterans",'Federal Data'!$D2:$D501,"Nongrant")</f>
        <v>26159858</v>
      </c>
      <c r="R53" s="101">
        <f>'State and Local P&amp;L (detailed)'!$H$39</f>
        <v>112881</v>
      </c>
      <c r="S53" s="101">
        <f t="shared" si="117"/>
        <v>26272739</v>
      </c>
      <c r="T53" s="94">
        <f>SUMIFS('Federal Data'!S2:S501,'Federal Data'!$G2:$G501,"Support for Veterans",'Federal Data'!$D2:$D501,"Nongrant")</f>
        <v>26224149</v>
      </c>
      <c r="U53" s="101">
        <f>'State and Local P&amp;L (detailed)'!$I$39</f>
        <v>121785</v>
      </c>
      <c r="V53" s="101">
        <f t="shared" si="118"/>
        <v>26345934</v>
      </c>
      <c r="W53" s="94">
        <f>SUMIFS('Federal Data'!T2:T501,'Federal Data'!$G2:$G501,"Support for Veterans",'Federal Data'!$D2:$D501,"Nongrant")</f>
        <v>26633904</v>
      </c>
      <c r="X53" s="101">
        <f>'State and Local P&amp;L (detailed)'!$J$39</f>
        <v>129454</v>
      </c>
      <c r="Y53" s="101">
        <f t="shared" si="119"/>
        <v>26763358</v>
      </c>
      <c r="Z53" s="94">
        <f>SUMIFS('Federal Data'!U2:U501,'Federal Data'!$G2:$G501,"Support for Veterans",'Federal Data'!$D2:$D501,"Nongrant")</f>
        <v>29260620</v>
      </c>
      <c r="AA53" s="101">
        <f>'State and Local P&amp;L (detailed)'!$K$39</f>
        <v>134281</v>
      </c>
      <c r="AB53" s="101">
        <f t="shared" si="120"/>
        <v>29394901</v>
      </c>
      <c r="AC53" s="94">
        <f>SUMIFS('Federal Data'!V2:V501,'Federal Data'!$G2:$G501,"Support for Veterans",'Federal Data'!$D2:$D501,"Nongrant")</f>
        <v>29875862</v>
      </c>
      <c r="AD53" s="101">
        <f>'State and Local P&amp;L (detailed)'!$L$39</f>
        <v>146198</v>
      </c>
      <c r="AE53" s="101">
        <f t="shared" si="121"/>
        <v>30022060</v>
      </c>
      <c r="AF53" s="94">
        <f>SUMIFS('Federal Data'!W2:W501,'Federal Data'!$G2:$G501,"Support for Veterans",'Federal Data'!$D2:$D501,"Nongrant")</f>
        <v>28899998</v>
      </c>
      <c r="AG53" s="101">
        <f>'State and Local P&amp;L (detailed)'!$M$39</f>
        <v>151682</v>
      </c>
      <c r="AH53" s="101">
        <f t="shared" si="122"/>
        <v>29051680</v>
      </c>
      <c r="AI53" s="94">
        <f>SUMIFS('Federal Data'!X2:X501,'Federal Data'!$G2:$G501,"Support for Veterans",'Federal Data'!$D2:$D501,"Nongrant")</f>
        <v>31134097</v>
      </c>
      <c r="AJ53" s="101">
        <f>'State and Local P&amp;L (detailed)'!$N$39</f>
        <v>157313</v>
      </c>
      <c r="AK53" s="101">
        <f t="shared" si="123"/>
        <v>31291410</v>
      </c>
      <c r="AL53" s="94">
        <f>SUMIFS('Federal Data'!Y2:Y501,'Federal Data'!$G2:$G501,"Support for Veterans",'Federal Data'!$D2:$D501,"Nongrant")</f>
        <v>33873495</v>
      </c>
      <c r="AM53" s="101">
        <f>'State and Local P&amp;L (detailed)'!$O$39</f>
        <v>170014</v>
      </c>
      <c r="AN53" s="101">
        <f t="shared" si="124"/>
        <v>34043509</v>
      </c>
      <c r="AO53" s="94">
        <f>SUMIFS('Federal Data'!Z2:Z501,'Federal Data'!$G2:$G501,"Support for Veterans",'Federal Data'!$D2:$D501,"Nongrant")</f>
        <v>35452190</v>
      </c>
      <c r="AP53" s="101">
        <f>'State and Local P&amp;L (detailed)'!$P$39</f>
        <v>164681</v>
      </c>
      <c r="AQ53" s="101">
        <f t="shared" si="125"/>
        <v>35616871</v>
      </c>
      <c r="AR53" s="94">
        <f>SUMIFS('Federal Data'!AA2:AA501,'Federal Data'!$G2:$G501,"Support for Veterans",'Federal Data'!$D2:$D501,"Nongrant")</f>
        <v>37360055</v>
      </c>
      <c r="AS53" s="101">
        <f>'State and Local P&amp;L (detailed)'!$Q$39</f>
        <v>179076</v>
      </c>
      <c r="AT53" s="101">
        <f t="shared" si="126"/>
        <v>37539131</v>
      </c>
      <c r="AU53" s="94">
        <f>SUMIFS('Federal Data'!AB2:AB501,'Federal Data'!$G2:$G501,"Support for Veterans",'Federal Data'!$D2:$D501,"Nongrant")</f>
        <v>37609000</v>
      </c>
      <c r="AV53" s="101">
        <f>'State and Local P&amp;L (detailed)'!$R$39</f>
        <v>206109</v>
      </c>
      <c r="AW53" s="101">
        <f t="shared" si="127"/>
        <v>37815109</v>
      </c>
      <c r="AX53" s="94">
        <f>SUMIFS('Federal Data'!AC2:AC501,'Federal Data'!$G2:$G501,"Support for Veterans",'Federal Data'!$D2:$D501,"Nongrant")</f>
        <v>36690000</v>
      </c>
      <c r="AY53" s="101">
        <f>'State and Local P&amp;L (detailed)'!$S$39</f>
        <v>225645</v>
      </c>
      <c r="AZ53" s="101">
        <f t="shared" si="128"/>
        <v>36915645</v>
      </c>
      <c r="BA53" s="94">
        <f>SUMIFS('Federal Data'!AD2:AD501,'Federal Data'!$G2:$G501,"Support for Veterans",'Federal Data'!$D2:$D501,"Nongrant")</f>
        <v>39006000</v>
      </c>
      <c r="BB53" s="101">
        <f>'State and Local P&amp;L (detailed)'!$T$39</f>
        <v>243188</v>
      </c>
      <c r="BC53" s="101">
        <f t="shared" si="129"/>
        <v>39249188</v>
      </c>
      <c r="BD53" s="94">
        <f>SUMIFS('Federal Data'!AE2:AE501,'Federal Data'!$G2:$G501,"Support for Veterans",'Federal Data'!$D2:$D501,"Nongrant")</f>
        <v>41453000</v>
      </c>
      <c r="BE53" s="101">
        <f>'State and Local P&amp;L (detailed)'!$U$39</f>
        <v>288331</v>
      </c>
      <c r="BF53" s="101">
        <f t="shared" si="130"/>
        <v>41741331</v>
      </c>
      <c r="BG53" s="94">
        <f>SUMIFS('Federal Data'!AF2:AF501,'Federal Data'!$G2:$G501,"Support for Veterans",'Federal Data'!$D2:$D501,"Nongrant")</f>
        <v>42838000</v>
      </c>
      <c r="BH53" s="101">
        <f>'State and Local P&amp;L (detailed)'!$V$39</f>
        <v>283242</v>
      </c>
      <c r="BI53" s="101">
        <f t="shared" si="131"/>
        <v>43121242</v>
      </c>
      <c r="BJ53" s="94">
        <f>SUMIFS('Federal Data'!AG2:AG501,'Federal Data'!$G2:$G501,"Support for Veterans",'Federal Data'!$D2:$D501,"Nongrant")</f>
        <v>46555000</v>
      </c>
      <c r="BK53" s="101">
        <f>'State and Local P&amp;L (detailed)'!$W$39</f>
        <v>356552</v>
      </c>
      <c r="BL53" s="101">
        <f t="shared" si="132"/>
        <v>46911552</v>
      </c>
      <c r="BM53" s="94">
        <f>SUMIFS('Federal Data'!AH2:AH501,'Federal Data'!$G2:$G501,"Support for Veterans",'Federal Data'!$D2:$D501,"Nongrant")</f>
        <v>44569000</v>
      </c>
      <c r="BN53" s="101">
        <f>'State and Local P&amp;L (detailed)'!$X$39</f>
        <v>336520</v>
      </c>
      <c r="BO53" s="101">
        <f t="shared" si="133"/>
        <v>44905520</v>
      </c>
      <c r="BP53" s="94">
        <f>SUMIFS('Federal Data'!AI2:AI501,'Federal Data'!$G2:$G501,"Support for Veterans",'Federal Data'!$D2:$D501,"Nongrant")</f>
        <v>50541000</v>
      </c>
      <c r="BQ53" s="101">
        <f>'State and Local P&amp;L (detailed)'!$Y$39</f>
        <v>361190</v>
      </c>
      <c r="BR53" s="101">
        <f t="shared" si="134"/>
        <v>50902190</v>
      </c>
      <c r="BS53" s="94">
        <f>SUMIFS('Federal Data'!AJ2:AJ501,'Federal Data'!$G2:$G501,"Support for Veterans",'Federal Data'!$D2:$D501,"Nongrant")</f>
        <v>56556000</v>
      </c>
      <c r="BT53" s="101">
        <f>'State and Local P&amp;L (detailed)'!$Z$39</f>
        <v>1016563</v>
      </c>
      <c r="BU53" s="101">
        <f t="shared" si="135"/>
        <v>57572563</v>
      </c>
      <c r="BV53" s="94">
        <f>SUMIFS('Federal Data'!AK2:AK501,'Federal Data'!$G2:$G501,"Support for Veterans",'Federal Data'!$D2:$D501,"Nongrant")</f>
        <v>59253000</v>
      </c>
      <c r="BW53" s="101">
        <f>'State and Local P&amp;L (detailed)'!$AA$39</f>
        <v>1503822</v>
      </c>
      <c r="BX53" s="101">
        <f t="shared" si="136"/>
        <v>60756822</v>
      </c>
      <c r="BY53" s="94">
        <f>SUMIFS('Federal Data'!AL2:AL501,'Federal Data'!$G2:$G501,"Support for Veterans",'Federal Data'!$D2:$D501,"Nongrant")</f>
        <v>69568000</v>
      </c>
      <c r="BZ53" s="101">
        <f>'State and Local P&amp;L (detailed)'!$AB$39</f>
        <v>1188935</v>
      </c>
      <c r="CA53" s="101">
        <f t="shared" si="137"/>
        <v>70756935</v>
      </c>
      <c r="CB53" s="94">
        <f>SUMIFS('Federal Data'!AM2:AM501,'Federal Data'!$G2:$G501,"Support for Veterans",'Federal Data'!$D2:$D501,"Nongrant")</f>
        <v>69186000</v>
      </c>
      <c r="CC53" s="101">
        <f>'State and Local P&amp;L (detailed)'!$AC$39</f>
        <v>992146</v>
      </c>
      <c r="CD53" s="101">
        <f t="shared" si="138"/>
        <v>70178146</v>
      </c>
      <c r="CE53" s="94">
        <f>SUMIFS('Federal Data'!AN2:AN501,'Federal Data'!$G2:$G501,"Support for Veterans",'Federal Data'!$D2:$D501,"Nongrant")</f>
        <v>72179000</v>
      </c>
      <c r="CF53" s="101">
        <f>'State and Local P&amp;L (detailed)'!$AD$39</f>
        <v>1030506</v>
      </c>
      <c r="CG53" s="101">
        <f t="shared" si="139"/>
        <v>73209506</v>
      </c>
      <c r="CH53" s="94">
        <f>SUMIFS('Federal Data'!AO2:AO501,'Federal Data'!$G2:$G501,"Support for Veterans",'Federal Data'!$D2:$D501,"Nongrant")</f>
        <v>83958000</v>
      </c>
      <c r="CI53" s="101">
        <f>'State and Local P&amp;L (detailed)'!$AE$39</f>
        <v>1080399</v>
      </c>
      <c r="CJ53" s="101">
        <f t="shared" si="140"/>
        <v>85038399</v>
      </c>
      <c r="CK53" s="94">
        <f>SUMIFS('Federal Data'!AP2:AP501,'Federal Data'!$G2:$G501,"Support for Veterans",'Federal Data'!$D2:$D501,"Nongrant")</f>
        <v>94620000</v>
      </c>
      <c r="CL53" s="101">
        <f>'State and Local P&amp;L (detailed)'!$AF$39</f>
        <v>933222</v>
      </c>
      <c r="CM53" s="101">
        <f t="shared" si="141"/>
        <v>95553222</v>
      </c>
      <c r="CN53" s="94">
        <f>SUMIFS('Federal Data'!AQ2:AQ501,'Federal Data'!$G2:$G501,"Support for Veterans",'Federal Data'!$D2:$D501,"Nongrant")</f>
        <v>107548000</v>
      </c>
      <c r="CO53" s="101">
        <f>'State and Local P&amp;L (detailed)'!$AG$39</f>
        <v>793609</v>
      </c>
      <c r="CP53" s="101">
        <f t="shared" si="142"/>
        <v>108341609</v>
      </c>
      <c r="CQ53" s="94">
        <f>SUMIFS('Federal Data'!AR2:AR501,'Federal Data'!$G2:$G501,"Support for Veterans",'Federal Data'!$D2:$D501,"Nongrant")</f>
        <v>126193000</v>
      </c>
      <c r="CR53" s="101">
        <f>'State and Local P&amp;L (detailed)'!$AH$39</f>
        <v>927042</v>
      </c>
      <c r="CS53" s="101">
        <f t="shared" si="143"/>
        <v>127120042</v>
      </c>
      <c r="CT53" s="94">
        <f>SUMIFS('Federal Data'!AS2:AS501,'Federal Data'!$G2:$G501,"Support for Veterans",'Federal Data'!$D2:$D501,"Nongrant")</f>
        <v>123514000</v>
      </c>
      <c r="CU53" s="101">
        <f>'State and Local P&amp;L (detailed)'!$AI$39</f>
        <v>838031</v>
      </c>
      <c r="CV53" s="101">
        <f t="shared" si="144"/>
        <v>124352031</v>
      </c>
      <c r="CW53" s="94">
        <f>SUMIFS('Federal Data'!AT2:AT501,'Federal Data'!$G2:$G501,"Support for Veterans",'Federal Data'!$D2:$D501,"Nongrant")</f>
        <v>137851000</v>
      </c>
      <c r="CX53" s="101">
        <f>'State and Local P&amp;L (detailed)'!$AJ$39</f>
        <v>1024498</v>
      </c>
      <c r="CY53" s="101">
        <f t="shared" si="145"/>
        <v>138875498</v>
      </c>
      <c r="CZ53" s="94">
        <f>SUMIFS('Federal Data'!AU2:AU501,'Federal Data'!$G2:$G501,"Support for Veterans",'Federal Data'!$D2:$D501,"Nongrant")</f>
        <v>148393000</v>
      </c>
      <c r="DA53" s="101">
        <f>'State and Local P&amp;L (detailed)'!$AK$39</f>
        <v>1059763</v>
      </c>
      <c r="DB53" s="101">
        <f t="shared" si="146"/>
        <v>149452763</v>
      </c>
      <c r="DC53" s="37">
        <f>SUMIFS('Federal Data'!AV2:AV501,'Federal Data'!$G2:$G501,"Support for Veterans",'Federal Data'!$D2:$D501,"Nongrant")</f>
        <v>157917000</v>
      </c>
      <c r="DD53" s="85">
        <f>'State and Local P&amp;L (detailed)'!$AL$39</f>
        <v>0</v>
      </c>
      <c r="DE53" s="85">
        <f t="shared" si="147"/>
        <v>157917000</v>
      </c>
    </row>
    <row r="54" spans="1:109" outlineLevel="2">
      <c r="A54" s="31" t="s">
        <v>86</v>
      </c>
      <c r="B54" s="94">
        <f>SUMIFS('Federal Data'!M2:M501,'Federal Data'!$H2:$H501,"Veterans Pension &amp; Disability Benefits",'Federal Data'!$D2:$D501,"Nongrant")</f>
        <v>11700182</v>
      </c>
      <c r="C54" s="101" t="s">
        <v>487</v>
      </c>
      <c r="D54" s="101">
        <f t="shared" si="112"/>
        <v>11700182</v>
      </c>
      <c r="E54" s="94">
        <f>SUMIFS('Federal Data'!N2:N501,'Federal Data'!$H2:$H501,"Veterans Pension &amp; Disability Benefits",'Federal Data'!$D2:$D501,"Nongrant")</f>
        <v>12921119</v>
      </c>
      <c r="F54" s="101" t="s">
        <v>487</v>
      </c>
      <c r="G54" s="101">
        <f t="shared" si="113"/>
        <v>12921119</v>
      </c>
      <c r="H54" s="94">
        <f>SUMIFS('Federal Data'!O2:O501,'Federal Data'!$H2:$H501,"Veterans Pension &amp; Disability Benefits",'Federal Data'!$D2:$D501,"Nongrant")</f>
        <v>13722931</v>
      </c>
      <c r="I54" s="101" t="s">
        <v>487</v>
      </c>
      <c r="J54" s="101">
        <f t="shared" si="114"/>
        <v>13722931</v>
      </c>
      <c r="K54" s="94">
        <f>SUMIFS('Federal Data'!P2:P501,'Federal Data'!$H2:$H501,"Veterans Pension &amp; Disability Benefits",'Federal Data'!$D2:$D501,"Nongrant")</f>
        <v>14263302</v>
      </c>
      <c r="L54" s="101" t="s">
        <v>487</v>
      </c>
      <c r="M54" s="101">
        <f t="shared" si="115"/>
        <v>14263302</v>
      </c>
      <c r="N54" s="94">
        <f>SUMIFS('Federal Data'!Q2:Q501,'Federal Data'!$H2:$H501,"Veterans Pension &amp; Disability Benefits",'Federal Data'!$D2:$D501,"Nongrant")</f>
        <v>14412051</v>
      </c>
      <c r="O54" s="101" t="s">
        <v>487</v>
      </c>
      <c r="P54" s="101">
        <f t="shared" si="116"/>
        <v>14412051</v>
      </c>
      <c r="Q54" s="94">
        <f>SUMIFS('Federal Data'!R2:R501,'Federal Data'!$H2:$H501,"Veterans Pension &amp; Disability Benefits",'Federal Data'!$D2:$D501,"Nongrant")</f>
        <v>14728405</v>
      </c>
      <c r="R54" s="101" t="s">
        <v>487</v>
      </c>
      <c r="S54" s="101">
        <f t="shared" si="117"/>
        <v>14728405</v>
      </c>
      <c r="T54" s="94">
        <f>SUMIFS('Federal Data'!S2:S501,'Federal Data'!$H2:$H501,"Veterans Pension &amp; Disability Benefits",'Federal Data'!$D2:$D501,"Nongrant")</f>
        <v>15047209</v>
      </c>
      <c r="U54" s="101" t="s">
        <v>487</v>
      </c>
      <c r="V54" s="101">
        <f t="shared" si="118"/>
        <v>15047209</v>
      </c>
      <c r="W54" s="94">
        <f>SUMIFS('Federal Data'!T2:T501,'Federal Data'!$H2:$H501,"Veterans Pension &amp; Disability Benefits",'Federal Data'!$D2:$D501,"Nongrant")</f>
        <v>14978316</v>
      </c>
      <c r="X54" s="101" t="s">
        <v>487</v>
      </c>
      <c r="Y54" s="101">
        <f t="shared" si="119"/>
        <v>14978316</v>
      </c>
      <c r="Z54" s="94">
        <f>SUMIFS('Federal Data'!U2:U501,'Federal Data'!$H2:$H501,"Veterans Pension &amp; Disability Benefits",'Federal Data'!$D2:$D501,"Nongrant")</f>
        <v>15979720</v>
      </c>
      <c r="AA54" s="101" t="s">
        <v>487</v>
      </c>
      <c r="AB54" s="101">
        <f t="shared" si="120"/>
        <v>15979720</v>
      </c>
      <c r="AC54" s="94">
        <f>SUMIFS('Federal Data'!V2:V501,'Federal Data'!$H2:$H501,"Veterans Pension &amp; Disability Benefits",'Federal Data'!$D2:$D501,"Nongrant")</f>
        <v>16561994</v>
      </c>
      <c r="AD54" s="101" t="s">
        <v>487</v>
      </c>
      <c r="AE54" s="101">
        <f t="shared" si="121"/>
        <v>16561994</v>
      </c>
      <c r="AF54" s="94">
        <f>SUMIFS('Federal Data'!W2:W501,'Federal Data'!$H2:$H501,"Veterans Pension &amp; Disability Benefits",'Federal Data'!$D2:$D501,"Nongrant")</f>
        <v>15260684</v>
      </c>
      <c r="AG54" s="101" t="s">
        <v>487</v>
      </c>
      <c r="AH54" s="101">
        <f t="shared" si="122"/>
        <v>15260684</v>
      </c>
      <c r="AI54" s="94">
        <f>SUMIFS('Federal Data'!X2:X501,'Federal Data'!$H2:$H501,"Veterans Pension &amp; Disability Benefits",'Federal Data'!$D2:$D501,"Nongrant")</f>
        <v>16980707</v>
      </c>
      <c r="AJ54" s="101" t="s">
        <v>487</v>
      </c>
      <c r="AK54" s="101">
        <f t="shared" si="123"/>
        <v>16980707</v>
      </c>
      <c r="AL54" s="94">
        <f>SUMIFS('Federal Data'!Y2:Y501,'Federal Data'!$H2:$H501,"Veterans Pension &amp; Disability Benefits",'Federal Data'!$D2:$D501,"Nongrant")</f>
        <v>17317559</v>
      </c>
      <c r="AM54" s="101" t="s">
        <v>487</v>
      </c>
      <c r="AN54" s="101">
        <f t="shared" si="124"/>
        <v>17317559</v>
      </c>
      <c r="AO54" s="94">
        <f>SUMIFS('Federal Data'!Z2:Z501,'Federal Data'!$H2:$H501,"Veterans Pension &amp; Disability Benefits",'Federal Data'!$D2:$D501,"Nongrant")</f>
        <v>17780614</v>
      </c>
      <c r="AP54" s="101" t="s">
        <v>487</v>
      </c>
      <c r="AQ54" s="101">
        <f t="shared" si="125"/>
        <v>17780614</v>
      </c>
      <c r="AR54" s="94">
        <f>SUMIFS('Federal Data'!AA2:AA501,'Federal Data'!$H2:$H501,"Veterans Pension &amp; Disability Benefits",'Federal Data'!$D2:$D501,"Nongrant")</f>
        <v>19638210</v>
      </c>
      <c r="AS54" s="101" t="s">
        <v>487</v>
      </c>
      <c r="AT54" s="101">
        <f t="shared" si="126"/>
        <v>19638210</v>
      </c>
      <c r="AU54" s="94">
        <f>SUMIFS('Federal Data'!AB2:AB501,'Federal Data'!$H2:$H501,"Veterans Pension &amp; Disability Benefits",'Federal Data'!$D2:$D501,"Nongrant")</f>
        <v>18993000</v>
      </c>
      <c r="AV54" s="101" t="s">
        <v>487</v>
      </c>
      <c r="AW54" s="101">
        <f t="shared" si="127"/>
        <v>18993000</v>
      </c>
      <c r="AX54" s="94">
        <f>SUMIFS('Federal Data'!AC2:AC501,'Federal Data'!$H2:$H501,"Veterans Pension &amp; Disability Benefits",'Federal Data'!$D2:$D501,"Nongrant")</f>
        <v>18228000</v>
      </c>
      <c r="AY54" s="101" t="s">
        <v>487</v>
      </c>
      <c r="AZ54" s="101">
        <f t="shared" si="128"/>
        <v>18228000</v>
      </c>
      <c r="BA54" s="94">
        <f>SUMIFS('Federal Data'!AD2:AD501,'Federal Data'!$H2:$H501,"Veterans Pension &amp; Disability Benefits",'Federal Data'!$D2:$D501,"Nongrant")</f>
        <v>20435000</v>
      </c>
      <c r="BB54" s="101" t="s">
        <v>487</v>
      </c>
      <c r="BC54" s="101">
        <f t="shared" si="129"/>
        <v>20435000</v>
      </c>
      <c r="BD54" s="94">
        <f>SUMIFS('Federal Data'!AE2:AE501,'Federal Data'!$H2:$H501,"Veterans Pension &amp; Disability Benefits",'Federal Data'!$D2:$D501,"Nongrant")</f>
        <v>21350000</v>
      </c>
      <c r="BE54" s="101" t="s">
        <v>487</v>
      </c>
      <c r="BF54" s="101">
        <f t="shared" si="130"/>
        <v>21350000</v>
      </c>
      <c r="BG54" s="94">
        <f>SUMIFS('Federal Data'!AF2:AF501,'Federal Data'!$H2:$H501,"Veterans Pension &amp; Disability Benefits",'Federal Data'!$D2:$D501,"Nongrant")</f>
        <v>22184000</v>
      </c>
      <c r="BH54" s="101" t="s">
        <v>487</v>
      </c>
      <c r="BI54" s="101">
        <f t="shared" si="131"/>
        <v>22184000</v>
      </c>
      <c r="BJ54" s="94">
        <f>SUMIFS('Federal Data'!AG2:AG501,'Federal Data'!$H2:$H501,"Veterans Pension &amp; Disability Benefits",'Federal Data'!$D2:$D501,"Nongrant")</f>
        <v>24907000</v>
      </c>
      <c r="BK54" s="101" t="s">
        <v>487</v>
      </c>
      <c r="BL54" s="101">
        <f t="shared" si="132"/>
        <v>24907000</v>
      </c>
      <c r="BM54" s="94">
        <f>SUMIFS('Federal Data'!AH2:AH501,'Federal Data'!$H2:$H501,"Veterans Pension &amp; Disability Benefits",'Federal Data'!$D2:$D501,"Nongrant")</f>
        <v>22498000</v>
      </c>
      <c r="BN54" s="101" t="s">
        <v>487</v>
      </c>
      <c r="BO54" s="101">
        <f t="shared" si="133"/>
        <v>22498000</v>
      </c>
      <c r="BP54" s="94">
        <f>SUMIFS('Federal Data'!AI2:AI501,'Federal Data'!$H2:$H501,"Veterans Pension &amp; Disability Benefits",'Federal Data'!$D2:$D501,"Nongrant")</f>
        <v>26720000</v>
      </c>
      <c r="BQ54" s="101" t="s">
        <v>487</v>
      </c>
      <c r="BR54" s="101">
        <f t="shared" si="134"/>
        <v>26720000</v>
      </c>
      <c r="BS54" s="94">
        <f>SUMIFS('Federal Data'!AJ2:AJ501,'Federal Data'!$H2:$H501,"Veterans Pension &amp; Disability Benefits",'Federal Data'!$D2:$D501,"Nongrant")</f>
        <v>29091000</v>
      </c>
      <c r="BT54" s="101" t="s">
        <v>487</v>
      </c>
      <c r="BU54" s="101">
        <f t="shared" si="135"/>
        <v>29091000</v>
      </c>
      <c r="BV54" s="94">
        <f>SUMIFS('Federal Data'!AK2:AK501,'Federal Data'!$H2:$H501,"Veterans Pension &amp; Disability Benefits",'Federal Data'!$D2:$D501,"Nongrant")</f>
        <v>30849000</v>
      </c>
      <c r="BW54" s="101" t="s">
        <v>487</v>
      </c>
      <c r="BX54" s="101">
        <f t="shared" si="136"/>
        <v>30849000</v>
      </c>
      <c r="BY54" s="94">
        <f>SUMIFS('Federal Data'!AL2:AL501,'Federal Data'!$H2:$H501,"Veterans Pension &amp; Disability Benefits",'Federal Data'!$D2:$D501,"Nongrant")</f>
        <v>35767000</v>
      </c>
      <c r="BZ54" s="101" t="s">
        <v>487</v>
      </c>
      <c r="CA54" s="101">
        <f t="shared" si="137"/>
        <v>35767000</v>
      </c>
      <c r="CB54" s="94">
        <f>SUMIFS('Federal Data'!AM2:AM501,'Federal Data'!$H2:$H501,"Veterans Pension &amp; Disability Benefits",'Federal Data'!$D2:$D501,"Nongrant")</f>
        <v>35771000</v>
      </c>
      <c r="CC54" s="101" t="s">
        <v>487</v>
      </c>
      <c r="CD54" s="101">
        <f t="shared" si="138"/>
        <v>35771000</v>
      </c>
      <c r="CE54" s="94">
        <f>SUMIFS('Federal Data'!AN2:AN501,'Federal Data'!$H2:$H501,"Veterans Pension &amp; Disability Benefits",'Federal Data'!$D2:$D501,"Nongrant")</f>
        <v>35684000</v>
      </c>
      <c r="CF54" s="101" t="s">
        <v>487</v>
      </c>
      <c r="CG54" s="101">
        <f t="shared" si="139"/>
        <v>35684000</v>
      </c>
      <c r="CH54" s="94">
        <f>SUMIFS('Federal Data'!AO2:AO501,'Federal Data'!$H2:$H501,"Veterans Pension &amp; Disability Benefits",'Federal Data'!$D2:$D501,"Nongrant")</f>
        <v>41338000</v>
      </c>
      <c r="CI54" s="101" t="s">
        <v>487</v>
      </c>
      <c r="CJ54" s="101">
        <f t="shared" si="140"/>
        <v>41338000</v>
      </c>
      <c r="CK54" s="94">
        <f>SUMIFS('Federal Data'!AP2:AP501,'Federal Data'!$H2:$H501,"Veterans Pension &amp; Disability Benefits",'Federal Data'!$D2:$D501,"Nongrant")</f>
        <v>45952000</v>
      </c>
      <c r="CL54" s="101" t="s">
        <v>487</v>
      </c>
      <c r="CM54" s="101">
        <f t="shared" si="141"/>
        <v>45952000</v>
      </c>
      <c r="CN54" s="94">
        <f>SUMIFS('Federal Data'!AQ2:AQ501,'Federal Data'!$H2:$H501,"Veterans Pension &amp; Disability Benefits",'Federal Data'!$D2:$D501,"Nongrant")</f>
        <v>49163000</v>
      </c>
      <c r="CO54" s="101" t="s">
        <v>487</v>
      </c>
      <c r="CP54" s="101">
        <f t="shared" si="142"/>
        <v>49163000</v>
      </c>
      <c r="CQ54" s="94">
        <f>SUMIFS('Federal Data'!AR2:AR501,'Federal Data'!$H2:$H501,"Veterans Pension &amp; Disability Benefits",'Federal Data'!$D2:$D501,"Nongrant")</f>
        <v>58747000</v>
      </c>
      <c r="CR54" s="101" t="s">
        <v>487</v>
      </c>
      <c r="CS54" s="101">
        <f t="shared" si="143"/>
        <v>58747000</v>
      </c>
      <c r="CT54" s="94">
        <f>SUMIFS('Federal Data'!AS2:AS501,'Federal Data'!$H2:$H501,"Veterans Pension &amp; Disability Benefits",'Federal Data'!$D2:$D501,"Nongrant")</f>
        <v>55899000</v>
      </c>
      <c r="CU54" s="101" t="s">
        <v>487</v>
      </c>
      <c r="CV54" s="101">
        <f t="shared" si="144"/>
        <v>55899000</v>
      </c>
      <c r="CW54" s="94">
        <f>SUMIFS('Federal Data'!AT2:AT501,'Federal Data'!$H2:$H501,"Veterans Pension &amp; Disability Benefits",'Federal Data'!$D2:$D501,"Nongrant")</f>
        <v>65890000</v>
      </c>
      <c r="CX54" s="101" t="s">
        <v>487</v>
      </c>
      <c r="CY54" s="101">
        <f t="shared" si="145"/>
        <v>65890000</v>
      </c>
      <c r="CZ54" s="94">
        <f>SUMIFS('Federal Data'!AU2:AU501,'Federal Data'!$H2:$H501,"Veterans Pension &amp; Disability Benefits",'Federal Data'!$D2:$D501,"Nongrant")</f>
        <v>70906000</v>
      </c>
      <c r="DA54" s="101" t="s">
        <v>487</v>
      </c>
      <c r="DB54" s="101">
        <f t="shared" si="146"/>
        <v>70906000</v>
      </c>
      <c r="DC54" s="37">
        <f>SUMIFS('Federal Data'!AV2:AV501,'Federal Data'!$H2:$H501,"Veterans Pension &amp; Disability Benefits",'Federal Data'!$D2:$D501,"Nongrant")</f>
        <v>76360000</v>
      </c>
      <c r="DD54" s="85" t="s">
        <v>487</v>
      </c>
      <c r="DE54" s="85">
        <f t="shared" si="147"/>
        <v>76360000</v>
      </c>
    </row>
    <row r="55" spans="1:109" outlineLevel="2">
      <c r="A55" s="31" t="s">
        <v>83</v>
      </c>
      <c r="B55" s="94">
        <f>SUMIFS('Federal Data'!M2:M501,'Federal Data'!$H2:$H501,"Veterans Medical Care",'Federal Data'!$D2:$D501,"Nongrant")</f>
        <v>6423098</v>
      </c>
      <c r="C55" s="101" t="s">
        <v>487</v>
      </c>
      <c r="D55" s="101">
        <f t="shared" si="112"/>
        <v>6423098</v>
      </c>
      <c r="E55" s="94">
        <f>SUMIFS('Federal Data'!N2:N501,'Federal Data'!$H2:$H501,"Veterans Medical Care",'Federal Data'!$D2:$D501,"Nongrant")</f>
        <v>6890772</v>
      </c>
      <c r="F55" s="101" t="s">
        <v>487</v>
      </c>
      <c r="G55" s="101">
        <f t="shared" si="113"/>
        <v>6890772</v>
      </c>
      <c r="H55" s="94">
        <f>SUMIFS('Federal Data'!O2:O501,'Federal Data'!$H2:$H501,"Veterans Medical Care",'Federal Data'!$D2:$D501,"Nongrant")</f>
        <v>7454720</v>
      </c>
      <c r="I55" s="101" t="s">
        <v>487</v>
      </c>
      <c r="J55" s="101">
        <f t="shared" si="114"/>
        <v>7454720</v>
      </c>
      <c r="K55" s="94">
        <f>SUMIFS('Federal Data'!P2:P501,'Federal Data'!$H2:$H501,"Veterans Medical Care",'Federal Data'!$D2:$D501,"Nongrant")</f>
        <v>8207541</v>
      </c>
      <c r="L55" s="101" t="s">
        <v>487</v>
      </c>
      <c r="M55" s="101">
        <f t="shared" si="115"/>
        <v>8207541</v>
      </c>
      <c r="N55" s="94">
        <f>SUMIFS('Federal Data'!Q2:Q501,'Federal Data'!$H2:$H501,"Veterans Medical Care",'Federal Data'!$D2:$D501,"Nongrant")</f>
        <v>8795347</v>
      </c>
      <c r="O55" s="101" t="s">
        <v>487</v>
      </c>
      <c r="P55" s="101">
        <f t="shared" si="116"/>
        <v>8795347</v>
      </c>
      <c r="Q55" s="94">
        <f>SUMIFS('Federal Data'!R2:R501,'Federal Data'!$H2:$H501,"Veterans Medical Care",'Federal Data'!$D2:$D501,"Nongrant")</f>
        <v>9455720</v>
      </c>
      <c r="R55" s="101" t="s">
        <v>487</v>
      </c>
      <c r="S55" s="101">
        <f t="shared" si="117"/>
        <v>9455720</v>
      </c>
      <c r="T55" s="94">
        <f>SUMIFS('Federal Data'!S2:S501,'Federal Data'!$H2:$H501,"Veterans Medical Care",'Federal Data'!$D2:$D501,"Nongrant")</f>
        <v>9784349</v>
      </c>
      <c r="U55" s="101" t="s">
        <v>487</v>
      </c>
      <c r="V55" s="101">
        <f t="shared" si="118"/>
        <v>9784349</v>
      </c>
      <c r="W55" s="94">
        <f>SUMIFS('Federal Data'!T2:T501,'Federal Data'!$H2:$H501,"Veterans Medical Care",'Federal Data'!$D2:$D501,"Nongrant")</f>
        <v>10171825</v>
      </c>
      <c r="X55" s="101" t="s">
        <v>487</v>
      </c>
      <c r="Y55" s="101">
        <f t="shared" si="119"/>
        <v>10171825</v>
      </c>
      <c r="Z55" s="94">
        <f>SUMIFS('Federal Data'!U2:U501,'Federal Data'!$H2:$H501,"Veterans Medical Care",'Federal Data'!$D2:$D501,"Nongrant")</f>
        <v>10735386</v>
      </c>
      <c r="AA55" s="101" t="s">
        <v>487</v>
      </c>
      <c r="AB55" s="101">
        <f t="shared" si="120"/>
        <v>10735386</v>
      </c>
      <c r="AC55" s="94">
        <f>SUMIFS('Federal Data'!V2:V501,'Federal Data'!$H2:$H501,"Veterans Medical Care",'Federal Data'!$D2:$D501,"Nongrant")</f>
        <v>11217949</v>
      </c>
      <c r="AD55" s="101" t="s">
        <v>487</v>
      </c>
      <c r="AE55" s="101">
        <f t="shared" si="121"/>
        <v>11217949</v>
      </c>
      <c r="AF55" s="94">
        <f>SUMIFS('Federal Data'!W2:W501,'Federal Data'!$H2:$H501,"Veterans Medical Care",'Federal Data'!$D2:$D501,"Nongrant")</f>
        <v>12002648</v>
      </c>
      <c r="AG55" s="101" t="s">
        <v>487</v>
      </c>
      <c r="AH55" s="101">
        <f t="shared" si="122"/>
        <v>12002648</v>
      </c>
      <c r="AI55" s="94">
        <f>SUMIFS('Federal Data'!X2:X501,'Federal Data'!$H2:$H501,"Veterans Medical Care",'Federal Data'!$D2:$D501,"Nongrant")</f>
        <v>12750674</v>
      </c>
      <c r="AJ55" s="101" t="s">
        <v>487</v>
      </c>
      <c r="AK55" s="101">
        <f t="shared" si="123"/>
        <v>12750674</v>
      </c>
      <c r="AL55" s="94">
        <f>SUMIFS('Federal Data'!Y2:Y501,'Federal Data'!$H2:$H501,"Veterans Medical Care",'Federal Data'!$D2:$D501,"Nongrant")</f>
        <v>13936184</v>
      </c>
      <c r="AM55" s="101" t="s">
        <v>487</v>
      </c>
      <c r="AN55" s="101">
        <f t="shared" si="124"/>
        <v>13936184</v>
      </c>
      <c r="AO55" s="94">
        <f>SUMIFS('Federal Data'!Z2:Z501,'Federal Data'!$H2:$H501,"Veterans Medical Care",'Federal Data'!$D2:$D501,"Nongrant")</f>
        <v>14626950</v>
      </c>
      <c r="AP55" s="101" t="s">
        <v>487</v>
      </c>
      <c r="AQ55" s="101">
        <f t="shared" si="125"/>
        <v>14626950</v>
      </c>
      <c r="AR55" s="94">
        <f>SUMIFS('Federal Data'!AA2:AA501,'Federal Data'!$H2:$H501,"Veterans Medical Care",'Federal Data'!$D2:$D501,"Nongrant")</f>
        <v>15479397</v>
      </c>
      <c r="AS55" s="101" t="s">
        <v>487</v>
      </c>
      <c r="AT55" s="101">
        <f t="shared" si="126"/>
        <v>15479397</v>
      </c>
      <c r="AU55" s="94">
        <f>SUMIFS('Federal Data'!AB2:AB501,'Federal Data'!$H2:$H501,"Veterans Medical Care",'Federal Data'!$D2:$D501,"Nongrant")</f>
        <v>16178000</v>
      </c>
      <c r="AV55" s="101" t="s">
        <v>487</v>
      </c>
      <c r="AW55" s="101">
        <f t="shared" si="127"/>
        <v>16178000</v>
      </c>
      <c r="AX55" s="94">
        <f>SUMIFS('Federal Data'!AC2:AC501,'Federal Data'!$H2:$H501,"Veterans Medical Care",'Federal Data'!$D2:$D501,"Nongrant")</f>
        <v>16322000</v>
      </c>
      <c r="AY55" s="101" t="s">
        <v>487</v>
      </c>
      <c r="AZ55" s="101">
        <f t="shared" si="128"/>
        <v>16322000</v>
      </c>
      <c r="BA55" s="94">
        <f>SUMIFS('Federal Data'!AD2:AD501,'Federal Data'!$H2:$H501,"Veterans Medical Care",'Federal Data'!$D2:$D501,"Nongrant")</f>
        <v>16822000</v>
      </c>
      <c r="BB55" s="101" t="s">
        <v>487</v>
      </c>
      <c r="BC55" s="101">
        <f t="shared" si="129"/>
        <v>16822000</v>
      </c>
      <c r="BD55" s="94">
        <f>SUMIFS('Federal Data'!AE2:AE501,'Federal Data'!$H2:$H501,"Veterans Medical Care",'Federal Data'!$D2:$D501,"Nongrant")</f>
        <v>17260000</v>
      </c>
      <c r="BE55" s="101" t="s">
        <v>487</v>
      </c>
      <c r="BF55" s="101">
        <f t="shared" si="130"/>
        <v>17260000</v>
      </c>
      <c r="BG55" s="94">
        <f>SUMIFS('Federal Data'!AF2:AF501,'Federal Data'!$H2:$H501,"Veterans Medical Care",'Federal Data'!$D2:$D501,"Nongrant")</f>
        <v>17855000</v>
      </c>
      <c r="BH55" s="101" t="s">
        <v>487</v>
      </c>
      <c r="BI55" s="101">
        <f t="shared" si="131"/>
        <v>17855000</v>
      </c>
      <c r="BJ55" s="94">
        <f>SUMIFS('Federal Data'!AG2:AG501,'Federal Data'!$H2:$H501,"Veterans Medical Care",'Federal Data'!$D2:$D501,"Nongrant")</f>
        <v>19094000</v>
      </c>
      <c r="BK55" s="101" t="s">
        <v>487</v>
      </c>
      <c r="BL55" s="101">
        <f t="shared" si="132"/>
        <v>19094000</v>
      </c>
      <c r="BM55" s="94">
        <f>SUMIFS('Federal Data'!AH2:AH501,'Federal Data'!$H2:$H501,"Veterans Medical Care",'Federal Data'!$D2:$D501,"Nongrant")</f>
        <v>20571000</v>
      </c>
      <c r="BN55" s="101" t="s">
        <v>487</v>
      </c>
      <c r="BO55" s="101">
        <f t="shared" si="133"/>
        <v>20571000</v>
      </c>
      <c r="BP55" s="94">
        <f>SUMIFS('Federal Data'!AI2:AI501,'Federal Data'!$H2:$H501,"Veterans Medical Care",'Federal Data'!$D2:$D501,"Nongrant")</f>
        <v>21930000</v>
      </c>
      <c r="BQ55" s="101" t="s">
        <v>487</v>
      </c>
      <c r="BR55" s="101">
        <f t="shared" si="134"/>
        <v>21930000</v>
      </c>
      <c r="BS55" s="94">
        <f>SUMIFS('Federal Data'!AJ2:AJ501,'Federal Data'!$H2:$H501,"Veterans Medical Care",'Federal Data'!$D2:$D501,"Nongrant")</f>
        <v>23679000</v>
      </c>
      <c r="BT55" s="101" t="s">
        <v>487</v>
      </c>
      <c r="BU55" s="101">
        <f t="shared" si="135"/>
        <v>23679000</v>
      </c>
      <c r="BV55" s="94">
        <f>SUMIFS('Federal Data'!AK2:AK501,'Federal Data'!$H2:$H501,"Veterans Medical Care",'Federal Data'!$D2:$D501,"Nongrant")</f>
        <v>26405000</v>
      </c>
      <c r="BW55" s="101" t="s">
        <v>487</v>
      </c>
      <c r="BX55" s="101">
        <f t="shared" si="136"/>
        <v>26405000</v>
      </c>
      <c r="BY55" s="94">
        <f>SUMIFS('Federal Data'!AL2:AL501,'Federal Data'!$H2:$H501,"Veterans Medical Care",'Federal Data'!$D2:$D501,"Nongrant")</f>
        <v>28223000</v>
      </c>
      <c r="BZ55" s="101" t="s">
        <v>487</v>
      </c>
      <c r="CA55" s="101">
        <f t="shared" si="137"/>
        <v>28223000</v>
      </c>
      <c r="CB55" s="94">
        <f>SUMIFS('Federal Data'!AM2:AM501,'Federal Data'!$H2:$H501,"Veterans Medical Care",'Federal Data'!$D2:$D501,"Nongrant")</f>
        <v>29300000</v>
      </c>
      <c r="CC55" s="101" t="s">
        <v>487</v>
      </c>
      <c r="CD55" s="101">
        <f t="shared" si="138"/>
        <v>29300000</v>
      </c>
      <c r="CE55" s="94">
        <f>SUMIFS('Federal Data'!AN2:AN501,'Federal Data'!$H2:$H501,"Veterans Medical Care",'Federal Data'!$D2:$D501,"Nongrant")</f>
        <v>31681000</v>
      </c>
      <c r="CF55" s="101" t="s">
        <v>487</v>
      </c>
      <c r="CG55" s="101">
        <f t="shared" si="139"/>
        <v>31681000</v>
      </c>
      <c r="CH55" s="94">
        <f>SUMIFS('Federal Data'!AO2:AO501,'Federal Data'!$H2:$H501,"Veterans Medical Care",'Federal Data'!$D2:$D501,"Nongrant")</f>
        <v>36310000</v>
      </c>
      <c r="CI55" s="101" t="s">
        <v>487</v>
      </c>
      <c r="CJ55" s="101">
        <f t="shared" si="140"/>
        <v>36310000</v>
      </c>
      <c r="CK55" s="94">
        <f>SUMIFS('Federal Data'!AP2:AP501,'Federal Data'!$H2:$H501,"Veterans Medical Care",'Federal Data'!$D2:$D501,"Nongrant")</f>
        <v>41103000</v>
      </c>
      <c r="CL55" s="101" t="s">
        <v>487</v>
      </c>
      <c r="CM55" s="101">
        <f t="shared" si="141"/>
        <v>41103000</v>
      </c>
      <c r="CN55" s="94">
        <f>SUMIFS('Federal Data'!AQ2:AQ501,'Federal Data'!$H2:$H501,"Veterans Medical Care",'Federal Data'!$D2:$D501,"Nongrant")</f>
        <v>44914000</v>
      </c>
      <c r="CO55" s="101" t="s">
        <v>487</v>
      </c>
      <c r="CP55" s="101">
        <f t="shared" si="142"/>
        <v>44914000</v>
      </c>
      <c r="CQ55" s="94">
        <f>SUMIFS('Federal Data'!AR2:AR501,'Federal Data'!$H2:$H501,"Veterans Medical Care",'Federal Data'!$D2:$D501,"Nongrant")</f>
        <v>49116000</v>
      </c>
      <c r="CR55" s="101" t="s">
        <v>487</v>
      </c>
      <c r="CS55" s="101">
        <f t="shared" si="143"/>
        <v>49116000</v>
      </c>
      <c r="CT55" s="94">
        <f>SUMIFS('Federal Data'!AS2:AS501,'Federal Data'!$H2:$H501,"Veterans Medical Care",'Federal Data'!$D2:$D501,"Nongrant")</f>
        <v>49535000</v>
      </c>
      <c r="CU55" s="101" t="s">
        <v>487</v>
      </c>
      <c r="CV55" s="101">
        <f t="shared" si="144"/>
        <v>49535000</v>
      </c>
      <c r="CW55" s="94">
        <f>SUMIFS('Federal Data'!AT2:AT501,'Federal Data'!$H2:$H501,"Veterans Medical Care",'Federal Data'!$D2:$D501,"Nongrant")</f>
        <v>51512000</v>
      </c>
      <c r="CX55" s="101" t="s">
        <v>487</v>
      </c>
      <c r="CY55" s="101">
        <f t="shared" si="145"/>
        <v>51512000</v>
      </c>
      <c r="CZ55" s="94">
        <f>SUMIFS('Federal Data'!AU2:AU501,'Federal Data'!$H2:$H501,"Veterans Medical Care",'Federal Data'!$D2:$D501,"Nongrant")</f>
        <v>55043000</v>
      </c>
      <c r="DA55" s="101" t="s">
        <v>487</v>
      </c>
      <c r="DB55" s="101">
        <f t="shared" si="146"/>
        <v>55043000</v>
      </c>
      <c r="DC55" s="37">
        <f>SUMIFS('Federal Data'!AV2:AV501,'Federal Data'!$H2:$H501,"Veterans Medical Care",'Federal Data'!$D2:$D501,"Nongrant")</f>
        <v>60131000</v>
      </c>
      <c r="DD55" s="85" t="s">
        <v>487</v>
      </c>
      <c r="DE55" s="85">
        <f t="shared" si="147"/>
        <v>60131000</v>
      </c>
    </row>
    <row r="56" spans="1:109" outlineLevel="2">
      <c r="A56" s="31" t="s">
        <v>316</v>
      </c>
      <c r="B56" s="94">
        <f>SUMIFS('Federal Data'!M2:M501,'Federal Data'!$H2:$H501,"Veterans Housing",'Federal Data'!$D2:$D501,"Nongrant")</f>
        <v>-3835</v>
      </c>
      <c r="C56" s="101" t="s">
        <v>487</v>
      </c>
      <c r="D56" s="101">
        <f t="shared" si="112"/>
        <v>-3835</v>
      </c>
      <c r="E56" s="94">
        <f>SUMIFS('Federal Data'!N2:N501,'Federal Data'!$H2:$H501,"Veterans Housing",'Federal Data'!$D2:$D501,"Nongrant")</f>
        <v>216723</v>
      </c>
      <c r="F56" s="101" t="s">
        <v>487</v>
      </c>
      <c r="G56" s="101">
        <f t="shared" si="113"/>
        <v>216723</v>
      </c>
      <c r="H56" s="94">
        <f>SUMIFS('Federal Data'!O2:O501,'Federal Data'!$H2:$H501,"Veterans Housing",'Federal Data'!$D2:$D501,"Nongrant")</f>
        <v>119681</v>
      </c>
      <c r="I56" s="101" t="s">
        <v>487</v>
      </c>
      <c r="J56" s="101">
        <f t="shared" si="114"/>
        <v>119681</v>
      </c>
      <c r="K56" s="94">
        <f>SUMIFS('Federal Data'!P2:P501,'Federal Data'!$H2:$H501,"Veterans Housing",'Federal Data'!$D2:$D501,"Nongrant")</f>
        <v>16876</v>
      </c>
      <c r="L56" s="101" t="s">
        <v>487</v>
      </c>
      <c r="M56" s="101">
        <f t="shared" si="115"/>
        <v>16876</v>
      </c>
      <c r="N56" s="94">
        <f>SUMIFS('Federal Data'!Q2:Q501,'Federal Data'!$H2:$H501,"Veterans Housing",'Federal Data'!$D2:$D501,"Nongrant")</f>
        <v>257267</v>
      </c>
      <c r="O56" s="101" t="s">
        <v>487</v>
      </c>
      <c r="P56" s="101">
        <f t="shared" si="116"/>
        <v>257267</v>
      </c>
      <c r="Q56" s="94">
        <f>SUMIFS('Federal Data'!R2:R501,'Federal Data'!$H2:$H501,"Veterans Housing",'Federal Data'!$D2:$D501,"Nongrant")</f>
        <v>229652</v>
      </c>
      <c r="R56" s="101" t="s">
        <v>487</v>
      </c>
      <c r="S56" s="101">
        <f t="shared" si="117"/>
        <v>229652</v>
      </c>
      <c r="T56" s="94">
        <f>SUMIFS('Federal Data'!S2:S501,'Federal Data'!$H2:$H501,"Veterans Housing",'Federal Data'!$D2:$D501,"Nongrant")</f>
        <v>128141</v>
      </c>
      <c r="U56" s="101" t="s">
        <v>487</v>
      </c>
      <c r="V56" s="101">
        <f t="shared" si="118"/>
        <v>128141</v>
      </c>
      <c r="W56" s="94">
        <f>SUMIFS('Federal Data'!T2:T501,'Federal Data'!$H2:$H501,"Veterans Housing",'Federal Data'!$D2:$D501,"Nongrant")</f>
        <v>344474</v>
      </c>
      <c r="X56" s="101" t="s">
        <v>487</v>
      </c>
      <c r="Y56" s="101">
        <f t="shared" si="119"/>
        <v>344474</v>
      </c>
      <c r="Z56" s="94">
        <f>SUMIFS('Federal Data'!U2:U501,'Federal Data'!$H2:$H501,"Veterans Housing",'Federal Data'!$D2:$D501,"Nongrant")</f>
        <v>1305185</v>
      </c>
      <c r="AA56" s="101" t="s">
        <v>487</v>
      </c>
      <c r="AB56" s="101">
        <f t="shared" si="120"/>
        <v>1305185</v>
      </c>
      <c r="AC56" s="94">
        <f>SUMIFS('Federal Data'!V2:V501,'Federal Data'!$H2:$H501,"Veterans Housing",'Federal Data'!$D2:$D501,"Nongrant")</f>
        <v>891942</v>
      </c>
      <c r="AD56" s="101" t="s">
        <v>487</v>
      </c>
      <c r="AE56" s="101">
        <f t="shared" si="121"/>
        <v>891942</v>
      </c>
      <c r="AF56" s="94">
        <f>SUMIFS('Federal Data'!W2:W501,'Federal Data'!$H2:$H501,"Veterans Housing",'Federal Data'!$D2:$D501,"Nongrant")</f>
        <v>530044</v>
      </c>
      <c r="AG56" s="101" t="s">
        <v>487</v>
      </c>
      <c r="AH56" s="101">
        <f t="shared" si="122"/>
        <v>530044</v>
      </c>
      <c r="AI56" s="94">
        <f>SUMIFS('Federal Data'!X2:X501,'Federal Data'!$H2:$H501,"Veterans Housing",'Federal Data'!$D2:$D501,"Nongrant")</f>
        <v>99815</v>
      </c>
      <c r="AJ56" s="101" t="s">
        <v>487</v>
      </c>
      <c r="AK56" s="101">
        <f t="shared" si="123"/>
        <v>99815</v>
      </c>
      <c r="AL56" s="94">
        <f>SUMIFS('Federal Data'!Y2:Y501,'Federal Data'!$H2:$H501,"Veterans Housing",'Federal Data'!$D2:$D501,"Nongrant")</f>
        <v>917139</v>
      </c>
      <c r="AM56" s="101" t="s">
        <v>487</v>
      </c>
      <c r="AN56" s="101">
        <f t="shared" si="124"/>
        <v>917139</v>
      </c>
      <c r="AO56" s="94">
        <f>SUMIFS('Federal Data'!Z2:Z501,'Federal Data'!$H2:$H501,"Veterans Housing",'Federal Data'!$D2:$D501,"Nongrant")</f>
        <v>1313879</v>
      </c>
      <c r="AP56" s="101" t="s">
        <v>487</v>
      </c>
      <c r="AQ56" s="101">
        <f t="shared" si="125"/>
        <v>1313879</v>
      </c>
      <c r="AR56" s="94">
        <f>SUMIFS('Federal Data'!AA2:AA501,'Federal Data'!$H2:$H501,"Veterans Housing",'Federal Data'!$D2:$D501,"Nongrant")</f>
        <v>211502</v>
      </c>
      <c r="AS56" s="101" t="s">
        <v>487</v>
      </c>
      <c r="AT56" s="101">
        <f t="shared" si="126"/>
        <v>211502</v>
      </c>
      <c r="AU56" s="94">
        <f>SUMIFS('Federal Data'!AB2:AB501,'Federal Data'!$H2:$H501,"Veterans Housing",'Federal Data'!$D2:$D501,"Nongrant")</f>
        <v>344000</v>
      </c>
      <c r="AV56" s="101" t="s">
        <v>487</v>
      </c>
      <c r="AW56" s="101">
        <f t="shared" si="127"/>
        <v>344000</v>
      </c>
      <c r="AX56" s="94">
        <f>SUMIFS('Federal Data'!AC2:AC501,'Federal Data'!$H2:$H501,"Veterans Housing",'Federal Data'!$D2:$D501,"Nongrant")</f>
        <v>80000</v>
      </c>
      <c r="AY56" s="101" t="s">
        <v>487</v>
      </c>
      <c r="AZ56" s="101">
        <f t="shared" si="128"/>
        <v>80000</v>
      </c>
      <c r="BA56" s="94">
        <f>SUMIFS('Federal Data'!AD2:AD501,'Federal Data'!$H2:$H501,"Veterans Housing",'Federal Data'!$D2:$D501,"Nongrant")</f>
        <v>-327000</v>
      </c>
      <c r="BB56" s="101" t="s">
        <v>487</v>
      </c>
      <c r="BC56" s="101">
        <f t="shared" si="129"/>
        <v>-327000</v>
      </c>
      <c r="BD56" s="94">
        <f>SUMIFS('Federal Data'!AE2:AE501,'Federal Data'!$H2:$H501,"Veterans Housing",'Federal Data'!$D2:$D501,"Nongrant")</f>
        <v>853000</v>
      </c>
      <c r="BE56" s="101" t="s">
        <v>487</v>
      </c>
      <c r="BF56" s="101">
        <f t="shared" si="130"/>
        <v>853000</v>
      </c>
      <c r="BG56" s="94">
        <f>SUMIFS('Federal Data'!AF2:AF501,'Federal Data'!$H2:$H501,"Veterans Housing",'Federal Data'!$D2:$D501,"Nongrant")</f>
        <v>580000</v>
      </c>
      <c r="BH56" s="101" t="s">
        <v>487</v>
      </c>
      <c r="BI56" s="101">
        <f t="shared" si="131"/>
        <v>580000</v>
      </c>
      <c r="BJ56" s="94">
        <f>SUMIFS('Federal Data'!AG2:AG501,'Federal Data'!$H2:$H501,"Veterans Housing",'Federal Data'!$D2:$D501,"Nongrant")</f>
        <v>364000</v>
      </c>
      <c r="BK56" s="101" t="s">
        <v>487</v>
      </c>
      <c r="BL56" s="101">
        <f t="shared" si="132"/>
        <v>364000</v>
      </c>
      <c r="BM56" s="94">
        <f>SUMIFS('Federal Data'!AH2:AH501,'Federal Data'!$H2:$H501,"Veterans Housing",'Federal Data'!$D2:$D501,"Nongrant")</f>
        <v>-904000</v>
      </c>
      <c r="BN56" s="101" t="s">
        <v>487</v>
      </c>
      <c r="BO56" s="101">
        <f t="shared" si="133"/>
        <v>-904000</v>
      </c>
      <c r="BP56" s="94">
        <f>SUMIFS('Federal Data'!AI2:AI501,'Federal Data'!$H2:$H501,"Veterans Housing",'Federal Data'!$D2:$D501,"Nongrant")</f>
        <v>-1006000</v>
      </c>
      <c r="BQ56" s="101" t="s">
        <v>487</v>
      </c>
      <c r="BR56" s="101">
        <f t="shared" si="134"/>
        <v>-1006000</v>
      </c>
      <c r="BS56" s="94">
        <f>SUMIFS('Federal Data'!AJ2:AJ501,'Federal Data'!$H2:$H501,"Veterans Housing",'Federal Data'!$D2:$D501,"Nongrant")</f>
        <v>505000</v>
      </c>
      <c r="BT56" s="101" t="s">
        <v>487</v>
      </c>
      <c r="BU56" s="101">
        <f t="shared" si="135"/>
        <v>505000</v>
      </c>
      <c r="BV56" s="94">
        <f>SUMIFS('Federal Data'!AK2:AK501,'Federal Data'!$H2:$H501,"Veterans Housing",'Federal Data'!$D2:$D501,"Nongrant")</f>
        <v>-1982000</v>
      </c>
      <c r="BW56" s="101" t="s">
        <v>487</v>
      </c>
      <c r="BX56" s="101">
        <f t="shared" si="136"/>
        <v>-1982000</v>
      </c>
      <c r="BY56" s="94">
        <f>SUMIFS('Federal Data'!AL2:AL501,'Federal Data'!$H2:$H501,"Veterans Housing",'Federal Data'!$D2:$D501,"Nongrant")</f>
        <v>860000</v>
      </c>
      <c r="BZ56" s="101" t="s">
        <v>487</v>
      </c>
      <c r="CA56" s="101">
        <f t="shared" si="137"/>
        <v>860000</v>
      </c>
      <c r="CB56" s="94">
        <f>SUMIFS('Federal Data'!AM2:AM501,'Federal Data'!$H2:$H501,"Veterans Housing",'Federal Data'!$D2:$D501,"Nongrant")</f>
        <v>-1242000</v>
      </c>
      <c r="CC56" s="101" t="s">
        <v>487</v>
      </c>
      <c r="CD56" s="101">
        <f t="shared" si="138"/>
        <v>-1242000</v>
      </c>
      <c r="CE56" s="94">
        <f>SUMIFS('Federal Data'!AN2:AN501,'Federal Data'!$H2:$H501,"Veterans Housing",'Federal Data'!$D2:$D501,"Nongrant")</f>
        <v>-868000</v>
      </c>
      <c r="CF56" s="101" t="s">
        <v>487</v>
      </c>
      <c r="CG56" s="101">
        <f t="shared" si="139"/>
        <v>-868000</v>
      </c>
      <c r="CH56" s="94">
        <f>SUMIFS('Federal Data'!AO2:AO501,'Federal Data'!$H2:$H501,"Veterans Housing",'Federal Data'!$D2:$D501,"Nongrant")</f>
        <v>-419000</v>
      </c>
      <c r="CI56" s="101" t="s">
        <v>487</v>
      </c>
      <c r="CJ56" s="101">
        <f t="shared" si="140"/>
        <v>-419000</v>
      </c>
      <c r="CK56" s="94">
        <f>SUMIFS('Federal Data'!AP2:AP501,'Federal Data'!$H2:$H501,"Veterans Housing",'Federal Data'!$D2:$D501,"Nongrant")</f>
        <v>-578000</v>
      </c>
      <c r="CL56" s="101" t="s">
        <v>487</v>
      </c>
      <c r="CM56" s="101">
        <f t="shared" si="141"/>
        <v>-578000</v>
      </c>
      <c r="CN56" s="94">
        <f>SUMIFS('Federal Data'!AQ2:AQ501,'Federal Data'!$H2:$H501,"Veterans Housing",'Federal Data'!$D2:$D501,"Nongrant")</f>
        <v>540000</v>
      </c>
      <c r="CO56" s="101" t="s">
        <v>487</v>
      </c>
      <c r="CP56" s="101">
        <f t="shared" si="142"/>
        <v>540000</v>
      </c>
      <c r="CQ56" s="94">
        <f>SUMIFS('Federal Data'!AR2:AR501,'Federal Data'!$H2:$H501,"Veterans Housing",'Federal Data'!$D2:$D501,"Nongrant")</f>
        <v>1262000</v>
      </c>
      <c r="CR56" s="101" t="s">
        <v>487</v>
      </c>
      <c r="CS56" s="101">
        <f t="shared" si="143"/>
        <v>1262000</v>
      </c>
      <c r="CT56" s="94">
        <f>SUMIFS('Federal Data'!AS2:AS501,'Federal Data'!$H2:$H501,"Veterans Housing",'Federal Data'!$D2:$D501,"Nongrant")</f>
        <v>1413000</v>
      </c>
      <c r="CU56" s="101" t="s">
        <v>487</v>
      </c>
      <c r="CV56" s="101">
        <f t="shared" si="144"/>
        <v>1413000</v>
      </c>
      <c r="CW56" s="94">
        <f>SUMIFS('Federal Data'!AT2:AT501,'Federal Data'!$H2:$H501,"Veterans Housing",'Federal Data'!$D2:$D501,"Nongrant")</f>
        <v>1328000</v>
      </c>
      <c r="CX56" s="101" t="s">
        <v>487</v>
      </c>
      <c r="CY56" s="101">
        <f t="shared" si="145"/>
        <v>1328000</v>
      </c>
      <c r="CZ56" s="94">
        <f>SUMIFS('Federal Data'!AU2:AU501,'Federal Data'!$H2:$H501,"Veterans Housing",'Federal Data'!$D2:$D501,"Nongrant")</f>
        <v>2143000</v>
      </c>
      <c r="DA56" s="101" t="s">
        <v>487</v>
      </c>
      <c r="DB56" s="101">
        <f t="shared" si="146"/>
        <v>2143000</v>
      </c>
      <c r="DC56" s="37">
        <f>SUMIFS('Federal Data'!AV2:AV501,'Federal Data'!$H2:$H501,"Veterans Housing",'Federal Data'!$D2:$D501,"Nongrant")</f>
        <v>743000</v>
      </c>
      <c r="DD56" s="85" t="s">
        <v>487</v>
      </c>
      <c r="DE56" s="85">
        <f t="shared" si="147"/>
        <v>743000</v>
      </c>
    </row>
    <row r="57" spans="1:109" outlineLevel="2">
      <c r="A57" s="31" t="s">
        <v>85</v>
      </c>
      <c r="B57" s="94">
        <f>SUMIFS('Federal Data'!M2:M501,'Federal Data'!$H2:$H501,"Veterans Readjustment Benefits",'Federal Data'!$D2:$D501,"Nongrant")</f>
        <v>2309735</v>
      </c>
      <c r="C57" s="101" t="s">
        <v>487</v>
      </c>
      <c r="D57" s="101">
        <f t="shared" si="112"/>
        <v>2309735</v>
      </c>
      <c r="E57" s="94">
        <f>SUMIFS('Federal Data'!N2:N501,'Federal Data'!$H2:$H501,"Veterans Readjustment Benefits",'Federal Data'!$D2:$D501,"Nongrant")</f>
        <v>2225844</v>
      </c>
      <c r="F57" s="101" t="s">
        <v>487</v>
      </c>
      <c r="G57" s="101">
        <f t="shared" si="113"/>
        <v>2225844</v>
      </c>
      <c r="H57" s="94">
        <f>SUMIFS('Federal Data'!O2:O501,'Federal Data'!$H2:$H501,"Veterans Readjustment Benefits",'Federal Data'!$D2:$D501,"Nongrant")</f>
        <v>1916709</v>
      </c>
      <c r="I57" s="101" t="s">
        <v>487</v>
      </c>
      <c r="J57" s="101">
        <f t="shared" si="114"/>
        <v>1916709</v>
      </c>
      <c r="K57" s="94">
        <f>SUMIFS('Federal Data'!P2:P501,'Federal Data'!$H2:$H501,"Veterans Readjustment Benefits",'Federal Data'!$D2:$D501,"Nongrant")</f>
        <v>1598064</v>
      </c>
      <c r="L57" s="101" t="s">
        <v>487</v>
      </c>
      <c r="M57" s="101">
        <f t="shared" si="115"/>
        <v>1598064</v>
      </c>
      <c r="N57" s="94">
        <f>SUMIFS('Federal Data'!Q2:Q501,'Federal Data'!$H2:$H501,"Veterans Readjustment Benefits",'Federal Data'!$D2:$D501,"Nongrant")</f>
        <v>1332936</v>
      </c>
      <c r="O57" s="101" t="s">
        <v>487</v>
      </c>
      <c r="P57" s="101">
        <f t="shared" si="116"/>
        <v>1332936</v>
      </c>
      <c r="Q57" s="94">
        <f>SUMIFS('Federal Data'!R2:R501,'Federal Data'!$H2:$H501,"Veterans Readjustment Benefits",'Federal Data'!$D2:$D501,"Nongrant")</f>
        <v>1028616</v>
      </c>
      <c r="R57" s="101" t="s">
        <v>487</v>
      </c>
      <c r="S57" s="101">
        <f t="shared" si="117"/>
        <v>1028616</v>
      </c>
      <c r="T57" s="94">
        <f>SUMIFS('Federal Data'!S2:S501,'Federal Data'!$H2:$H501,"Veterans Readjustment Benefits",'Federal Data'!$D2:$D501,"Nongrant")</f>
        <v>496098</v>
      </c>
      <c r="U57" s="101" t="s">
        <v>487</v>
      </c>
      <c r="V57" s="101">
        <f t="shared" si="118"/>
        <v>496098</v>
      </c>
      <c r="W57" s="94">
        <f>SUMIFS('Federal Data'!T2:T501,'Federal Data'!$H2:$H501,"Veterans Readjustment Benefits",'Federal Data'!$D2:$D501,"Nongrant")</f>
        <v>423961</v>
      </c>
      <c r="X57" s="101" t="s">
        <v>487</v>
      </c>
      <c r="Y57" s="101">
        <f t="shared" si="119"/>
        <v>423961</v>
      </c>
      <c r="Z57" s="94">
        <f>SUMIFS('Federal Data'!U2:U501,'Federal Data'!$H2:$H501,"Veterans Readjustment Benefits",'Federal Data'!$D2:$D501,"Nongrant")</f>
        <v>424241</v>
      </c>
      <c r="AA57" s="101" t="s">
        <v>487</v>
      </c>
      <c r="AB57" s="101">
        <f t="shared" si="120"/>
        <v>424241</v>
      </c>
      <c r="AC57" s="94">
        <f>SUMIFS('Federal Data'!V2:V501,'Federal Data'!$H2:$H501,"Veterans Readjustment Benefits",'Federal Data'!$D2:$D501,"Nongrant")</f>
        <v>426383</v>
      </c>
      <c r="AD57" s="101" t="s">
        <v>487</v>
      </c>
      <c r="AE57" s="101">
        <f t="shared" si="121"/>
        <v>426383</v>
      </c>
      <c r="AF57" s="94">
        <f>SUMIFS('Federal Data'!W2:W501,'Federal Data'!$H2:$H501,"Veterans Readjustment Benefits",'Federal Data'!$D2:$D501,"Nongrant")</f>
        <v>245029</v>
      </c>
      <c r="AG57" s="101" t="s">
        <v>487</v>
      </c>
      <c r="AH57" s="101">
        <f t="shared" si="122"/>
        <v>245029</v>
      </c>
      <c r="AI57" s="94">
        <f>SUMIFS('Federal Data'!X2:X501,'Federal Data'!$H2:$H501,"Veterans Readjustment Benefits",'Federal Data'!$D2:$D501,"Nongrant")</f>
        <v>392764</v>
      </c>
      <c r="AJ57" s="101" t="s">
        <v>487</v>
      </c>
      <c r="AK57" s="101">
        <f t="shared" si="123"/>
        <v>392764</v>
      </c>
      <c r="AL57" s="94">
        <f>SUMIFS('Federal Data'!Y2:Y501,'Federal Data'!$H2:$H501,"Veterans Readjustment Benefits",'Federal Data'!$D2:$D501,"Nongrant")</f>
        <v>745879</v>
      </c>
      <c r="AM57" s="101" t="s">
        <v>487</v>
      </c>
      <c r="AN57" s="101">
        <f t="shared" si="124"/>
        <v>745879</v>
      </c>
      <c r="AO57" s="94">
        <f>SUMIFS('Federal Data'!Z2:Z501,'Federal Data'!$H2:$H501,"Veterans Readjustment Benefits",'Federal Data'!$D2:$D501,"Nongrant")</f>
        <v>788334</v>
      </c>
      <c r="AP57" s="101" t="s">
        <v>487</v>
      </c>
      <c r="AQ57" s="101">
        <f t="shared" si="125"/>
        <v>788334</v>
      </c>
      <c r="AR57" s="94">
        <f>SUMIFS('Federal Data'!AA2:AA501,'Federal Data'!$H2:$H501,"Veterans Readjustment Benefits",'Federal Data'!$D2:$D501,"Nongrant")</f>
        <v>1075369</v>
      </c>
      <c r="AS57" s="101" t="s">
        <v>487</v>
      </c>
      <c r="AT57" s="101">
        <f t="shared" si="126"/>
        <v>1075369</v>
      </c>
      <c r="AU57" s="94">
        <f>SUMIFS('Federal Data'!AB2:AB501,'Federal Data'!$H2:$H501,"Veterans Readjustment Benefits",'Federal Data'!$D2:$D501,"Nongrant")</f>
        <v>1082000</v>
      </c>
      <c r="AV57" s="101" t="s">
        <v>487</v>
      </c>
      <c r="AW57" s="101">
        <f t="shared" si="127"/>
        <v>1082000</v>
      </c>
      <c r="AX57" s="94">
        <f>SUMIFS('Federal Data'!AC2:AC501,'Federal Data'!$H2:$H501,"Veterans Readjustment Benefits",'Federal Data'!$D2:$D501,"Nongrant")</f>
        <v>1073000</v>
      </c>
      <c r="AY57" s="101" t="s">
        <v>487</v>
      </c>
      <c r="AZ57" s="101">
        <f t="shared" si="128"/>
        <v>1073000</v>
      </c>
      <c r="BA57" s="94">
        <f>SUMIFS('Federal Data'!AD2:AD501,'Federal Data'!$H2:$H501,"Veterans Readjustment Benefits",'Federal Data'!$D2:$D501,"Nongrant")</f>
        <v>1113000</v>
      </c>
      <c r="BB57" s="101" t="s">
        <v>487</v>
      </c>
      <c r="BC57" s="101">
        <f t="shared" si="129"/>
        <v>1113000</v>
      </c>
      <c r="BD57" s="94">
        <f>SUMIFS('Federal Data'!AE2:AE501,'Federal Data'!$H2:$H501,"Veterans Readjustment Benefits",'Federal Data'!$D2:$D501,"Nongrant")</f>
        <v>1058000</v>
      </c>
      <c r="BE57" s="101" t="s">
        <v>487</v>
      </c>
      <c r="BF57" s="101">
        <f t="shared" si="130"/>
        <v>1058000</v>
      </c>
      <c r="BG57" s="94">
        <f>SUMIFS('Federal Data'!AF2:AF501,'Federal Data'!$H2:$H501,"Veterans Readjustment Benefits",'Federal Data'!$D2:$D501,"Nongrant")</f>
        <v>1222000</v>
      </c>
      <c r="BH57" s="101" t="s">
        <v>487</v>
      </c>
      <c r="BI57" s="101">
        <f t="shared" si="131"/>
        <v>1222000</v>
      </c>
      <c r="BJ57" s="94">
        <f>SUMIFS('Federal Data'!AG2:AG501,'Federal Data'!$H2:$H501,"Veterans Readjustment Benefits",'Federal Data'!$D2:$D501,"Nongrant")</f>
        <v>1285000</v>
      </c>
      <c r="BK57" s="101" t="s">
        <v>487</v>
      </c>
      <c r="BL57" s="101">
        <f t="shared" si="132"/>
        <v>1285000</v>
      </c>
      <c r="BM57" s="94">
        <f>SUMIFS('Federal Data'!AH2:AH501,'Federal Data'!$H2:$H501,"Veterans Readjustment Benefits",'Federal Data'!$D2:$D501,"Nongrant")</f>
        <v>1193000</v>
      </c>
      <c r="BN57" s="101" t="s">
        <v>487</v>
      </c>
      <c r="BO57" s="101">
        <f t="shared" si="133"/>
        <v>1193000</v>
      </c>
      <c r="BP57" s="94">
        <f>SUMIFS('Federal Data'!AI2:AI501,'Federal Data'!$H2:$H501,"Veterans Readjustment Benefits",'Federal Data'!$D2:$D501,"Nongrant")</f>
        <v>1726000</v>
      </c>
      <c r="BQ57" s="101" t="s">
        <v>487</v>
      </c>
      <c r="BR57" s="101">
        <f t="shared" si="134"/>
        <v>1726000</v>
      </c>
      <c r="BS57" s="94">
        <f>SUMIFS('Federal Data'!AJ2:AJ501,'Federal Data'!$H2:$H501,"Veterans Readjustment Benefits",'Federal Data'!$D2:$D501,"Nongrant")</f>
        <v>2106000</v>
      </c>
      <c r="BT57" s="101" t="s">
        <v>487</v>
      </c>
      <c r="BU57" s="101">
        <f t="shared" si="135"/>
        <v>2106000</v>
      </c>
      <c r="BV57" s="94">
        <f>SUMIFS('Federal Data'!AK2:AK501,'Federal Data'!$H2:$H501,"Veterans Readjustment Benefits",'Federal Data'!$D2:$D501,"Nongrant")</f>
        <v>2562000</v>
      </c>
      <c r="BW57" s="101" t="s">
        <v>487</v>
      </c>
      <c r="BX57" s="101">
        <f t="shared" si="136"/>
        <v>2562000</v>
      </c>
      <c r="BY57" s="94">
        <f>SUMIFS('Federal Data'!AL2:AL501,'Federal Data'!$H2:$H501,"Veterans Readjustment Benefits",'Federal Data'!$D2:$D501,"Nongrant")</f>
        <v>2790000</v>
      </c>
      <c r="BZ57" s="101" t="s">
        <v>487</v>
      </c>
      <c r="CA57" s="101">
        <f t="shared" si="137"/>
        <v>2790000</v>
      </c>
      <c r="CB57" s="94">
        <f>SUMIFS('Federal Data'!AM2:AM501,'Federal Data'!$H2:$H501,"Veterans Readjustment Benefits",'Federal Data'!$D2:$D501,"Nongrant")</f>
        <v>2638000</v>
      </c>
      <c r="CC57" s="101" t="s">
        <v>487</v>
      </c>
      <c r="CD57" s="101">
        <f t="shared" si="138"/>
        <v>2638000</v>
      </c>
      <c r="CE57" s="94">
        <f>SUMIFS('Federal Data'!AN2:AN501,'Federal Data'!$H2:$H501,"Veterans Readjustment Benefits",'Federal Data'!$D2:$D501,"Nongrant")</f>
        <v>2713000</v>
      </c>
      <c r="CF57" s="101" t="s">
        <v>487</v>
      </c>
      <c r="CG57" s="101">
        <f t="shared" si="139"/>
        <v>2713000</v>
      </c>
      <c r="CH57" s="94">
        <f>SUMIFS('Federal Data'!AO2:AO501,'Federal Data'!$H2:$H501,"Veterans Readjustment Benefits",'Federal Data'!$D2:$D501,"Nongrant")</f>
        <v>2730000</v>
      </c>
      <c r="CI57" s="101" t="s">
        <v>487</v>
      </c>
      <c r="CJ57" s="101">
        <f t="shared" si="140"/>
        <v>2730000</v>
      </c>
      <c r="CK57" s="94">
        <f>SUMIFS('Federal Data'!AP2:AP501,'Federal Data'!$H2:$H501,"Veterans Readjustment Benefits",'Federal Data'!$D2:$D501,"Nongrant")</f>
        <v>3495000</v>
      </c>
      <c r="CL57" s="101" t="s">
        <v>487</v>
      </c>
      <c r="CM57" s="101">
        <f t="shared" si="141"/>
        <v>3495000</v>
      </c>
      <c r="CN57" s="94">
        <f>SUMIFS('Federal Data'!AQ2:AQ501,'Federal Data'!$H2:$H501,"Veterans Readjustment Benefits",'Federal Data'!$D2:$D501,"Nongrant")</f>
        <v>8089000</v>
      </c>
      <c r="CO57" s="101" t="s">
        <v>487</v>
      </c>
      <c r="CP57" s="101">
        <f t="shared" si="142"/>
        <v>8089000</v>
      </c>
      <c r="CQ57" s="94">
        <f>SUMIFS('Federal Data'!AR2:AR501,'Federal Data'!$H2:$H501,"Veterans Readjustment Benefits",'Federal Data'!$D2:$D501,"Nongrant")</f>
        <v>10683000</v>
      </c>
      <c r="CR57" s="101" t="s">
        <v>487</v>
      </c>
      <c r="CS57" s="101">
        <f t="shared" si="143"/>
        <v>10683000</v>
      </c>
      <c r="CT57" s="94">
        <f>SUMIFS('Federal Data'!AS2:AS501,'Federal Data'!$H2:$H501,"Veterans Readjustment Benefits",'Federal Data'!$D2:$D501,"Nongrant")</f>
        <v>10402000</v>
      </c>
      <c r="CU57" s="101" t="s">
        <v>487</v>
      </c>
      <c r="CV57" s="101">
        <f t="shared" si="144"/>
        <v>10402000</v>
      </c>
      <c r="CW57" s="94">
        <f>SUMIFS('Federal Data'!AT2:AT501,'Federal Data'!$H2:$H501,"Veterans Readjustment Benefits",'Federal Data'!$D2:$D501,"Nongrant")</f>
        <v>12893000</v>
      </c>
      <c r="CX57" s="101" t="s">
        <v>487</v>
      </c>
      <c r="CY57" s="101">
        <f t="shared" si="145"/>
        <v>12893000</v>
      </c>
      <c r="CZ57" s="94">
        <f>SUMIFS('Federal Data'!AU2:AU501,'Federal Data'!$H2:$H501,"Veterans Readjustment Benefits",'Federal Data'!$D2:$D501,"Nongrant")</f>
        <v>13506000</v>
      </c>
      <c r="DA57" s="101" t="s">
        <v>487</v>
      </c>
      <c r="DB57" s="101">
        <f t="shared" si="146"/>
        <v>13506000</v>
      </c>
      <c r="DC57" s="37">
        <f>SUMIFS('Federal Data'!AV2:AV501,'Federal Data'!$H2:$H501,"Veterans Readjustment Benefits",'Federal Data'!$D2:$D501,"Nongrant")</f>
        <v>13383000</v>
      </c>
      <c r="DD57" s="85" t="s">
        <v>487</v>
      </c>
      <c r="DE57" s="85">
        <f t="shared" si="147"/>
        <v>13383000</v>
      </c>
    </row>
    <row r="58" spans="1:109" outlineLevel="2">
      <c r="A58" s="31" t="s">
        <v>87</v>
      </c>
      <c r="B58" s="94">
        <f>SUMIFS('Federal Data'!M2:M501,'Federal Data'!$H2:$H501,"Other Veterans SErvices",'Federal Data'!$D2:$D501,"Nongrant")</f>
        <v>649119</v>
      </c>
      <c r="C58" s="101" t="s">
        <v>487</v>
      </c>
      <c r="D58" s="101">
        <f t="shared" si="112"/>
        <v>649119</v>
      </c>
      <c r="E58" s="94">
        <f>SUMIFS('Federal Data'!N2:N501,'Federal Data'!$H2:$H501,"Other Veterans SErvices",'Federal Data'!$D2:$D501,"Nongrant")</f>
        <v>644008</v>
      </c>
      <c r="F58" s="101" t="s">
        <v>487</v>
      </c>
      <c r="G58" s="101">
        <f t="shared" si="113"/>
        <v>644008</v>
      </c>
      <c r="H58" s="94">
        <f>SUMIFS('Federal Data'!O2:O501,'Federal Data'!$H2:$H501,"Other Veterans SErvices",'Federal Data'!$D2:$D501,"Nongrant")</f>
        <v>661495</v>
      </c>
      <c r="I58" s="101" t="s">
        <v>487</v>
      </c>
      <c r="J58" s="101">
        <f t="shared" si="114"/>
        <v>661495</v>
      </c>
      <c r="K58" s="94">
        <f>SUMIFS('Federal Data'!P2:P501,'Federal Data'!$H2:$H501,"Other Veterans SErvices",'Federal Data'!$D2:$D501,"Nongrant")</f>
        <v>671816</v>
      </c>
      <c r="L58" s="101" t="s">
        <v>487</v>
      </c>
      <c r="M58" s="101">
        <f t="shared" si="115"/>
        <v>671816</v>
      </c>
      <c r="N58" s="94">
        <f>SUMIFS('Federal Data'!Q2:Q501,'Federal Data'!$H2:$H501,"Other Veterans SErvices",'Federal Data'!$D2:$D501,"Nongrant")</f>
        <v>711446</v>
      </c>
      <c r="O58" s="101" t="s">
        <v>487</v>
      </c>
      <c r="P58" s="101">
        <f t="shared" si="116"/>
        <v>711446</v>
      </c>
      <c r="Q58" s="94">
        <f>SUMIFS('Federal Data'!R2:R501,'Federal Data'!$H2:$H501,"Other Veterans SErvices",'Federal Data'!$D2:$D501,"Nongrant")</f>
        <v>717465</v>
      </c>
      <c r="R58" s="101" t="s">
        <v>487</v>
      </c>
      <c r="S58" s="101">
        <f t="shared" si="117"/>
        <v>717465</v>
      </c>
      <c r="T58" s="94">
        <f>SUMIFS('Federal Data'!S2:S501,'Federal Data'!$H2:$H501,"Other Veterans SErvices",'Federal Data'!$D2:$D501,"Nongrant")</f>
        <v>768352</v>
      </c>
      <c r="U58" s="101" t="s">
        <v>487</v>
      </c>
      <c r="V58" s="101">
        <f t="shared" si="118"/>
        <v>768352</v>
      </c>
      <c r="W58" s="94">
        <f>SUMIFS('Federal Data'!T2:T501,'Federal Data'!$H2:$H501,"Other Veterans SErvices",'Federal Data'!$D2:$D501,"Nongrant")</f>
        <v>715328</v>
      </c>
      <c r="X58" s="101" t="s">
        <v>487</v>
      </c>
      <c r="Y58" s="101">
        <f t="shared" si="119"/>
        <v>715328</v>
      </c>
      <c r="Z58" s="94">
        <f>SUMIFS('Federal Data'!U2:U501,'Federal Data'!$H2:$H501,"Other Veterans SErvices",'Federal Data'!$D2:$D501,"Nongrant")</f>
        <v>816088</v>
      </c>
      <c r="AA58" s="101" t="s">
        <v>487</v>
      </c>
      <c r="AB58" s="101">
        <f t="shared" si="120"/>
        <v>816088</v>
      </c>
      <c r="AC58" s="94">
        <f>SUMIFS('Federal Data'!V2:V501,'Federal Data'!$H2:$H501,"Other Veterans SErvices",'Federal Data'!$D2:$D501,"Nongrant")</f>
        <v>777594</v>
      </c>
      <c r="AD58" s="101" t="s">
        <v>487</v>
      </c>
      <c r="AE58" s="101">
        <f t="shared" si="121"/>
        <v>777594</v>
      </c>
      <c r="AF58" s="94">
        <f>SUMIFS('Federal Data'!W2:W501,'Federal Data'!$H2:$H501,"Other Veterans SErvices",'Federal Data'!$D2:$D501,"Nongrant")</f>
        <v>861593</v>
      </c>
      <c r="AG58" s="101" t="s">
        <v>487</v>
      </c>
      <c r="AH58" s="101">
        <f t="shared" si="122"/>
        <v>861593</v>
      </c>
      <c r="AI58" s="94">
        <f>SUMIFS('Federal Data'!X2:X501,'Federal Data'!$H2:$H501,"Other Veterans SErvices",'Federal Data'!$D2:$D501,"Nongrant")</f>
        <v>910137</v>
      </c>
      <c r="AJ58" s="101" t="s">
        <v>487</v>
      </c>
      <c r="AK58" s="101">
        <f t="shared" si="123"/>
        <v>910137</v>
      </c>
      <c r="AL58" s="94">
        <f>SUMIFS('Federal Data'!Y2:Y501,'Federal Data'!$H2:$H501,"Other Veterans SErvices",'Federal Data'!$D2:$D501,"Nongrant")</f>
        <v>956734</v>
      </c>
      <c r="AM58" s="101" t="s">
        <v>487</v>
      </c>
      <c r="AN58" s="101">
        <f t="shared" si="124"/>
        <v>956734</v>
      </c>
      <c r="AO58" s="94">
        <f>SUMIFS('Federal Data'!Z2:Z501,'Federal Data'!$H2:$H501,"Other Veterans SErvices",'Federal Data'!$D2:$D501,"Nongrant")</f>
        <v>942413</v>
      </c>
      <c r="AP58" s="101" t="s">
        <v>487</v>
      </c>
      <c r="AQ58" s="101">
        <f t="shared" si="125"/>
        <v>942413</v>
      </c>
      <c r="AR58" s="94">
        <f>SUMIFS('Federal Data'!AA2:AA501,'Federal Data'!$H2:$H501,"Other Veterans SErvices",'Federal Data'!$D2:$D501,"Nongrant")</f>
        <v>955577</v>
      </c>
      <c r="AS58" s="101" t="s">
        <v>487</v>
      </c>
      <c r="AT58" s="101">
        <f t="shared" si="126"/>
        <v>955577</v>
      </c>
      <c r="AU58" s="94">
        <f>SUMIFS('Federal Data'!AB2:AB501,'Federal Data'!$H2:$H501,"Other Veterans SErvices",'Federal Data'!$D2:$D501,"Nongrant")</f>
        <v>1012000</v>
      </c>
      <c r="AV58" s="101" t="s">
        <v>487</v>
      </c>
      <c r="AW58" s="101">
        <f t="shared" si="127"/>
        <v>1012000</v>
      </c>
      <c r="AX58" s="94">
        <f>SUMIFS('Federal Data'!AC2:AC501,'Federal Data'!$H2:$H501,"Other Veterans SErvices",'Federal Data'!$D2:$D501,"Nongrant")</f>
        <v>987000</v>
      </c>
      <c r="AY58" s="101" t="s">
        <v>487</v>
      </c>
      <c r="AZ58" s="101">
        <f t="shared" si="128"/>
        <v>987000</v>
      </c>
      <c r="BA58" s="94">
        <f>SUMIFS('Federal Data'!AD2:AD501,'Federal Data'!$H2:$H501,"Other Veterans SErvices",'Federal Data'!$D2:$D501,"Nongrant")</f>
        <v>963000</v>
      </c>
      <c r="BB58" s="101" t="s">
        <v>487</v>
      </c>
      <c r="BC58" s="101">
        <f t="shared" si="129"/>
        <v>963000</v>
      </c>
      <c r="BD58" s="94">
        <f>SUMIFS('Federal Data'!AE2:AE501,'Federal Data'!$H2:$H501,"Other Veterans SErvices",'Federal Data'!$D2:$D501,"Nongrant")</f>
        <v>932000</v>
      </c>
      <c r="BE58" s="101" t="s">
        <v>487</v>
      </c>
      <c r="BF58" s="101">
        <f t="shared" si="130"/>
        <v>932000</v>
      </c>
      <c r="BG58" s="94">
        <f>SUMIFS('Federal Data'!AF2:AF501,'Federal Data'!$H2:$H501,"Other Veterans SErvices",'Federal Data'!$D2:$D501,"Nongrant")</f>
        <v>997000</v>
      </c>
      <c r="BH58" s="101" t="s">
        <v>487</v>
      </c>
      <c r="BI58" s="101">
        <f t="shared" si="131"/>
        <v>997000</v>
      </c>
      <c r="BJ58" s="94">
        <f>SUMIFS('Federal Data'!AG2:AG501,'Federal Data'!$H2:$H501,"Other Veterans SErvices",'Federal Data'!$D2:$D501,"Nongrant")</f>
        <v>905000</v>
      </c>
      <c r="BK58" s="101" t="s">
        <v>487</v>
      </c>
      <c r="BL58" s="101">
        <f t="shared" si="132"/>
        <v>905000</v>
      </c>
      <c r="BM58" s="94">
        <f>SUMIFS('Federal Data'!AH2:AH501,'Federal Data'!$H2:$H501,"Other Veterans SErvices",'Federal Data'!$D2:$D501,"Nongrant")</f>
        <v>1211000</v>
      </c>
      <c r="BN58" s="101" t="s">
        <v>487</v>
      </c>
      <c r="BO58" s="101">
        <f t="shared" si="133"/>
        <v>1211000</v>
      </c>
      <c r="BP58" s="94">
        <f>SUMIFS('Federal Data'!AI2:AI501,'Federal Data'!$H2:$H501,"Other Veterans SErvices",'Federal Data'!$D2:$D501,"Nongrant")</f>
        <v>1171000</v>
      </c>
      <c r="BQ58" s="101" t="s">
        <v>487</v>
      </c>
      <c r="BR58" s="101">
        <f t="shared" si="134"/>
        <v>1171000</v>
      </c>
      <c r="BS58" s="94">
        <f>SUMIFS('Federal Data'!AJ2:AJ501,'Federal Data'!$H2:$H501,"Other Veterans SErvices",'Federal Data'!$D2:$D501,"Nongrant")</f>
        <v>1175000</v>
      </c>
      <c r="BT58" s="101" t="s">
        <v>487</v>
      </c>
      <c r="BU58" s="101">
        <f t="shared" si="135"/>
        <v>1175000</v>
      </c>
      <c r="BV58" s="94">
        <f>SUMIFS('Federal Data'!AK2:AK501,'Federal Data'!$H2:$H501,"Other Veterans SErvices",'Federal Data'!$D2:$D501,"Nongrant")</f>
        <v>1419000</v>
      </c>
      <c r="BW58" s="101" t="s">
        <v>487</v>
      </c>
      <c r="BX58" s="101">
        <f t="shared" si="136"/>
        <v>1419000</v>
      </c>
      <c r="BY58" s="94">
        <f>SUMIFS('Federal Data'!AL2:AL501,'Federal Data'!$H2:$H501,"Other Veterans SErvices",'Federal Data'!$D2:$D501,"Nongrant")</f>
        <v>1928000</v>
      </c>
      <c r="BZ58" s="101" t="s">
        <v>487</v>
      </c>
      <c r="CA58" s="101">
        <f t="shared" si="137"/>
        <v>1928000</v>
      </c>
      <c r="CB58" s="94">
        <f>SUMIFS('Federal Data'!AM2:AM501,'Federal Data'!$H2:$H501,"Other Veterans SErvices",'Federal Data'!$D2:$D501,"Nongrant")</f>
        <v>2719000</v>
      </c>
      <c r="CC58" s="101" t="s">
        <v>487</v>
      </c>
      <c r="CD58" s="101">
        <f t="shared" si="138"/>
        <v>2719000</v>
      </c>
      <c r="CE58" s="94">
        <f>SUMIFS('Federal Data'!AN2:AN501,'Federal Data'!$H2:$H501,"Other Veterans SErvices",'Federal Data'!$D2:$D501,"Nongrant")</f>
        <v>2969000</v>
      </c>
      <c r="CF58" s="101" t="s">
        <v>487</v>
      </c>
      <c r="CG58" s="101">
        <f t="shared" si="139"/>
        <v>2969000</v>
      </c>
      <c r="CH58" s="94">
        <f>SUMIFS('Federal Data'!AO2:AO501,'Federal Data'!$H2:$H501,"Other Veterans SErvices",'Federal Data'!$D2:$D501,"Nongrant")</f>
        <v>3999000</v>
      </c>
      <c r="CI58" s="101" t="s">
        <v>487</v>
      </c>
      <c r="CJ58" s="101">
        <f t="shared" si="140"/>
        <v>3999000</v>
      </c>
      <c r="CK58" s="94">
        <f>SUMIFS('Federal Data'!AP2:AP501,'Federal Data'!$H2:$H501,"Other Veterans SErvices",'Federal Data'!$D2:$D501,"Nongrant")</f>
        <v>4648000</v>
      </c>
      <c r="CL58" s="101" t="s">
        <v>487</v>
      </c>
      <c r="CM58" s="101">
        <f t="shared" si="141"/>
        <v>4648000</v>
      </c>
      <c r="CN58" s="94">
        <f>SUMIFS('Federal Data'!AQ2:AQ501,'Federal Data'!$H2:$H501,"Other Veterans SErvices",'Federal Data'!$D2:$D501,"Nongrant")</f>
        <v>4842000</v>
      </c>
      <c r="CO58" s="101" t="s">
        <v>487</v>
      </c>
      <c r="CP58" s="101">
        <f t="shared" si="142"/>
        <v>4842000</v>
      </c>
      <c r="CQ58" s="94">
        <f>SUMIFS('Federal Data'!AR2:AR501,'Federal Data'!$H2:$H501,"Other Veterans SErvices",'Federal Data'!$D2:$D501,"Nongrant")</f>
        <v>6385000</v>
      </c>
      <c r="CR58" s="101" t="s">
        <v>487</v>
      </c>
      <c r="CS58" s="101">
        <f t="shared" si="143"/>
        <v>6385000</v>
      </c>
      <c r="CT58" s="94">
        <f>SUMIFS('Federal Data'!AS2:AS501,'Federal Data'!$H2:$H501,"Other Veterans SErvices",'Federal Data'!$D2:$D501,"Nongrant")</f>
        <v>6265000</v>
      </c>
      <c r="CU58" s="101" t="s">
        <v>487</v>
      </c>
      <c r="CV58" s="101">
        <f t="shared" si="144"/>
        <v>6265000</v>
      </c>
      <c r="CW58" s="94">
        <f>SUMIFS('Federal Data'!AT2:AT501,'Federal Data'!$H2:$H501,"Other Veterans SErvices",'Federal Data'!$D2:$D501,"Nongrant")</f>
        <v>6228000</v>
      </c>
      <c r="CX58" s="101" t="s">
        <v>487</v>
      </c>
      <c r="CY58" s="101">
        <f t="shared" si="145"/>
        <v>6228000</v>
      </c>
      <c r="CZ58" s="94">
        <f>SUMIFS('Federal Data'!AU2:AU501,'Federal Data'!$H2:$H501,"Other Veterans SErvices",'Federal Data'!$D2:$D501,"Nongrant")</f>
        <v>6795000</v>
      </c>
      <c r="DA58" s="101" t="s">
        <v>487</v>
      </c>
      <c r="DB58" s="101">
        <f t="shared" si="146"/>
        <v>6795000</v>
      </c>
      <c r="DC58" s="37">
        <f>SUMIFS('Federal Data'!AV2:AV501,'Federal Data'!$H2:$H501,"Other Veterans SErvices",'Federal Data'!$D2:$D501,"Nongrant")</f>
        <v>7300000</v>
      </c>
      <c r="DD58" s="85" t="s">
        <v>487</v>
      </c>
      <c r="DE58" s="85">
        <f t="shared" si="147"/>
        <v>7300000</v>
      </c>
    </row>
    <row r="59" spans="1:109" outlineLevel="1">
      <c r="A59" s="28" t="s">
        <v>160</v>
      </c>
      <c r="B59" s="94">
        <f>SUMIFS('Federal Data'!M2:M501,'Federal Data'!$F2:$F501,"Foreign Affairs",'Federal Data'!$D2:$D501,"Nongrant")</f>
        <v>12713963</v>
      </c>
      <c r="C59" s="101" t="s">
        <v>487</v>
      </c>
      <c r="D59" s="101">
        <f t="shared" si="112"/>
        <v>12713963</v>
      </c>
      <c r="E59" s="94">
        <f>SUMIFS('Federal Data'!N2:N501,'Federal Data'!$F2:$F501,"Foreign Affairs",'Federal Data'!$D2:$D501,"Nongrant")</f>
        <v>13104204</v>
      </c>
      <c r="F59" s="101" t="s">
        <v>487</v>
      </c>
      <c r="G59" s="101">
        <f t="shared" si="113"/>
        <v>13104204</v>
      </c>
      <c r="H59" s="94">
        <f>SUMIFS('Federal Data'!O2:O501,'Federal Data'!$F2:$F501,"Foreign Affairs",'Federal Data'!$D2:$D501,"Nongrant")</f>
        <v>12299579</v>
      </c>
      <c r="I59" s="101" t="s">
        <v>487</v>
      </c>
      <c r="J59" s="101">
        <f t="shared" si="114"/>
        <v>12299579</v>
      </c>
      <c r="K59" s="94">
        <f>SUMIFS('Federal Data'!P2:P501,'Federal Data'!$F2:$F501,"Foreign Affairs",'Federal Data'!$D2:$D501,"Nongrant")</f>
        <v>11847552</v>
      </c>
      <c r="L59" s="101" t="s">
        <v>487</v>
      </c>
      <c r="M59" s="101">
        <f t="shared" si="115"/>
        <v>11847552</v>
      </c>
      <c r="N59" s="94">
        <f>SUMIFS('Federal Data'!Q2:Q501,'Federal Data'!$F2:$F501,"Foreign Affairs",'Federal Data'!$D2:$D501,"Nongrant")</f>
        <v>15868975</v>
      </c>
      <c r="O59" s="101" t="s">
        <v>487</v>
      </c>
      <c r="P59" s="101">
        <f t="shared" si="116"/>
        <v>15868975</v>
      </c>
      <c r="Q59" s="94">
        <f>SUMIFS('Federal Data'!R2:R501,'Federal Data'!$F2:$F501,"Foreign Affairs",'Federal Data'!$D2:$D501,"Nongrant")</f>
        <v>16169296</v>
      </c>
      <c r="R59" s="101" t="s">
        <v>487</v>
      </c>
      <c r="S59" s="101">
        <f t="shared" si="117"/>
        <v>16169296</v>
      </c>
      <c r="T59" s="94">
        <f>SUMIFS('Federal Data'!S2:S501,'Federal Data'!$F2:$F501,"Foreign Affairs",'Federal Data'!$D2:$D501,"Nongrant")</f>
        <v>14145803</v>
      </c>
      <c r="U59" s="101" t="s">
        <v>487</v>
      </c>
      <c r="V59" s="101">
        <f t="shared" si="118"/>
        <v>14145803</v>
      </c>
      <c r="W59" s="94">
        <f>SUMIFS('Federal Data'!T2:T501,'Federal Data'!$F2:$F501,"Foreign Affairs",'Federal Data'!$D2:$D501,"Nongrant")</f>
        <v>11644938</v>
      </c>
      <c r="X59" s="101" t="s">
        <v>487</v>
      </c>
      <c r="Y59" s="101">
        <f t="shared" si="119"/>
        <v>11644938</v>
      </c>
      <c r="Z59" s="94">
        <f>SUMIFS('Federal Data'!U2:U501,'Federal Data'!$F2:$F501,"Foreign Affairs",'Federal Data'!$D2:$D501,"Nongrant")</f>
        <v>10465812</v>
      </c>
      <c r="AA59" s="101" t="s">
        <v>487</v>
      </c>
      <c r="AB59" s="101">
        <f t="shared" si="120"/>
        <v>10465812</v>
      </c>
      <c r="AC59" s="94">
        <f>SUMIFS('Federal Data'!V2:V501,'Federal Data'!$F2:$F501,"Foreign Affairs",'Federal Data'!$D2:$D501,"Nongrant")</f>
        <v>9583322</v>
      </c>
      <c r="AD59" s="101" t="s">
        <v>487</v>
      </c>
      <c r="AE59" s="101">
        <f t="shared" si="121"/>
        <v>9583322</v>
      </c>
      <c r="AF59" s="94">
        <f>SUMIFS('Federal Data'!W2:W501,'Federal Data'!$F2:$F501,"Foreign Affairs",'Federal Data'!$D2:$D501,"Nongrant")</f>
        <v>13758498</v>
      </c>
      <c r="AG59" s="101" t="s">
        <v>487</v>
      </c>
      <c r="AH59" s="101">
        <f t="shared" si="122"/>
        <v>13758498</v>
      </c>
      <c r="AI59" s="94">
        <f>SUMIFS('Federal Data'!X2:X501,'Federal Data'!$F2:$F501,"Foreign Affairs",'Federal Data'!$D2:$D501,"Nongrant")</f>
        <v>15846157</v>
      </c>
      <c r="AJ59" s="101" t="s">
        <v>487</v>
      </c>
      <c r="AK59" s="101">
        <f t="shared" si="123"/>
        <v>15846157</v>
      </c>
      <c r="AL59" s="94">
        <f>SUMIFS('Federal Data'!Y2:Y501,'Federal Data'!$F2:$F501,"Foreign Affairs",'Federal Data'!$D2:$D501,"Nongrant")</f>
        <v>16090130</v>
      </c>
      <c r="AM59" s="101" t="s">
        <v>487</v>
      </c>
      <c r="AN59" s="101">
        <f t="shared" si="124"/>
        <v>16090130</v>
      </c>
      <c r="AO59" s="94">
        <f>SUMIFS('Federal Data'!Z2:Z501,'Federal Data'!$F2:$F501,"Foreign Affairs",'Federal Data'!$D2:$D501,"Nongrant")</f>
        <v>17218058</v>
      </c>
      <c r="AP59" s="101" t="s">
        <v>487</v>
      </c>
      <c r="AQ59" s="101">
        <f t="shared" si="125"/>
        <v>17218058</v>
      </c>
      <c r="AR59" s="94">
        <f>SUMIFS('Federal Data'!AA2:AA501,'Federal Data'!$F2:$F501,"Foreign Affairs",'Federal Data'!$D2:$D501,"Nongrant")</f>
        <v>17067433</v>
      </c>
      <c r="AS59" s="101" t="s">
        <v>487</v>
      </c>
      <c r="AT59" s="101">
        <f t="shared" si="126"/>
        <v>17067433</v>
      </c>
      <c r="AU59" s="94">
        <f>SUMIFS('Federal Data'!AB2:AB501,'Federal Data'!$F2:$F501,"Foreign Affairs",'Federal Data'!$D2:$D501,"Nongrant")</f>
        <v>16429000</v>
      </c>
      <c r="AV59" s="101" t="s">
        <v>487</v>
      </c>
      <c r="AW59" s="101">
        <f t="shared" si="127"/>
        <v>16429000</v>
      </c>
      <c r="AX59" s="94">
        <f>SUMIFS('Federal Data'!AC2:AC501,'Federal Data'!$F2:$F501,"Foreign Affairs",'Federal Data'!$D2:$D501,"Nongrant")</f>
        <v>13487000</v>
      </c>
      <c r="AY59" s="101" t="s">
        <v>487</v>
      </c>
      <c r="AZ59" s="101">
        <f t="shared" si="128"/>
        <v>13487000</v>
      </c>
      <c r="BA59" s="94">
        <f>SUMIFS('Federal Data'!AD2:AD501,'Federal Data'!$F2:$F501,"Foreign Affairs",'Federal Data'!$D2:$D501,"Nongrant")</f>
        <v>15173000</v>
      </c>
      <c r="BB59" s="101" t="s">
        <v>487</v>
      </c>
      <c r="BC59" s="101">
        <f t="shared" si="129"/>
        <v>15173000</v>
      </c>
      <c r="BD59" s="94">
        <f>SUMIFS('Federal Data'!AE2:AE501,'Federal Data'!$F2:$F501,"Foreign Affairs",'Federal Data'!$D2:$D501,"Nongrant")</f>
        <v>13047000</v>
      </c>
      <c r="BE59" s="101" t="s">
        <v>487</v>
      </c>
      <c r="BF59" s="101">
        <f t="shared" si="130"/>
        <v>13047000</v>
      </c>
      <c r="BG59" s="94">
        <f>SUMIFS('Federal Data'!AF2:AF501,'Federal Data'!$F2:$F501,"Foreign Affairs",'Federal Data'!$D2:$D501,"Nongrant")</f>
        <v>15204000</v>
      </c>
      <c r="BH59" s="101" t="s">
        <v>487</v>
      </c>
      <c r="BI59" s="101">
        <f t="shared" si="131"/>
        <v>15204000</v>
      </c>
      <c r="BJ59" s="94">
        <f>SUMIFS('Federal Data'!AG2:AG501,'Federal Data'!$F2:$F501,"Foreign Affairs",'Federal Data'!$D2:$D501,"Nongrant")</f>
        <v>17222000</v>
      </c>
      <c r="BK59" s="101" t="s">
        <v>487</v>
      </c>
      <c r="BL59" s="101">
        <f t="shared" si="132"/>
        <v>17222000</v>
      </c>
      <c r="BM59" s="94">
        <f>SUMIFS('Federal Data'!AH2:AH501,'Federal Data'!$F2:$F501,"Foreign Affairs",'Federal Data'!$D2:$D501,"Nongrant")</f>
        <v>16463000</v>
      </c>
      <c r="BN59" s="101" t="s">
        <v>487</v>
      </c>
      <c r="BO59" s="101">
        <f t="shared" si="133"/>
        <v>16463000</v>
      </c>
      <c r="BP59" s="94">
        <f>SUMIFS('Federal Data'!AI2:AI501,'Federal Data'!$F2:$F501,"Foreign Affairs",'Federal Data'!$D2:$D501,"Nongrant")</f>
        <v>22300000</v>
      </c>
      <c r="BQ59" s="101" t="s">
        <v>487</v>
      </c>
      <c r="BR59" s="101">
        <f t="shared" si="134"/>
        <v>22300000</v>
      </c>
      <c r="BS59" s="94">
        <f>SUMIFS('Federal Data'!AJ2:AJ501,'Federal Data'!$F2:$F501,"Foreign Affairs",'Federal Data'!$D2:$D501,"Nongrant")</f>
        <v>21173000</v>
      </c>
      <c r="BT59" s="101" t="s">
        <v>487</v>
      </c>
      <c r="BU59" s="101">
        <f t="shared" si="135"/>
        <v>21173000</v>
      </c>
      <c r="BV59" s="94">
        <f>SUMIFS('Federal Data'!AK2:AK501,'Federal Data'!$F2:$F501,"Foreign Affairs",'Federal Data'!$D2:$D501,"Nongrant")</f>
        <v>26908000</v>
      </c>
      <c r="BW59" s="101" t="s">
        <v>487</v>
      </c>
      <c r="BX59" s="101">
        <f t="shared" si="136"/>
        <v>26908000</v>
      </c>
      <c r="BY59" s="94">
        <f>SUMIFS('Federal Data'!AL2:AL501,'Federal Data'!$F2:$F501,"Foreign Affairs",'Federal Data'!$D2:$D501,"Nongrant")</f>
        <v>34578000</v>
      </c>
      <c r="BZ59" s="101" t="s">
        <v>487</v>
      </c>
      <c r="CA59" s="101">
        <f t="shared" si="137"/>
        <v>34578000</v>
      </c>
      <c r="CB59" s="94">
        <f>SUMIFS('Federal Data'!AM2:AM501,'Federal Data'!$F2:$F501,"Foreign Affairs",'Federal Data'!$D2:$D501,"Nongrant")</f>
        <v>29513000</v>
      </c>
      <c r="CC59" s="101" t="s">
        <v>487</v>
      </c>
      <c r="CD59" s="101">
        <f t="shared" si="138"/>
        <v>29513000</v>
      </c>
      <c r="CE59" s="94">
        <f>SUMIFS('Federal Data'!AN2:AN501,'Federal Data'!$F2:$F501,"Foreign Affairs",'Federal Data'!$D2:$D501,"Nongrant")</f>
        <v>28470000</v>
      </c>
      <c r="CF59" s="101" t="s">
        <v>487</v>
      </c>
      <c r="CG59" s="101">
        <f t="shared" si="139"/>
        <v>28470000</v>
      </c>
      <c r="CH59" s="94">
        <f>SUMIFS('Federal Data'!AO2:AO501,'Federal Data'!$F2:$F501,"Foreign Affairs",'Federal Data'!$D2:$D501,"Nongrant")</f>
        <v>28855000</v>
      </c>
      <c r="CI59" s="101" t="s">
        <v>487</v>
      </c>
      <c r="CJ59" s="101">
        <f t="shared" si="140"/>
        <v>28855000</v>
      </c>
      <c r="CK59" s="94">
        <f>SUMIFS('Federal Data'!AP2:AP501,'Federal Data'!$F2:$F501,"Foreign Affairs",'Federal Data'!$D2:$D501,"Nongrant")</f>
        <v>37532000</v>
      </c>
      <c r="CL59" s="101" t="s">
        <v>487</v>
      </c>
      <c r="CM59" s="101">
        <f t="shared" si="141"/>
        <v>37532000</v>
      </c>
      <c r="CN59" s="94">
        <f>SUMIFS('Federal Data'!AQ2:AQ501,'Federal Data'!$F2:$F501,"Foreign Affairs",'Federal Data'!$D2:$D501,"Nongrant")</f>
        <v>45210000</v>
      </c>
      <c r="CO59" s="101" t="s">
        <v>487</v>
      </c>
      <c r="CP59" s="101">
        <f t="shared" si="142"/>
        <v>45210000</v>
      </c>
      <c r="CQ59" s="94">
        <f>SUMIFS('Federal Data'!AR2:AR501,'Federal Data'!$F2:$F501,"Foreign Affairs",'Federal Data'!$D2:$D501,"Nongrant")</f>
        <v>45668000</v>
      </c>
      <c r="CR59" s="101" t="s">
        <v>487</v>
      </c>
      <c r="CS59" s="101">
        <f t="shared" si="143"/>
        <v>45668000</v>
      </c>
      <c r="CT59" s="94">
        <f>SUMIFS('Federal Data'!AS2:AS501,'Federal Data'!$F2:$F501,"Foreign Affairs",'Federal Data'!$D2:$D501,"Nongrant")</f>
        <v>47168000</v>
      </c>
      <c r="CU59" s="101" t="s">
        <v>487</v>
      </c>
      <c r="CV59" s="101">
        <f t="shared" si="144"/>
        <v>47168000</v>
      </c>
      <c r="CW59" s="94">
        <f>SUMIFS('Federal Data'!AT2:AT501,'Federal Data'!$F2:$F501,"Foreign Affairs",'Federal Data'!$D2:$D501,"Nongrant")</f>
        <v>46208000</v>
      </c>
      <c r="CX59" s="101" t="s">
        <v>487</v>
      </c>
      <c r="CY59" s="101">
        <f t="shared" si="145"/>
        <v>46208000</v>
      </c>
      <c r="CZ59" s="94">
        <f>SUMIFS('Federal Data'!AU2:AU501,'Federal Data'!$F2:$F501,"Foreign Affairs",'Federal Data'!$D2:$D501,"Nongrant")</f>
        <v>46732000</v>
      </c>
      <c r="DA59" s="101" t="s">
        <v>487</v>
      </c>
      <c r="DB59" s="101">
        <f t="shared" si="146"/>
        <v>46732000</v>
      </c>
      <c r="DC59" s="37">
        <f>SUMIFS('Federal Data'!AV2:AV501,'Federal Data'!$F2:$F501,"Foreign Affairs",'Federal Data'!$D2:$D501,"Nongrant")</f>
        <v>48503000</v>
      </c>
      <c r="DD59" s="85" t="s">
        <v>487</v>
      </c>
      <c r="DE59" s="85">
        <f t="shared" si="147"/>
        <v>48503000</v>
      </c>
    </row>
    <row r="60" spans="1:109" outlineLevel="2">
      <c r="A60" s="29" t="s">
        <v>88</v>
      </c>
      <c r="B60" s="94">
        <f>SUMIFS('Federal Data'!M2:M501,'Federal Data'!$G2:$G501,"International Development and Humanitarian Assistance",'Federal Data'!$D2:$D501,"Nongrant")</f>
        <v>3625760</v>
      </c>
      <c r="C60" s="101" t="s">
        <v>487</v>
      </c>
      <c r="D60" s="101">
        <f t="shared" si="112"/>
        <v>3625760</v>
      </c>
      <c r="E60" s="94">
        <f>SUMIFS('Federal Data'!N2:N501,'Federal Data'!$G2:$G501,"International Development and Humanitarian Assistance",'Federal Data'!$D2:$D501,"Nongrant")</f>
        <v>4130841</v>
      </c>
      <c r="F60" s="101" t="s">
        <v>487</v>
      </c>
      <c r="G60" s="101">
        <f t="shared" si="113"/>
        <v>4130841</v>
      </c>
      <c r="H60" s="94">
        <f>SUMIFS('Federal Data'!O2:O501,'Federal Data'!$G2:$G501,"International Development and Humanitarian Assistance",'Federal Data'!$D2:$D501,"Nongrant")</f>
        <v>3772481</v>
      </c>
      <c r="I60" s="101" t="s">
        <v>487</v>
      </c>
      <c r="J60" s="101">
        <f t="shared" si="114"/>
        <v>3772481</v>
      </c>
      <c r="K60" s="94">
        <f>SUMIFS('Federal Data'!P2:P501,'Federal Data'!$G2:$G501,"International Development and Humanitarian Assistance",'Federal Data'!$D2:$D501,"Nongrant")</f>
        <v>3955152</v>
      </c>
      <c r="L60" s="101" t="s">
        <v>487</v>
      </c>
      <c r="M60" s="101">
        <f t="shared" si="115"/>
        <v>3955152</v>
      </c>
      <c r="N60" s="94">
        <f>SUMIFS('Federal Data'!Q2:Q501,'Federal Data'!$G2:$G501,"International Development and Humanitarian Assistance",'Federal Data'!$D2:$D501,"Nongrant")</f>
        <v>4478229</v>
      </c>
      <c r="O60" s="101" t="s">
        <v>487</v>
      </c>
      <c r="P60" s="101">
        <f t="shared" si="116"/>
        <v>4478229</v>
      </c>
      <c r="Q60" s="94">
        <f>SUMIFS('Federal Data'!R2:R501,'Federal Data'!$G2:$G501,"International Development and Humanitarian Assistance",'Federal Data'!$D2:$D501,"Nongrant")</f>
        <v>5408412</v>
      </c>
      <c r="R60" s="101" t="s">
        <v>487</v>
      </c>
      <c r="S60" s="101">
        <f t="shared" si="117"/>
        <v>5408412</v>
      </c>
      <c r="T60" s="94">
        <f>SUMIFS('Federal Data'!S2:S501,'Federal Data'!$G2:$G501,"International Development and Humanitarian Assistance",'Federal Data'!$D2:$D501,"Nongrant")</f>
        <v>4966772</v>
      </c>
      <c r="U60" s="101" t="s">
        <v>487</v>
      </c>
      <c r="V60" s="101">
        <f t="shared" si="118"/>
        <v>4966772</v>
      </c>
      <c r="W60" s="94">
        <f>SUMIFS('Federal Data'!T2:T501,'Federal Data'!$G2:$G501,"International Development and Humanitarian Assistance",'Federal Data'!$D2:$D501,"Nongrant")</f>
        <v>4319164</v>
      </c>
      <c r="X60" s="101" t="s">
        <v>487</v>
      </c>
      <c r="Y60" s="101">
        <f t="shared" si="119"/>
        <v>4319164</v>
      </c>
      <c r="Z60" s="94">
        <f>SUMIFS('Federal Data'!U2:U501,'Federal Data'!$G2:$G501,"International Development and Humanitarian Assistance",'Federal Data'!$D2:$D501,"Nongrant")</f>
        <v>4703138</v>
      </c>
      <c r="AA60" s="101" t="s">
        <v>487</v>
      </c>
      <c r="AB60" s="101">
        <f t="shared" si="120"/>
        <v>4703138</v>
      </c>
      <c r="AC60" s="94">
        <f>SUMIFS('Federal Data'!V2:V501,'Federal Data'!$G2:$G501,"International Development and Humanitarian Assistance",'Federal Data'!$D2:$D501,"Nongrant")</f>
        <v>4836033</v>
      </c>
      <c r="AD60" s="101" t="s">
        <v>487</v>
      </c>
      <c r="AE60" s="101">
        <f t="shared" si="121"/>
        <v>4836033</v>
      </c>
      <c r="AF60" s="94">
        <f>SUMIFS('Federal Data'!W2:W501,'Federal Data'!$G2:$G501,"International Development and Humanitarian Assistance",'Federal Data'!$D2:$D501,"Nongrant")</f>
        <v>5497574</v>
      </c>
      <c r="AG60" s="101" t="s">
        <v>487</v>
      </c>
      <c r="AH60" s="101">
        <f t="shared" si="122"/>
        <v>5497574</v>
      </c>
      <c r="AI60" s="94">
        <f>SUMIFS('Federal Data'!X2:X501,'Federal Data'!$G2:$G501,"International Development and Humanitarian Assistance",'Federal Data'!$D2:$D501,"Nongrant")</f>
        <v>5140663</v>
      </c>
      <c r="AJ60" s="101" t="s">
        <v>487</v>
      </c>
      <c r="AK60" s="101">
        <f t="shared" si="123"/>
        <v>5140663</v>
      </c>
      <c r="AL60" s="94">
        <f>SUMIFS('Federal Data'!Y2:Y501,'Federal Data'!$G2:$G501,"International Development and Humanitarian Assistance",'Federal Data'!$D2:$D501,"Nongrant")</f>
        <v>6131674</v>
      </c>
      <c r="AM60" s="101" t="s">
        <v>487</v>
      </c>
      <c r="AN60" s="101">
        <f t="shared" si="124"/>
        <v>6131674</v>
      </c>
      <c r="AO60" s="94">
        <f>SUMIFS('Federal Data'!Z2:Z501,'Federal Data'!$G2:$G501,"International Development and Humanitarian Assistance",'Federal Data'!$D2:$D501,"Nongrant")</f>
        <v>5824988</v>
      </c>
      <c r="AP60" s="101" t="s">
        <v>487</v>
      </c>
      <c r="AQ60" s="101">
        <f t="shared" si="125"/>
        <v>5824988</v>
      </c>
      <c r="AR60" s="94">
        <f>SUMIFS('Federal Data'!AA2:AA501,'Federal Data'!$G2:$G501,"International Development and Humanitarian Assistance",'Federal Data'!$D2:$D501,"Nongrant")</f>
        <v>7047935</v>
      </c>
      <c r="AS60" s="101" t="s">
        <v>487</v>
      </c>
      <c r="AT60" s="101">
        <f t="shared" si="126"/>
        <v>7047935</v>
      </c>
      <c r="AU60" s="94">
        <f>SUMIFS('Federal Data'!AB2:AB501,'Federal Data'!$G2:$G501,"International Development and Humanitarian Assistance",'Federal Data'!$D2:$D501,"Nongrant")</f>
        <v>7598000</v>
      </c>
      <c r="AV60" s="101" t="s">
        <v>487</v>
      </c>
      <c r="AW60" s="101">
        <f t="shared" si="127"/>
        <v>7598000</v>
      </c>
      <c r="AX60" s="94">
        <f>SUMIFS('Federal Data'!AC2:AC501,'Federal Data'!$G2:$G501,"International Development and Humanitarian Assistance",'Federal Data'!$D2:$D501,"Nongrant")</f>
        <v>6160000</v>
      </c>
      <c r="AY60" s="101" t="s">
        <v>487</v>
      </c>
      <c r="AZ60" s="101">
        <f t="shared" si="128"/>
        <v>6160000</v>
      </c>
      <c r="BA60" s="94">
        <f>SUMIFS('Federal Data'!AD2:AD501,'Federal Data'!$G2:$G501,"International Development and Humanitarian Assistance",'Federal Data'!$D2:$D501,"Nongrant")</f>
        <v>6003000</v>
      </c>
      <c r="BB60" s="101" t="s">
        <v>487</v>
      </c>
      <c r="BC60" s="101">
        <f t="shared" si="129"/>
        <v>6003000</v>
      </c>
      <c r="BD60" s="94">
        <f>SUMIFS('Federal Data'!AE2:AE501,'Federal Data'!$G2:$G501,"International Development and Humanitarian Assistance",'Federal Data'!$D2:$D501,"Nongrant")</f>
        <v>5395000</v>
      </c>
      <c r="BE60" s="101" t="s">
        <v>487</v>
      </c>
      <c r="BF60" s="101">
        <f t="shared" si="130"/>
        <v>5395000</v>
      </c>
      <c r="BG60" s="94">
        <f>SUMIFS('Federal Data'!AF2:AF501,'Federal Data'!$G2:$G501,"International Development and Humanitarian Assistance",'Federal Data'!$D2:$D501,"Nongrant")</f>
        <v>5653000</v>
      </c>
      <c r="BH60" s="101" t="s">
        <v>487</v>
      </c>
      <c r="BI60" s="101">
        <f t="shared" si="131"/>
        <v>5653000</v>
      </c>
      <c r="BJ60" s="94">
        <f>SUMIFS('Federal Data'!AG2:AG501,'Federal Data'!$G2:$G501,"International Development and Humanitarian Assistance",'Federal Data'!$D2:$D501,"Nongrant")</f>
        <v>6516000</v>
      </c>
      <c r="BK60" s="101" t="s">
        <v>487</v>
      </c>
      <c r="BL60" s="101">
        <f t="shared" si="132"/>
        <v>6516000</v>
      </c>
      <c r="BM60" s="94">
        <f>SUMIFS('Federal Data'!AH2:AH501,'Federal Data'!$G2:$G501,"International Development and Humanitarian Assistance",'Federal Data'!$D2:$D501,"Nongrant")</f>
        <v>7185000</v>
      </c>
      <c r="BN60" s="101" t="s">
        <v>487</v>
      </c>
      <c r="BO60" s="101">
        <f t="shared" si="133"/>
        <v>7185000</v>
      </c>
      <c r="BP60" s="94">
        <f>SUMIFS('Federal Data'!AI2:AI501,'Federal Data'!$G2:$G501,"International Development and Humanitarian Assistance",'Federal Data'!$D2:$D501,"Nongrant")</f>
        <v>7811000</v>
      </c>
      <c r="BQ60" s="101" t="s">
        <v>487</v>
      </c>
      <c r="BR60" s="101">
        <f t="shared" si="134"/>
        <v>7811000</v>
      </c>
      <c r="BS60" s="94">
        <f>SUMIFS('Federal Data'!AJ2:AJ501,'Federal Data'!$G2:$G501,"International Development and Humanitarian Assistance",'Federal Data'!$D2:$D501,"Nongrant")</f>
        <v>10324000</v>
      </c>
      <c r="BT60" s="101" t="s">
        <v>487</v>
      </c>
      <c r="BU60" s="101">
        <f t="shared" si="135"/>
        <v>10324000</v>
      </c>
      <c r="BV60" s="94">
        <f>SUMIFS('Federal Data'!AK2:AK501,'Federal Data'!$G2:$G501,"International Development and Humanitarian Assistance",'Federal Data'!$D2:$D501,"Nongrant")</f>
        <v>13807000</v>
      </c>
      <c r="BW60" s="101" t="s">
        <v>487</v>
      </c>
      <c r="BX60" s="101">
        <f t="shared" si="136"/>
        <v>13807000</v>
      </c>
      <c r="BY60" s="94">
        <f>SUMIFS('Federal Data'!AL2:AL501,'Federal Data'!$G2:$G501,"International Development and Humanitarian Assistance",'Federal Data'!$D2:$D501,"Nongrant")</f>
        <v>17696000</v>
      </c>
      <c r="BZ60" s="101" t="s">
        <v>487</v>
      </c>
      <c r="CA60" s="101">
        <f t="shared" si="137"/>
        <v>17696000</v>
      </c>
      <c r="CB60" s="94">
        <f>SUMIFS('Federal Data'!AM2:AM501,'Federal Data'!$G2:$G501,"International Development and Humanitarian Assistance",'Federal Data'!$D2:$D501,"Nongrant")</f>
        <v>16693000</v>
      </c>
      <c r="CC60" s="101" t="s">
        <v>487</v>
      </c>
      <c r="CD60" s="101">
        <f t="shared" si="138"/>
        <v>16693000</v>
      </c>
      <c r="CE60" s="94">
        <f>SUMIFS('Federal Data'!AN2:AN501,'Federal Data'!$G2:$G501,"International Development and Humanitarian Assistance",'Federal Data'!$D2:$D501,"Nongrant")</f>
        <v>15524000</v>
      </c>
      <c r="CF60" s="101" t="s">
        <v>487</v>
      </c>
      <c r="CG60" s="101">
        <f t="shared" si="139"/>
        <v>15524000</v>
      </c>
      <c r="CH60" s="94">
        <f>SUMIFS('Federal Data'!AO2:AO501,'Federal Data'!$G2:$G501,"International Development and Humanitarian Assistance",'Federal Data'!$D2:$D501,"Nongrant")</f>
        <v>14074000</v>
      </c>
      <c r="CI60" s="101" t="s">
        <v>487</v>
      </c>
      <c r="CJ60" s="101">
        <f t="shared" si="140"/>
        <v>14074000</v>
      </c>
      <c r="CK60" s="94">
        <f>SUMIFS('Federal Data'!AP2:AP501,'Federal Data'!$G2:$G501,"International Development and Humanitarian Assistance",'Federal Data'!$D2:$D501,"Nongrant")</f>
        <v>22095000</v>
      </c>
      <c r="CL60" s="101" t="s">
        <v>487</v>
      </c>
      <c r="CM60" s="101">
        <f t="shared" si="141"/>
        <v>22095000</v>
      </c>
      <c r="CN60" s="94">
        <f>SUMIFS('Federal Data'!AQ2:AQ501,'Federal Data'!$G2:$G501,"International Development and Humanitarian Assistance",'Federal Data'!$D2:$D501,"Nongrant")</f>
        <v>19014000</v>
      </c>
      <c r="CO60" s="101" t="s">
        <v>487</v>
      </c>
      <c r="CP60" s="101">
        <f t="shared" si="142"/>
        <v>19014000</v>
      </c>
      <c r="CQ60" s="94">
        <f>SUMIFS('Federal Data'!AR2:AR501,'Federal Data'!$G2:$G501,"International Development and Humanitarian Assistance",'Federal Data'!$D2:$D501,"Nongrant")</f>
        <v>21255000</v>
      </c>
      <c r="CR60" s="101" t="s">
        <v>487</v>
      </c>
      <c r="CS60" s="101">
        <f t="shared" si="143"/>
        <v>21255000</v>
      </c>
      <c r="CT60" s="94">
        <f>SUMIFS('Federal Data'!AS2:AS501,'Federal Data'!$G2:$G501,"International Development and Humanitarian Assistance",'Federal Data'!$D2:$D501,"Nongrant")</f>
        <v>21882000</v>
      </c>
      <c r="CU60" s="101" t="s">
        <v>487</v>
      </c>
      <c r="CV60" s="101">
        <f t="shared" si="144"/>
        <v>21882000</v>
      </c>
      <c r="CW60" s="94">
        <f>SUMIFS('Federal Data'!AT2:AT501,'Federal Data'!$G2:$G501,"International Development and Humanitarian Assistance",'Federal Data'!$D2:$D501,"Nongrant")</f>
        <v>22551000</v>
      </c>
      <c r="CX60" s="101" t="s">
        <v>487</v>
      </c>
      <c r="CY60" s="101">
        <f t="shared" si="145"/>
        <v>22551000</v>
      </c>
      <c r="CZ60" s="94">
        <f>SUMIFS('Federal Data'!AU2:AU501,'Federal Data'!$G2:$G501,"International Development and Humanitarian Assistance",'Federal Data'!$D2:$D501,"Nongrant")</f>
        <v>23534000</v>
      </c>
      <c r="DA60" s="101" t="s">
        <v>487</v>
      </c>
      <c r="DB60" s="101">
        <f t="shared" si="146"/>
        <v>23534000</v>
      </c>
      <c r="DC60" s="37">
        <f>SUMIFS('Federal Data'!AV2:AV501,'Federal Data'!$G2:$G501,"International Development and Humanitarian Assistance",'Federal Data'!$D2:$D501,"Nongrant")</f>
        <v>24087000</v>
      </c>
      <c r="DD60" s="85" t="s">
        <v>487</v>
      </c>
      <c r="DE60" s="85">
        <f t="shared" si="147"/>
        <v>24087000</v>
      </c>
    </row>
    <row r="61" spans="1:109" outlineLevel="2">
      <c r="A61" s="29" t="s">
        <v>89</v>
      </c>
      <c r="B61" s="94">
        <f>SUMIFS('Federal Data'!M2:M501,'Federal Data'!$G2:$G501,"International Security Assistance",'Federal Data'!$D2:$D501,"Nongrant")</f>
        <v>4763123</v>
      </c>
      <c r="C61" s="101" t="s">
        <v>487</v>
      </c>
      <c r="D61" s="101">
        <f t="shared" si="112"/>
        <v>4763123</v>
      </c>
      <c r="E61" s="94">
        <f>SUMIFS('Federal Data'!N2:N501,'Federal Data'!$G2:$G501,"International Security Assistance",'Federal Data'!$D2:$D501,"Nongrant")</f>
        <v>5095148</v>
      </c>
      <c r="F61" s="101" t="s">
        <v>487</v>
      </c>
      <c r="G61" s="101">
        <f t="shared" si="113"/>
        <v>5095148</v>
      </c>
      <c r="H61" s="94">
        <f>SUMIFS('Federal Data'!O2:O501,'Federal Data'!$G2:$G501,"International Security Assistance",'Federal Data'!$D2:$D501,"Nongrant")</f>
        <v>5415882</v>
      </c>
      <c r="I61" s="101" t="s">
        <v>487</v>
      </c>
      <c r="J61" s="101">
        <f t="shared" si="114"/>
        <v>5415882</v>
      </c>
      <c r="K61" s="94">
        <f>SUMIFS('Federal Data'!P2:P501,'Federal Data'!$G2:$G501,"International Security Assistance",'Federal Data'!$D2:$D501,"Nongrant")</f>
        <v>6612800</v>
      </c>
      <c r="L61" s="101" t="s">
        <v>487</v>
      </c>
      <c r="M61" s="101">
        <f t="shared" si="115"/>
        <v>6612800</v>
      </c>
      <c r="N61" s="94">
        <f>SUMIFS('Federal Data'!Q2:Q501,'Federal Data'!$G2:$G501,"International Security Assistance",'Federal Data'!$D2:$D501,"Nongrant")</f>
        <v>7923974</v>
      </c>
      <c r="O61" s="101" t="s">
        <v>487</v>
      </c>
      <c r="P61" s="101">
        <f t="shared" si="116"/>
        <v>7923974</v>
      </c>
      <c r="Q61" s="94">
        <f>SUMIFS('Federal Data'!R2:R501,'Federal Data'!$G2:$G501,"International Security Assistance",'Federal Data'!$D2:$D501,"Nongrant")</f>
        <v>9390685</v>
      </c>
      <c r="R61" s="101" t="s">
        <v>487</v>
      </c>
      <c r="S61" s="101">
        <f t="shared" si="117"/>
        <v>9390685</v>
      </c>
      <c r="T61" s="94">
        <f>SUMIFS('Federal Data'!S2:S501,'Federal Data'!$G2:$G501,"International Security Assistance",'Federal Data'!$D2:$D501,"Nongrant")</f>
        <v>10499135</v>
      </c>
      <c r="U61" s="101" t="s">
        <v>487</v>
      </c>
      <c r="V61" s="101">
        <f t="shared" si="118"/>
        <v>10499135</v>
      </c>
      <c r="W61" s="94">
        <f>SUMIFS('Federal Data'!T2:T501,'Federal Data'!$G2:$G501,"International Security Assistance",'Federal Data'!$D2:$D501,"Nongrant")</f>
        <v>7106397</v>
      </c>
      <c r="X61" s="101" t="s">
        <v>487</v>
      </c>
      <c r="Y61" s="101">
        <f t="shared" si="119"/>
        <v>7106397</v>
      </c>
      <c r="Z61" s="94">
        <f>SUMIFS('Federal Data'!U2:U501,'Federal Data'!$G2:$G501,"International Security Assistance",'Federal Data'!$D2:$D501,"Nongrant")</f>
        <v>4499936</v>
      </c>
      <c r="AA61" s="101" t="s">
        <v>487</v>
      </c>
      <c r="AB61" s="101">
        <f t="shared" si="120"/>
        <v>4499936</v>
      </c>
      <c r="AC61" s="94">
        <f>SUMIFS('Federal Data'!V2:V501,'Federal Data'!$G2:$G501,"International Security Assistance",'Federal Data'!$D2:$D501,"Nongrant")</f>
        <v>1466908</v>
      </c>
      <c r="AD61" s="101" t="s">
        <v>487</v>
      </c>
      <c r="AE61" s="101">
        <f t="shared" si="121"/>
        <v>1466908</v>
      </c>
      <c r="AF61" s="94">
        <f>SUMIFS('Federal Data'!W2:W501,'Federal Data'!$G2:$G501,"International Security Assistance",'Federal Data'!$D2:$D501,"Nongrant")</f>
        <v>8652217</v>
      </c>
      <c r="AG61" s="101" t="s">
        <v>487</v>
      </c>
      <c r="AH61" s="101">
        <f t="shared" si="122"/>
        <v>8652217</v>
      </c>
      <c r="AI61" s="94">
        <f>SUMIFS('Federal Data'!X2:X501,'Federal Data'!$G2:$G501,"International Security Assistance",'Federal Data'!$D2:$D501,"Nongrant")</f>
        <v>9823009</v>
      </c>
      <c r="AJ61" s="101" t="s">
        <v>487</v>
      </c>
      <c r="AK61" s="101">
        <f t="shared" si="123"/>
        <v>9823009</v>
      </c>
      <c r="AL61" s="94">
        <f>SUMIFS('Federal Data'!Y2:Y501,'Federal Data'!$G2:$G501,"International Security Assistance",'Federal Data'!$D2:$D501,"Nongrant")</f>
        <v>7490443</v>
      </c>
      <c r="AM61" s="101" t="s">
        <v>487</v>
      </c>
      <c r="AN61" s="101">
        <f t="shared" si="124"/>
        <v>7490443</v>
      </c>
      <c r="AO61" s="94">
        <f>SUMIFS('Federal Data'!Z2:Z501,'Federal Data'!$G2:$G501,"International Security Assistance",'Federal Data'!$D2:$D501,"Nongrant")</f>
        <v>7639174</v>
      </c>
      <c r="AP61" s="101" t="s">
        <v>487</v>
      </c>
      <c r="AQ61" s="101">
        <f t="shared" si="125"/>
        <v>7639174</v>
      </c>
      <c r="AR61" s="94">
        <f>SUMIFS('Federal Data'!AA2:AA501,'Federal Data'!$G2:$G501,"International Security Assistance",'Federal Data'!$D2:$D501,"Nongrant")</f>
        <v>6642325</v>
      </c>
      <c r="AS61" s="101" t="s">
        <v>487</v>
      </c>
      <c r="AT61" s="101">
        <f t="shared" si="126"/>
        <v>6642325</v>
      </c>
      <c r="AU61" s="94">
        <f>SUMIFS('Federal Data'!AB2:AB501,'Federal Data'!$G2:$G501,"International Security Assistance",'Federal Data'!$D2:$D501,"Nongrant")</f>
        <v>5252000</v>
      </c>
      <c r="AV61" s="101" t="s">
        <v>487</v>
      </c>
      <c r="AW61" s="101">
        <f t="shared" si="127"/>
        <v>5252000</v>
      </c>
      <c r="AX61" s="94">
        <f>SUMIFS('Federal Data'!AC2:AC501,'Federal Data'!$G2:$G501,"International Security Assistance",'Federal Data'!$D2:$D501,"Nongrant")</f>
        <v>4565000</v>
      </c>
      <c r="AY61" s="101" t="s">
        <v>487</v>
      </c>
      <c r="AZ61" s="101">
        <f t="shared" si="128"/>
        <v>4565000</v>
      </c>
      <c r="BA61" s="94">
        <f>SUMIFS('Federal Data'!AD2:AD501,'Federal Data'!$G2:$G501,"International Security Assistance",'Federal Data'!$D2:$D501,"Nongrant")</f>
        <v>4632000</v>
      </c>
      <c r="BB61" s="101" t="s">
        <v>487</v>
      </c>
      <c r="BC61" s="101">
        <f t="shared" si="129"/>
        <v>4632000</v>
      </c>
      <c r="BD61" s="94">
        <f>SUMIFS('Federal Data'!AE2:AE501,'Federal Data'!$G2:$G501,"International Security Assistance",'Federal Data'!$D2:$D501,"Nongrant")</f>
        <v>5135000</v>
      </c>
      <c r="BE61" s="101" t="s">
        <v>487</v>
      </c>
      <c r="BF61" s="101">
        <f t="shared" si="130"/>
        <v>5135000</v>
      </c>
      <c r="BG61" s="94">
        <f>SUMIFS('Federal Data'!AF2:AF501,'Federal Data'!$G2:$G501,"International Security Assistance",'Federal Data'!$D2:$D501,"Nongrant")</f>
        <v>5531000</v>
      </c>
      <c r="BH61" s="101" t="s">
        <v>487</v>
      </c>
      <c r="BI61" s="101">
        <f t="shared" si="131"/>
        <v>5531000</v>
      </c>
      <c r="BJ61" s="94">
        <f>SUMIFS('Federal Data'!AG2:AG501,'Federal Data'!$G2:$G501,"International Security Assistance",'Federal Data'!$D2:$D501,"Nongrant")</f>
        <v>6387000</v>
      </c>
      <c r="BK61" s="101" t="s">
        <v>487</v>
      </c>
      <c r="BL61" s="101">
        <f t="shared" si="132"/>
        <v>6387000</v>
      </c>
      <c r="BM61" s="94">
        <f>SUMIFS('Federal Data'!AH2:AH501,'Federal Data'!$G2:$G501,"International Security Assistance",'Federal Data'!$D2:$D501,"Nongrant")</f>
        <v>6560000</v>
      </c>
      <c r="BN61" s="101" t="s">
        <v>487</v>
      </c>
      <c r="BO61" s="101">
        <f t="shared" si="133"/>
        <v>6560000</v>
      </c>
      <c r="BP61" s="94">
        <f>SUMIFS('Federal Data'!AI2:AI501,'Federal Data'!$G2:$G501,"International Security Assistance",'Federal Data'!$D2:$D501,"Nongrant")</f>
        <v>7907000</v>
      </c>
      <c r="BQ61" s="101" t="s">
        <v>487</v>
      </c>
      <c r="BR61" s="101">
        <f t="shared" si="134"/>
        <v>7907000</v>
      </c>
      <c r="BS61" s="94">
        <f>SUMIFS('Federal Data'!AJ2:AJ501,'Federal Data'!$G2:$G501,"International Security Assistance",'Federal Data'!$D2:$D501,"Nongrant")</f>
        <v>8620000</v>
      </c>
      <c r="BT61" s="101" t="s">
        <v>487</v>
      </c>
      <c r="BU61" s="101">
        <f t="shared" si="135"/>
        <v>8620000</v>
      </c>
      <c r="BV61" s="94">
        <f>SUMIFS('Federal Data'!AK2:AK501,'Federal Data'!$G2:$G501,"International Security Assistance",'Federal Data'!$D2:$D501,"Nongrant")</f>
        <v>8369000</v>
      </c>
      <c r="BW61" s="101" t="s">
        <v>487</v>
      </c>
      <c r="BX61" s="101">
        <f t="shared" si="136"/>
        <v>8369000</v>
      </c>
      <c r="BY61" s="94">
        <f>SUMIFS('Federal Data'!AL2:AL501,'Federal Data'!$G2:$G501,"International Security Assistance",'Federal Data'!$D2:$D501,"Nongrant")</f>
        <v>7895000</v>
      </c>
      <c r="BZ61" s="101" t="s">
        <v>487</v>
      </c>
      <c r="CA61" s="101">
        <f t="shared" si="137"/>
        <v>7895000</v>
      </c>
      <c r="CB61" s="94">
        <f>SUMIFS('Federal Data'!AM2:AM501,'Federal Data'!$G2:$G501,"International Security Assistance",'Federal Data'!$D2:$D501,"Nongrant")</f>
        <v>7811000</v>
      </c>
      <c r="CC61" s="101" t="s">
        <v>487</v>
      </c>
      <c r="CD61" s="101">
        <f t="shared" si="138"/>
        <v>7811000</v>
      </c>
      <c r="CE61" s="94">
        <f>SUMIFS('Federal Data'!AN2:AN501,'Federal Data'!$G2:$G501,"International Security Assistance",'Federal Data'!$D2:$D501,"Nongrant")</f>
        <v>7982000</v>
      </c>
      <c r="CF61" s="101" t="s">
        <v>487</v>
      </c>
      <c r="CG61" s="101">
        <f t="shared" si="139"/>
        <v>7982000</v>
      </c>
      <c r="CH61" s="94">
        <f>SUMIFS('Federal Data'!AO2:AO501,'Federal Data'!$G2:$G501,"International Security Assistance",'Federal Data'!$D2:$D501,"Nongrant")</f>
        <v>9480000</v>
      </c>
      <c r="CI61" s="101" t="s">
        <v>487</v>
      </c>
      <c r="CJ61" s="101">
        <f t="shared" si="140"/>
        <v>9480000</v>
      </c>
      <c r="CK61" s="94">
        <f>SUMIFS('Federal Data'!AP2:AP501,'Federal Data'!$G2:$G501,"International Security Assistance",'Federal Data'!$D2:$D501,"Nongrant")</f>
        <v>6247000</v>
      </c>
      <c r="CL61" s="101" t="s">
        <v>487</v>
      </c>
      <c r="CM61" s="101">
        <f t="shared" si="141"/>
        <v>6247000</v>
      </c>
      <c r="CN61" s="94">
        <f>SUMIFS('Federal Data'!AQ2:AQ501,'Federal Data'!$G2:$G501,"International Security Assistance",'Federal Data'!$D2:$D501,"Nongrant")</f>
        <v>11363000</v>
      </c>
      <c r="CO61" s="101" t="s">
        <v>487</v>
      </c>
      <c r="CP61" s="101">
        <f t="shared" si="142"/>
        <v>11363000</v>
      </c>
      <c r="CQ61" s="94">
        <f>SUMIFS('Federal Data'!AR2:AR501,'Federal Data'!$G2:$G501,"International Security Assistance",'Federal Data'!$D2:$D501,"Nongrant")</f>
        <v>12042000</v>
      </c>
      <c r="CR61" s="101" t="s">
        <v>487</v>
      </c>
      <c r="CS61" s="101">
        <f t="shared" si="143"/>
        <v>12042000</v>
      </c>
      <c r="CT61" s="94">
        <f>SUMIFS('Federal Data'!AS2:AS501,'Federal Data'!$G2:$G501,"International Security Assistance",'Federal Data'!$D2:$D501,"Nongrant")</f>
        <v>11464000</v>
      </c>
      <c r="CU61" s="101" t="s">
        <v>487</v>
      </c>
      <c r="CV61" s="101">
        <f t="shared" si="144"/>
        <v>11464000</v>
      </c>
      <c r="CW61" s="94">
        <f>SUMIFS('Federal Data'!AT2:AT501,'Federal Data'!$G2:$G501,"International Security Assistance",'Federal Data'!$D2:$D501,"Nongrant")</f>
        <v>9954000</v>
      </c>
      <c r="CX61" s="101" t="s">
        <v>487</v>
      </c>
      <c r="CY61" s="101">
        <f t="shared" si="145"/>
        <v>9954000</v>
      </c>
      <c r="CZ61" s="94">
        <f>SUMIFS('Federal Data'!AU2:AU501,'Federal Data'!$G2:$G501,"International Security Assistance",'Federal Data'!$D2:$D501,"Nongrant")</f>
        <v>11381000</v>
      </c>
      <c r="DA61" s="101" t="s">
        <v>487</v>
      </c>
      <c r="DB61" s="101">
        <f t="shared" si="146"/>
        <v>11381000</v>
      </c>
      <c r="DC61" s="37">
        <f>SUMIFS('Federal Data'!AV2:AV501,'Federal Data'!$G2:$G501,"International Security Assistance",'Federal Data'!$D2:$D501,"Nongrant")</f>
        <v>12907000</v>
      </c>
      <c r="DD61" s="85" t="s">
        <v>487</v>
      </c>
      <c r="DE61" s="85">
        <f t="shared" si="147"/>
        <v>12907000</v>
      </c>
    </row>
    <row r="62" spans="1:109" outlineLevel="2">
      <c r="A62" s="29" t="s">
        <v>90</v>
      </c>
      <c r="B62" s="94">
        <f>SUMIFS('Federal Data'!M2:M501,'Federal Data'!$G2:$G501,"Other Foreign Affairs",'Federal Data'!$D2:$D501,"Nongrant")</f>
        <v>4325080</v>
      </c>
      <c r="C62" s="101" t="s">
        <v>487</v>
      </c>
      <c r="D62" s="101">
        <f t="shared" si="112"/>
        <v>4325080</v>
      </c>
      <c r="E62" s="94">
        <f>SUMIFS('Federal Data'!N2:N501,'Federal Data'!$G2:$G501,"Other Foreign Affairs",'Federal Data'!$D2:$D501,"Nongrant")</f>
        <v>3878215</v>
      </c>
      <c r="F62" s="101" t="s">
        <v>487</v>
      </c>
      <c r="G62" s="101">
        <f t="shared" si="113"/>
        <v>3878215</v>
      </c>
      <c r="H62" s="94">
        <f>SUMIFS('Federal Data'!O2:O501,'Federal Data'!$G2:$G501,"Other Foreign Affairs",'Federal Data'!$D2:$D501,"Nongrant")</f>
        <v>3111216</v>
      </c>
      <c r="I62" s="101" t="s">
        <v>487</v>
      </c>
      <c r="J62" s="101">
        <f t="shared" si="114"/>
        <v>3111216</v>
      </c>
      <c r="K62" s="94">
        <f>SUMIFS('Federal Data'!P2:P501,'Federal Data'!$G2:$G501,"Other Foreign Affairs",'Federal Data'!$D2:$D501,"Nongrant")</f>
        <v>1279600</v>
      </c>
      <c r="L62" s="101" t="s">
        <v>487</v>
      </c>
      <c r="M62" s="101">
        <f t="shared" si="115"/>
        <v>1279600</v>
      </c>
      <c r="N62" s="94">
        <f>SUMIFS('Federal Data'!Q2:Q501,'Federal Data'!$G2:$G501,"Other Foreign Affairs",'Federal Data'!$D2:$D501,"Nongrant")</f>
        <v>3466772</v>
      </c>
      <c r="O62" s="101" t="s">
        <v>487</v>
      </c>
      <c r="P62" s="101">
        <f t="shared" si="116"/>
        <v>3466772</v>
      </c>
      <c r="Q62" s="94">
        <f>SUMIFS('Federal Data'!R2:R501,'Federal Data'!$G2:$G501,"Other Foreign Affairs",'Federal Data'!$D2:$D501,"Nongrant")</f>
        <v>1370199</v>
      </c>
      <c r="R62" s="101" t="s">
        <v>487</v>
      </c>
      <c r="S62" s="101">
        <f t="shared" si="117"/>
        <v>1370199</v>
      </c>
      <c r="T62" s="94">
        <f>SUMIFS('Federal Data'!S2:S501,'Federal Data'!$G2:$G501,"Other Foreign Affairs",'Federal Data'!$D2:$D501,"Nongrant")</f>
        <v>-1320104</v>
      </c>
      <c r="U62" s="101" t="s">
        <v>487</v>
      </c>
      <c r="V62" s="101">
        <f t="shared" si="118"/>
        <v>-1320104</v>
      </c>
      <c r="W62" s="94">
        <f>SUMIFS('Federal Data'!T2:T501,'Federal Data'!$G2:$G501,"Other Foreign Affairs",'Federal Data'!$D2:$D501,"Nongrant")</f>
        <v>219377</v>
      </c>
      <c r="X62" s="101" t="s">
        <v>487</v>
      </c>
      <c r="Y62" s="101">
        <f t="shared" si="119"/>
        <v>219377</v>
      </c>
      <c r="Z62" s="94">
        <f>SUMIFS('Federal Data'!U2:U501,'Federal Data'!$G2:$G501,"Other Foreign Affairs",'Federal Data'!$D2:$D501,"Nongrant")</f>
        <v>1262738</v>
      </c>
      <c r="AA62" s="101" t="s">
        <v>487</v>
      </c>
      <c r="AB62" s="101">
        <f t="shared" si="120"/>
        <v>1262738</v>
      </c>
      <c r="AC62" s="94">
        <f>SUMIFS('Federal Data'!V2:V501,'Federal Data'!$G2:$G501,"Other Foreign Affairs",'Federal Data'!$D2:$D501,"Nongrant")</f>
        <v>3280381</v>
      </c>
      <c r="AD62" s="101" t="s">
        <v>487</v>
      </c>
      <c r="AE62" s="101">
        <f t="shared" si="121"/>
        <v>3280381</v>
      </c>
      <c r="AF62" s="94">
        <f>SUMIFS('Federal Data'!W2:W501,'Federal Data'!$G2:$G501,"Other Foreign Affairs",'Federal Data'!$D2:$D501,"Nongrant")</f>
        <v>-391293</v>
      </c>
      <c r="AG62" s="101" t="s">
        <v>487</v>
      </c>
      <c r="AH62" s="101">
        <f t="shared" si="122"/>
        <v>-391293</v>
      </c>
      <c r="AI62" s="94">
        <f>SUMIFS('Federal Data'!X2:X501,'Federal Data'!$G2:$G501,"Other Foreign Affairs",'Federal Data'!$D2:$D501,"Nongrant")</f>
        <v>882485</v>
      </c>
      <c r="AJ62" s="101" t="s">
        <v>487</v>
      </c>
      <c r="AK62" s="101">
        <f t="shared" si="123"/>
        <v>882485</v>
      </c>
      <c r="AL62" s="94">
        <f>SUMIFS('Federal Data'!Y2:Y501,'Federal Data'!$G2:$G501,"Other Foreign Affairs",'Federal Data'!$D2:$D501,"Nongrant")</f>
        <v>2468013</v>
      </c>
      <c r="AM62" s="101" t="s">
        <v>487</v>
      </c>
      <c r="AN62" s="101">
        <f t="shared" si="124"/>
        <v>2468013</v>
      </c>
      <c r="AO62" s="94">
        <f>SUMIFS('Federal Data'!Z2:Z501,'Federal Data'!$G2:$G501,"Other Foreign Affairs",'Federal Data'!$D2:$D501,"Nongrant")</f>
        <v>3753896</v>
      </c>
      <c r="AP62" s="101" t="s">
        <v>487</v>
      </c>
      <c r="AQ62" s="101">
        <f t="shared" si="125"/>
        <v>3753896</v>
      </c>
      <c r="AR62" s="94">
        <f>SUMIFS('Federal Data'!AA2:AA501,'Federal Data'!$G2:$G501,"Other Foreign Affairs",'Federal Data'!$D2:$D501,"Nongrant")</f>
        <v>3377173</v>
      </c>
      <c r="AS62" s="101" t="s">
        <v>487</v>
      </c>
      <c r="AT62" s="101">
        <f t="shared" si="126"/>
        <v>3377173</v>
      </c>
      <c r="AU62" s="94">
        <f>SUMIFS('Federal Data'!AB2:AB501,'Federal Data'!$G2:$G501,"Other Foreign Affairs",'Federal Data'!$D2:$D501,"Nongrant")</f>
        <v>3579000</v>
      </c>
      <c r="AV62" s="101" t="s">
        <v>487</v>
      </c>
      <c r="AW62" s="101">
        <f t="shared" si="127"/>
        <v>3579000</v>
      </c>
      <c r="AX62" s="94">
        <f>SUMIFS('Federal Data'!AC2:AC501,'Federal Data'!$G2:$G501,"Other Foreign Affairs",'Federal Data'!$D2:$D501,"Nongrant")</f>
        <v>2762000</v>
      </c>
      <c r="AY62" s="101" t="s">
        <v>487</v>
      </c>
      <c r="AZ62" s="101">
        <f t="shared" si="128"/>
        <v>2762000</v>
      </c>
      <c r="BA62" s="94">
        <f>SUMIFS('Federal Data'!AD2:AD501,'Federal Data'!$G2:$G501,"Other Foreign Affairs",'Federal Data'!$D2:$D501,"Nongrant")</f>
        <v>4538000</v>
      </c>
      <c r="BB62" s="101" t="s">
        <v>487</v>
      </c>
      <c r="BC62" s="101">
        <f t="shared" si="129"/>
        <v>4538000</v>
      </c>
      <c r="BD62" s="94">
        <f>SUMIFS('Federal Data'!AE2:AE501,'Federal Data'!$G2:$G501,"Other Foreign Affairs",'Federal Data'!$D2:$D501,"Nongrant")</f>
        <v>2517000</v>
      </c>
      <c r="BE62" s="101" t="s">
        <v>487</v>
      </c>
      <c r="BF62" s="101">
        <f t="shared" si="130"/>
        <v>2517000</v>
      </c>
      <c r="BG62" s="94">
        <f>SUMIFS('Federal Data'!AF2:AF501,'Federal Data'!$G2:$G501,"Other Foreign Affairs",'Federal Data'!$D2:$D501,"Nongrant")</f>
        <v>4020000</v>
      </c>
      <c r="BH62" s="101" t="s">
        <v>487</v>
      </c>
      <c r="BI62" s="101">
        <f t="shared" si="131"/>
        <v>4020000</v>
      </c>
      <c r="BJ62" s="94">
        <f>SUMIFS('Federal Data'!AG2:AG501,'Federal Data'!$G2:$G501,"Other Foreign Affairs",'Federal Data'!$D2:$D501,"Nongrant")</f>
        <v>4319000</v>
      </c>
      <c r="BK62" s="101" t="s">
        <v>487</v>
      </c>
      <c r="BL62" s="101">
        <f t="shared" si="132"/>
        <v>4319000</v>
      </c>
      <c r="BM62" s="94">
        <f>SUMIFS('Federal Data'!AH2:AH501,'Federal Data'!$G2:$G501,"Other Foreign Affairs",'Federal Data'!$D2:$D501,"Nongrant")</f>
        <v>2718000</v>
      </c>
      <c r="BN62" s="101" t="s">
        <v>487</v>
      </c>
      <c r="BO62" s="101">
        <f t="shared" si="133"/>
        <v>2718000</v>
      </c>
      <c r="BP62" s="94">
        <f>SUMIFS('Federal Data'!AI2:AI501,'Federal Data'!$G2:$G501,"Other Foreign Affairs",'Federal Data'!$D2:$D501,"Nongrant")</f>
        <v>6582000</v>
      </c>
      <c r="BQ62" s="101" t="s">
        <v>487</v>
      </c>
      <c r="BR62" s="101">
        <f t="shared" si="134"/>
        <v>6582000</v>
      </c>
      <c r="BS62" s="94">
        <f>SUMIFS('Federal Data'!AJ2:AJ501,'Federal Data'!$G2:$G501,"Other Foreign Affairs",'Federal Data'!$D2:$D501,"Nongrant")</f>
        <v>2229000</v>
      </c>
      <c r="BT62" s="101" t="s">
        <v>487</v>
      </c>
      <c r="BU62" s="101">
        <f t="shared" si="135"/>
        <v>2229000</v>
      </c>
      <c r="BV62" s="94">
        <f>SUMIFS('Federal Data'!AK2:AK501,'Federal Data'!$G2:$G501,"Other Foreign Affairs",'Federal Data'!$D2:$D501,"Nongrant")</f>
        <v>4732000</v>
      </c>
      <c r="BW62" s="101" t="s">
        <v>487</v>
      </c>
      <c r="BX62" s="101">
        <f t="shared" si="136"/>
        <v>4732000</v>
      </c>
      <c r="BY62" s="94">
        <f>SUMIFS('Federal Data'!AL2:AL501,'Federal Data'!$G2:$G501,"Other Foreign Affairs",'Federal Data'!$D2:$D501,"Nongrant")</f>
        <v>8987000</v>
      </c>
      <c r="BZ62" s="101" t="s">
        <v>487</v>
      </c>
      <c r="CA62" s="101">
        <f t="shared" si="137"/>
        <v>8987000</v>
      </c>
      <c r="CB62" s="94">
        <f>SUMIFS('Federal Data'!AM2:AM501,'Federal Data'!$G2:$G501,"Other Foreign Affairs",'Federal Data'!$D2:$D501,"Nongrant")</f>
        <v>5009000</v>
      </c>
      <c r="CC62" s="101" t="s">
        <v>487</v>
      </c>
      <c r="CD62" s="101">
        <f t="shared" si="138"/>
        <v>5009000</v>
      </c>
      <c r="CE62" s="94">
        <f>SUMIFS('Federal Data'!AN2:AN501,'Federal Data'!$G2:$G501,"Other Foreign Affairs",'Federal Data'!$D2:$D501,"Nongrant")</f>
        <v>4964000</v>
      </c>
      <c r="CF62" s="101" t="s">
        <v>487</v>
      </c>
      <c r="CG62" s="101">
        <f t="shared" si="139"/>
        <v>4964000</v>
      </c>
      <c r="CH62" s="94">
        <f>SUMIFS('Federal Data'!AO2:AO501,'Federal Data'!$G2:$G501,"Other Foreign Affairs",'Federal Data'!$D2:$D501,"Nongrant")</f>
        <v>5301000</v>
      </c>
      <c r="CI62" s="101" t="s">
        <v>487</v>
      </c>
      <c r="CJ62" s="101">
        <f t="shared" si="140"/>
        <v>5301000</v>
      </c>
      <c r="CK62" s="94">
        <f>SUMIFS('Federal Data'!AP2:AP501,'Federal Data'!$G2:$G501,"Other Foreign Affairs",'Federal Data'!$D2:$D501,"Nongrant")</f>
        <v>9190000</v>
      </c>
      <c r="CL62" s="101" t="s">
        <v>487</v>
      </c>
      <c r="CM62" s="101">
        <f t="shared" si="141"/>
        <v>9190000</v>
      </c>
      <c r="CN62" s="94">
        <f>SUMIFS('Federal Data'!AQ2:AQ501,'Federal Data'!$G2:$G501,"Other Foreign Affairs",'Federal Data'!$D2:$D501,"Nongrant")</f>
        <v>14833000</v>
      </c>
      <c r="CO62" s="101" t="s">
        <v>487</v>
      </c>
      <c r="CP62" s="101">
        <f t="shared" si="142"/>
        <v>14833000</v>
      </c>
      <c r="CQ62" s="94">
        <f>SUMIFS('Federal Data'!AR2:AR501,'Federal Data'!$G2:$G501,"Other Foreign Affairs",'Federal Data'!$D2:$D501,"Nongrant")</f>
        <v>12371000</v>
      </c>
      <c r="CR62" s="101" t="s">
        <v>487</v>
      </c>
      <c r="CS62" s="101">
        <f t="shared" si="143"/>
        <v>12371000</v>
      </c>
      <c r="CT62" s="94">
        <f>SUMIFS('Federal Data'!AS2:AS501,'Federal Data'!$G2:$G501,"Other Foreign Affairs",'Federal Data'!$D2:$D501,"Nongrant")</f>
        <v>13822000</v>
      </c>
      <c r="CU62" s="101" t="s">
        <v>487</v>
      </c>
      <c r="CV62" s="101">
        <f t="shared" si="144"/>
        <v>13822000</v>
      </c>
      <c r="CW62" s="94">
        <f>SUMIFS('Federal Data'!AT2:AT501,'Federal Data'!$G2:$G501,"Other Foreign Affairs",'Federal Data'!$D2:$D501,"Nongrant")</f>
        <v>13703000</v>
      </c>
      <c r="CX62" s="101" t="s">
        <v>487</v>
      </c>
      <c r="CY62" s="101">
        <f t="shared" si="145"/>
        <v>13703000</v>
      </c>
      <c r="CZ62" s="94">
        <f>SUMIFS('Federal Data'!AU2:AU501,'Federal Data'!$G2:$G501,"Other Foreign Affairs",'Federal Data'!$D2:$D501,"Nongrant")</f>
        <v>11817000</v>
      </c>
      <c r="DA62" s="101" t="s">
        <v>487</v>
      </c>
      <c r="DB62" s="101">
        <f t="shared" si="146"/>
        <v>11817000</v>
      </c>
      <c r="DC62" s="37">
        <f>SUMIFS('Federal Data'!AV2:AV501,'Federal Data'!$G2:$G501,"Other Foreign Affairs",'Federal Data'!$D2:$D501,"Nongrant")</f>
        <v>11509000</v>
      </c>
      <c r="DD62" s="85" t="s">
        <v>487</v>
      </c>
      <c r="DE62" s="85">
        <f t="shared" si="147"/>
        <v>11509000</v>
      </c>
    </row>
    <row r="63" spans="1:109" outlineLevel="1">
      <c r="A63" s="42" t="s">
        <v>301</v>
      </c>
      <c r="B63" s="95">
        <f>SUMIFS('Federal Data'!M2:M501,'Federal Data'!$F2:$F501,"Immigration and Border Security",'Federal Data'!$D2:$D501,"Nongrant")</f>
        <v>876553</v>
      </c>
      <c r="C63" s="99" t="s">
        <v>487</v>
      </c>
      <c r="D63" s="99">
        <f t="shared" si="112"/>
        <v>876553</v>
      </c>
      <c r="E63" s="95">
        <f>SUMIFS('Federal Data'!N2:N501,'Federal Data'!$F2:$F501,"Immigration and Border Security",'Federal Data'!$D2:$D501,"Nongrant")</f>
        <v>959995</v>
      </c>
      <c r="F63" s="99" t="s">
        <v>487</v>
      </c>
      <c r="G63" s="99">
        <f t="shared" si="113"/>
        <v>959995</v>
      </c>
      <c r="H63" s="95">
        <f>SUMIFS('Federal Data'!O2:O501,'Federal Data'!$F2:$F501,"Immigration and Border Security",'Federal Data'!$D2:$D501,"Nongrant")</f>
        <v>1007536</v>
      </c>
      <c r="I63" s="99" t="s">
        <v>487</v>
      </c>
      <c r="J63" s="99">
        <f t="shared" si="114"/>
        <v>1007536</v>
      </c>
      <c r="K63" s="95">
        <f>SUMIFS('Federal Data'!P2:P501,'Federal Data'!$F2:$F501,"Immigration and Border Security",'Federal Data'!$D2:$D501,"Nongrant")</f>
        <v>1132504</v>
      </c>
      <c r="L63" s="99" t="s">
        <v>487</v>
      </c>
      <c r="M63" s="99">
        <f t="shared" si="115"/>
        <v>1132504</v>
      </c>
      <c r="N63" s="95">
        <f>SUMIFS('Federal Data'!Q2:Q501,'Federal Data'!$F2:$F501,"Immigration and Border Security",'Federal Data'!$D2:$D501,"Nongrant")</f>
        <v>1208786</v>
      </c>
      <c r="O63" s="99" t="s">
        <v>487</v>
      </c>
      <c r="P63" s="99">
        <f t="shared" si="116"/>
        <v>1208786</v>
      </c>
      <c r="Q63" s="95">
        <f>SUMIFS('Federal Data'!R2:R501,'Federal Data'!$F2:$F501,"Immigration and Border Security",'Federal Data'!$D2:$D501,"Nongrant")</f>
        <v>1297626</v>
      </c>
      <c r="R63" s="99" t="s">
        <v>487</v>
      </c>
      <c r="S63" s="99">
        <f t="shared" si="117"/>
        <v>1297626</v>
      </c>
      <c r="T63" s="95">
        <f>SUMIFS('Federal Data'!S2:S501,'Federal Data'!$F2:$F501,"Immigration and Border Security",'Federal Data'!$D2:$D501,"Nongrant")</f>
        <v>1378830</v>
      </c>
      <c r="U63" s="99" t="s">
        <v>487</v>
      </c>
      <c r="V63" s="99">
        <f t="shared" si="118"/>
        <v>1378830</v>
      </c>
      <c r="W63" s="95">
        <f>SUMIFS('Federal Data'!T2:T501,'Federal Data'!$F2:$F501,"Immigration and Border Security",'Federal Data'!$D2:$D501,"Nongrant")</f>
        <v>1708406</v>
      </c>
      <c r="X63" s="99" t="s">
        <v>487</v>
      </c>
      <c r="Y63" s="99">
        <f t="shared" si="119"/>
        <v>1708406</v>
      </c>
      <c r="Z63" s="95">
        <f>SUMIFS('Federal Data'!U2:U501,'Federal Data'!$F2:$F501,"Immigration and Border Security",'Federal Data'!$D2:$D501,"Nongrant")</f>
        <v>2265790</v>
      </c>
      <c r="AA63" s="99" t="s">
        <v>487</v>
      </c>
      <c r="AB63" s="99">
        <f t="shared" si="120"/>
        <v>2265790</v>
      </c>
      <c r="AC63" s="95">
        <f>SUMIFS('Federal Data'!V2:V501,'Federal Data'!$F2:$F501,"Immigration and Border Security",'Federal Data'!$D2:$D501,"Nongrant")</f>
        <v>1690742</v>
      </c>
      <c r="AD63" s="99" t="s">
        <v>487</v>
      </c>
      <c r="AE63" s="99">
        <f t="shared" si="121"/>
        <v>1690742</v>
      </c>
      <c r="AF63" s="95">
        <f>SUMIFS('Federal Data'!W2:W501,'Federal Data'!$F2:$F501,"Immigration and Border Security",'Federal Data'!$D2:$D501,"Nongrant")</f>
        <v>1362933</v>
      </c>
      <c r="AG63" s="99" t="s">
        <v>487</v>
      </c>
      <c r="AH63" s="99">
        <f t="shared" si="122"/>
        <v>1362933</v>
      </c>
      <c r="AI63" s="95">
        <f>SUMIFS('Federal Data'!X2:X501,'Federal Data'!$F2:$F501,"Immigration and Border Security",'Federal Data'!$D2:$D501,"Nongrant")</f>
        <v>1742967</v>
      </c>
      <c r="AJ63" s="99" t="s">
        <v>487</v>
      </c>
      <c r="AK63" s="99">
        <f t="shared" si="123"/>
        <v>1742967</v>
      </c>
      <c r="AL63" s="95">
        <f>SUMIFS('Federal Data'!Y2:Y501,'Federal Data'!$F2:$F501,"Immigration and Border Security",'Federal Data'!$D2:$D501,"Nongrant")</f>
        <v>1946267</v>
      </c>
      <c r="AM63" s="99" t="s">
        <v>487</v>
      </c>
      <c r="AN63" s="99">
        <f t="shared" si="124"/>
        <v>1946267</v>
      </c>
      <c r="AO63" s="95">
        <f>SUMIFS('Federal Data'!Z2:Z501,'Federal Data'!$F2:$F501,"Immigration and Border Security",'Federal Data'!$D2:$D501,"Nongrant")</f>
        <v>2009525</v>
      </c>
      <c r="AP63" s="99" t="s">
        <v>487</v>
      </c>
      <c r="AQ63" s="99">
        <f t="shared" si="125"/>
        <v>2009525</v>
      </c>
      <c r="AR63" s="95">
        <f>SUMIFS('Federal Data'!AA2:AA501,'Federal Data'!$F2:$F501,"Immigration and Border Security",'Federal Data'!$D2:$D501,"Nongrant")</f>
        <v>1956440</v>
      </c>
      <c r="AS63" s="99" t="s">
        <v>487</v>
      </c>
      <c r="AT63" s="99">
        <f t="shared" si="126"/>
        <v>1956440</v>
      </c>
      <c r="AU63" s="95">
        <f>SUMIFS('Federal Data'!AB2:AB501,'Federal Data'!$F2:$F501,"Immigration and Border Security",'Federal Data'!$D2:$D501,"Nongrant")</f>
        <v>1665000</v>
      </c>
      <c r="AV63" s="99" t="s">
        <v>487</v>
      </c>
      <c r="AW63" s="99">
        <f t="shared" si="127"/>
        <v>1665000</v>
      </c>
      <c r="AX63" s="95">
        <f>SUMIFS('Federal Data'!AC2:AC501,'Federal Data'!$F2:$F501,"Immigration and Border Security",'Federal Data'!$D2:$D501,"Nongrant")</f>
        <v>1979000</v>
      </c>
      <c r="AY63" s="99" t="s">
        <v>487</v>
      </c>
      <c r="AZ63" s="99">
        <f t="shared" si="128"/>
        <v>1979000</v>
      </c>
      <c r="BA63" s="95">
        <f>SUMIFS('Federal Data'!AD2:AD501,'Federal Data'!$F2:$F501,"Immigration and Border Security",'Federal Data'!$D2:$D501,"Nongrant")</f>
        <v>2317000</v>
      </c>
      <c r="BB63" s="99" t="s">
        <v>487</v>
      </c>
      <c r="BC63" s="99">
        <f t="shared" si="129"/>
        <v>2317000</v>
      </c>
      <c r="BD63" s="95">
        <f>SUMIFS('Federal Data'!AE2:AE501,'Federal Data'!$F2:$F501,"Immigration and Border Security",'Federal Data'!$D2:$D501,"Nongrant")</f>
        <v>3381000</v>
      </c>
      <c r="BE63" s="99" t="s">
        <v>487</v>
      </c>
      <c r="BF63" s="99">
        <f t="shared" si="130"/>
        <v>3381000</v>
      </c>
      <c r="BG63" s="95">
        <f>SUMIFS('Federal Data'!AF2:AF501,'Federal Data'!$F2:$F501,"Immigration and Border Security",'Federal Data'!$D2:$D501,"Nongrant")</f>
        <v>3622000</v>
      </c>
      <c r="BH63" s="99" t="s">
        <v>487</v>
      </c>
      <c r="BI63" s="99">
        <f t="shared" si="131"/>
        <v>3622000</v>
      </c>
      <c r="BJ63" s="95">
        <f>SUMIFS('Federal Data'!AG2:AG501,'Federal Data'!$F2:$F501,"Immigration and Border Security",'Federal Data'!$D2:$D501,"Nongrant")</f>
        <v>3897000</v>
      </c>
      <c r="BK63" s="99" t="s">
        <v>487</v>
      </c>
      <c r="BL63" s="99">
        <f t="shared" si="132"/>
        <v>3897000</v>
      </c>
      <c r="BM63" s="95">
        <f>SUMIFS('Federal Data'!AH2:AH501,'Federal Data'!$F2:$F501,"Immigration and Border Security",'Federal Data'!$D2:$D501,"Nongrant")</f>
        <v>3960000</v>
      </c>
      <c r="BN63" s="99" t="s">
        <v>487</v>
      </c>
      <c r="BO63" s="99">
        <f t="shared" si="133"/>
        <v>3960000</v>
      </c>
      <c r="BP63" s="95">
        <f>SUMIFS('Federal Data'!AI2:AI501,'Federal Data'!$F2:$F501,"Immigration and Border Security",'Federal Data'!$D2:$D501,"Nongrant")</f>
        <v>5722000</v>
      </c>
      <c r="BQ63" s="99" t="s">
        <v>487</v>
      </c>
      <c r="BR63" s="99">
        <f t="shared" si="134"/>
        <v>5722000</v>
      </c>
      <c r="BS63" s="95">
        <f>SUMIFS('Federal Data'!AJ2:AJ501,'Federal Data'!$F2:$F501,"Immigration and Border Security",'Federal Data'!$D2:$D501,"Nongrant")</f>
        <v>5643000</v>
      </c>
      <c r="BT63" s="99" t="s">
        <v>487</v>
      </c>
      <c r="BU63" s="99">
        <f t="shared" si="135"/>
        <v>5643000</v>
      </c>
      <c r="BV63" s="95">
        <f>SUMIFS('Federal Data'!AK2:AK501,'Federal Data'!$F2:$F501,"Immigration and Border Security",'Federal Data'!$D2:$D501,"Nongrant")</f>
        <v>6874000</v>
      </c>
      <c r="BW63" s="99" t="s">
        <v>487</v>
      </c>
      <c r="BX63" s="99">
        <f t="shared" si="136"/>
        <v>6874000</v>
      </c>
      <c r="BY63" s="95">
        <f>SUMIFS('Federal Data'!AL2:AL501,'Federal Data'!$F2:$F501,"Immigration and Border Security",'Federal Data'!$D2:$D501,"Nongrant")</f>
        <v>6973000</v>
      </c>
      <c r="BZ63" s="99" t="s">
        <v>487</v>
      </c>
      <c r="CA63" s="99">
        <f t="shared" si="137"/>
        <v>6973000</v>
      </c>
      <c r="CB63" s="95">
        <f>SUMIFS('Federal Data'!AM2:AM501,'Federal Data'!$F2:$F501,"Immigration and Border Security",'Federal Data'!$D2:$D501,"Nongrant")</f>
        <v>7644000</v>
      </c>
      <c r="CC63" s="99" t="s">
        <v>487</v>
      </c>
      <c r="CD63" s="99">
        <f t="shared" si="138"/>
        <v>7644000</v>
      </c>
      <c r="CE63" s="95">
        <f>SUMIFS('Federal Data'!AN2:AN501,'Federal Data'!$F2:$F501,"Immigration and Border Security",'Federal Data'!$D2:$D501,"Nongrant")</f>
        <v>8664000</v>
      </c>
      <c r="CF63" s="99" t="s">
        <v>487</v>
      </c>
      <c r="CG63" s="99">
        <f t="shared" si="139"/>
        <v>8664000</v>
      </c>
      <c r="CH63" s="95">
        <f>SUMIFS('Federal Data'!AO2:AO501,'Federal Data'!$F2:$F501,"Immigration and Border Security",'Federal Data'!$D2:$D501,"Nongrant")</f>
        <v>11270000</v>
      </c>
      <c r="CI63" s="99" t="s">
        <v>487</v>
      </c>
      <c r="CJ63" s="99">
        <f t="shared" si="140"/>
        <v>11270000</v>
      </c>
      <c r="CK63" s="95">
        <f>SUMIFS('Federal Data'!AP2:AP501,'Federal Data'!$F2:$F501,"Immigration and Border Security",'Federal Data'!$D2:$D501,"Nongrant")</f>
        <v>15299000</v>
      </c>
      <c r="CL63" s="99" t="s">
        <v>487</v>
      </c>
      <c r="CM63" s="99">
        <f t="shared" si="141"/>
        <v>15299000</v>
      </c>
      <c r="CN63" s="95">
        <f>SUMIFS('Federal Data'!AQ2:AQ501,'Federal Data'!$F2:$F501,"Immigration and Border Security",'Federal Data'!$D2:$D501,"Nongrant")</f>
        <v>14427000</v>
      </c>
      <c r="CO63" s="99" t="s">
        <v>487</v>
      </c>
      <c r="CP63" s="99">
        <f t="shared" si="142"/>
        <v>14427000</v>
      </c>
      <c r="CQ63" s="95">
        <f>SUMIFS('Federal Data'!AR2:AR501,'Federal Data'!$F2:$F501,"Immigration and Border Security",'Federal Data'!$D2:$D501,"Nongrant")</f>
        <v>14588000</v>
      </c>
      <c r="CR63" s="99" t="s">
        <v>487</v>
      </c>
      <c r="CS63" s="99">
        <f t="shared" si="143"/>
        <v>14588000</v>
      </c>
      <c r="CT63" s="95">
        <f>SUMIFS('Federal Data'!AS2:AS501,'Federal Data'!$F2:$F501,"Immigration and Border Security",'Federal Data'!$D2:$D501,"Nongrant")</f>
        <v>14520000</v>
      </c>
      <c r="CU63" s="99" t="s">
        <v>487</v>
      </c>
      <c r="CV63" s="99">
        <f t="shared" si="144"/>
        <v>14520000</v>
      </c>
      <c r="CW63" s="95">
        <f>SUMIFS('Federal Data'!AT2:AT501,'Federal Data'!$F2:$F501,"Immigration and Border Security",'Federal Data'!$D2:$D501,"Nongrant")</f>
        <v>13824000</v>
      </c>
      <c r="CX63" s="99" t="s">
        <v>487</v>
      </c>
      <c r="CY63" s="99">
        <f t="shared" si="145"/>
        <v>13824000</v>
      </c>
      <c r="CZ63" s="95">
        <f>SUMIFS('Federal Data'!AU2:AU501,'Federal Data'!$F2:$F501,"Immigration and Border Security",'Federal Data'!$D2:$D501,"Nongrant")</f>
        <v>13382000</v>
      </c>
      <c r="DA63" s="99" t="s">
        <v>487</v>
      </c>
      <c r="DB63" s="99">
        <f t="shared" si="146"/>
        <v>13382000</v>
      </c>
      <c r="DC63" s="41">
        <f>SUMIFS('Federal Data'!AV2:AV501,'Federal Data'!$F2:$F501,"Immigration and Border Security",'Federal Data'!$D2:$D501,"Nongrant")</f>
        <v>13853000</v>
      </c>
      <c r="DD63" s="81" t="s">
        <v>487</v>
      </c>
      <c r="DE63" s="81">
        <f t="shared" si="147"/>
        <v>13853000</v>
      </c>
    </row>
    <row r="64" spans="1:109">
      <c r="A64" s="47" t="s">
        <v>36</v>
      </c>
      <c r="B64" s="97">
        <f>SUMIFS('Federal Data'!M2:M501,'Federal Data'!$E2:$E501,"General Welfare",'Federal Data'!$D2:$D501,"Nongrant")</f>
        <v>67351640</v>
      </c>
      <c r="C64" s="102">
        <f>'State and Local P&amp;L (detailed)'!$C$40</f>
        <v>90974324</v>
      </c>
      <c r="D64" s="102">
        <f t="shared" si="112"/>
        <v>158325964</v>
      </c>
      <c r="E64" s="97">
        <f>SUMIFS('Federal Data'!N2:N501,'Federal Data'!$E2:$E501,"General Welfare",'Federal Data'!$D2:$D501,"Nongrant")</f>
        <v>74421456</v>
      </c>
      <c r="F64" s="102">
        <f>'State and Local P&amp;L (detailed)'!$D$40</f>
        <v>100298986</v>
      </c>
      <c r="G64" s="102">
        <f t="shared" si="113"/>
        <v>174720442</v>
      </c>
      <c r="H64" s="97">
        <f>SUMIFS('Federal Data'!O2:O501,'Federal Data'!$E2:$E501,"General Welfare",'Federal Data'!$D2:$D501,"Nongrant")</f>
        <v>75012268</v>
      </c>
      <c r="I64" s="102">
        <f>'State and Local P&amp;L (detailed)'!$E$40</f>
        <v>106120388</v>
      </c>
      <c r="J64" s="102">
        <f t="shared" si="114"/>
        <v>181132656</v>
      </c>
      <c r="K64" s="97">
        <f>SUMIFS('Federal Data'!P2:P501,'Federal Data'!$E2:$E501,"General Welfare",'Federal Data'!$D2:$D501,"Nongrant")</f>
        <v>87362985</v>
      </c>
      <c r="L64" s="102">
        <f>'State and Local P&amp;L (detailed)'!$F$40</f>
        <v>113818416</v>
      </c>
      <c r="M64" s="102">
        <f t="shared" si="115"/>
        <v>201181401</v>
      </c>
      <c r="N64" s="97">
        <f>SUMIFS('Federal Data'!Q2:Q501,'Federal Data'!$E2:$E501,"General Welfare",'Federal Data'!$D2:$D501,"Nongrant")</f>
        <v>76310295</v>
      </c>
      <c r="O64" s="102">
        <f>'State and Local P&amp;L (detailed)'!$G$40</f>
        <v>121827139</v>
      </c>
      <c r="P64" s="102">
        <f t="shared" si="116"/>
        <v>198137434</v>
      </c>
      <c r="Q64" s="97">
        <f>SUMIFS('Federal Data'!R2:R501,'Federal Data'!$E2:$E501,"General Welfare",'Federal Data'!$D2:$D501,"Nongrant")</f>
        <v>90002748</v>
      </c>
      <c r="R64" s="102">
        <f>'State and Local P&amp;L (detailed)'!$H$40</f>
        <v>132870312</v>
      </c>
      <c r="S64" s="102">
        <f t="shared" si="117"/>
        <v>222873060</v>
      </c>
      <c r="T64" s="97">
        <f>SUMIFS('Federal Data'!S2:S501,'Federal Data'!$E2:$E501,"General Welfare",'Federal Data'!$D2:$D501,"Nongrant")</f>
        <v>81965836</v>
      </c>
      <c r="U64" s="102">
        <f>'State and Local P&amp;L (detailed)'!$I$40</f>
        <v>143482687</v>
      </c>
      <c r="V64" s="102">
        <f t="shared" si="118"/>
        <v>225448523</v>
      </c>
      <c r="W64" s="97">
        <f>SUMIFS('Federal Data'!T2:T501,'Federal Data'!$E2:$E501,"General Welfare",'Federal Data'!$D2:$D501,"Nongrant")</f>
        <v>83331890</v>
      </c>
      <c r="X64" s="102">
        <f>'State and Local P&amp;L (detailed)'!$J$40</f>
        <v>153399817</v>
      </c>
      <c r="Y64" s="102">
        <f t="shared" si="119"/>
        <v>236731707</v>
      </c>
      <c r="Z64" s="97">
        <f>SUMIFS('Federal Data'!U2:U501,'Federal Data'!$E2:$E501,"General Welfare",'Federal Data'!$D2:$D501,"Nongrant")</f>
        <v>96173503</v>
      </c>
      <c r="AA64" s="102">
        <f>'State and Local P&amp;L (detailed)'!$K$40</f>
        <v>165514267</v>
      </c>
      <c r="AB64" s="102">
        <f t="shared" si="120"/>
        <v>261687770</v>
      </c>
      <c r="AC64" s="97">
        <f>SUMIFS('Federal Data'!V2:V501,'Federal Data'!$E2:$E501,"General Welfare",'Federal Data'!$D2:$D501,"Nongrant")</f>
        <v>113679381</v>
      </c>
      <c r="AD64" s="102">
        <f>'State and Local P&amp;L (detailed)'!$L$40</f>
        <v>176713068</v>
      </c>
      <c r="AE64" s="102">
        <f t="shared" si="121"/>
        <v>290392449</v>
      </c>
      <c r="AF64" s="97">
        <f>SUMIFS('Federal Data'!W2:W501,'Federal Data'!$E2:$E501,"General Welfare",'Federal Data'!$D2:$D501,"Nongrant")</f>
        <v>163424096</v>
      </c>
      <c r="AG64" s="102">
        <f>'State and Local P&amp;L (detailed)'!$M$40</f>
        <v>194814494</v>
      </c>
      <c r="AH64" s="102">
        <f t="shared" si="122"/>
        <v>358238590</v>
      </c>
      <c r="AI64" s="97">
        <f>SUMIFS('Federal Data'!X2:X501,'Federal Data'!$E2:$E501,"General Welfare",'Federal Data'!$D2:$D501,"Nongrant")</f>
        <v>190186330</v>
      </c>
      <c r="AJ64" s="102">
        <f>'State and Local P&amp;L (detailed)'!$N$40</f>
        <v>219982820</v>
      </c>
      <c r="AK64" s="102">
        <f t="shared" si="123"/>
        <v>410169150</v>
      </c>
      <c r="AL64" s="97">
        <f>SUMIFS('Federal Data'!Y2:Y501,'Federal Data'!$E2:$E501,"General Welfare",'Federal Data'!$D2:$D501,"Nongrant")</f>
        <v>150376604</v>
      </c>
      <c r="AM64" s="102">
        <f>'State and Local P&amp;L (detailed)'!$O$40</f>
        <v>264650653</v>
      </c>
      <c r="AN64" s="102">
        <f t="shared" si="124"/>
        <v>415027257</v>
      </c>
      <c r="AO64" s="97">
        <f>SUMIFS('Federal Data'!Z2:Z501,'Federal Data'!$E2:$E501,"General Welfare",'Federal Data'!$D2:$D501,"Nongrant")</f>
        <v>129604221</v>
      </c>
      <c r="AP64" s="102">
        <f>'State and Local P&amp;L (detailed)'!$P$40</f>
        <v>278833130</v>
      </c>
      <c r="AQ64" s="102">
        <f t="shared" si="125"/>
        <v>408437351</v>
      </c>
      <c r="AR64" s="97">
        <f>SUMIFS('Federal Data'!AA2:AA501,'Federal Data'!$E2:$E501,"General Welfare",'Federal Data'!$D2:$D501,"Nongrant")</f>
        <v>147899044</v>
      </c>
      <c r="AS64" s="102">
        <f>'State and Local P&amp;L (detailed)'!$Q$40</f>
        <v>297081455</v>
      </c>
      <c r="AT64" s="102">
        <f t="shared" si="126"/>
        <v>444980499</v>
      </c>
      <c r="AU64" s="97">
        <f>SUMIFS('Federal Data'!AB2:AB501,'Federal Data'!$E2:$E501,"General Welfare",'Federal Data'!$D2:$D501,"Nongrant")</f>
        <v>134901000</v>
      </c>
      <c r="AV64" s="102">
        <f>'State and Local P&amp;L (detailed)'!$R$40</f>
        <v>313961037</v>
      </c>
      <c r="AW64" s="102">
        <f t="shared" si="127"/>
        <v>448862037</v>
      </c>
      <c r="AX64" s="97">
        <f>SUMIFS('Federal Data'!AC2:AC501,'Federal Data'!$E2:$E501,"General Welfare",'Federal Data'!$D2:$D501,"Nongrant")</f>
        <v>150325000</v>
      </c>
      <c r="AY64" s="102">
        <f>'State and Local P&amp;L (detailed)'!$S$40</f>
        <v>316437392</v>
      </c>
      <c r="AZ64" s="102">
        <f t="shared" si="128"/>
        <v>466762392</v>
      </c>
      <c r="BA64" s="97">
        <f>SUMIFS('Federal Data'!AD2:AD501,'Federal Data'!$E2:$E501,"General Welfare",'Federal Data'!$D2:$D501,"Nongrant")</f>
        <v>149733000</v>
      </c>
      <c r="BB64" s="102">
        <f>'State and Local P&amp;L (detailed)'!$T$40</f>
        <v>324276199</v>
      </c>
      <c r="BC64" s="102">
        <f t="shared" si="129"/>
        <v>474009199</v>
      </c>
      <c r="BD64" s="97">
        <f>SUMIFS('Federal Data'!AE2:AE501,'Federal Data'!$E2:$E501,"General Welfare",'Federal Data'!$D2:$D501,"Nongrant")</f>
        <v>164736000</v>
      </c>
      <c r="BE64" s="102">
        <f>'State and Local P&amp;L (detailed)'!$U$40</f>
        <v>334552691</v>
      </c>
      <c r="BF64" s="102">
        <f t="shared" si="130"/>
        <v>499288691</v>
      </c>
      <c r="BG64" s="97">
        <f>SUMIFS('Federal Data'!AF2:AF501,'Federal Data'!$E2:$E501,"General Welfare",'Federal Data'!$D2:$D501,"Nongrant")</f>
        <v>163432000</v>
      </c>
      <c r="BH64" s="102">
        <f>'State and Local P&amp;L (detailed)'!$V$40</f>
        <v>353609840</v>
      </c>
      <c r="BI64" s="102">
        <f t="shared" si="131"/>
        <v>517041840</v>
      </c>
      <c r="BJ64" s="97">
        <f>SUMIFS('Federal Data'!AG2:AG501,'Federal Data'!$E2:$E501,"General Welfare",'Federal Data'!$D2:$D501,"Nongrant")</f>
        <v>178009000</v>
      </c>
      <c r="BK64" s="102">
        <f>'State and Local P&amp;L (detailed)'!$W$40</f>
        <v>384430108</v>
      </c>
      <c r="BL64" s="102">
        <f t="shared" si="132"/>
        <v>562439108</v>
      </c>
      <c r="BM64" s="97">
        <f>SUMIFS('Federal Data'!AH2:AH501,'Federal Data'!$E2:$E501,"General Welfare",'Federal Data'!$D2:$D501,"Nongrant")</f>
        <v>191201000</v>
      </c>
      <c r="BN64" s="102">
        <f>'State and Local P&amp;L (detailed)'!$X$40</f>
        <v>416842972</v>
      </c>
      <c r="BO64" s="102">
        <f t="shared" si="133"/>
        <v>608043972</v>
      </c>
      <c r="BP64" s="97">
        <f>SUMIFS('Federal Data'!AI2:AI501,'Federal Data'!$E2:$E501,"General Welfare",'Federal Data'!$D2:$D501,"Nongrant")</f>
        <v>237246000</v>
      </c>
      <c r="BQ64" s="102">
        <f>'State and Local P&amp;L (detailed)'!$Y$40</f>
        <v>455361605</v>
      </c>
      <c r="BR64" s="102">
        <f t="shared" si="134"/>
        <v>692607605</v>
      </c>
      <c r="BS64" s="97">
        <f>SUMIFS('Federal Data'!AJ2:AJ501,'Federal Data'!$E2:$E501,"General Welfare",'Federal Data'!$D2:$D501,"Nongrant")</f>
        <v>260324000</v>
      </c>
      <c r="BT64" s="102">
        <f>'State and Local P&amp;L (detailed)'!$Z$40</f>
        <v>488667414</v>
      </c>
      <c r="BU64" s="102">
        <f t="shared" si="135"/>
        <v>748991414</v>
      </c>
      <c r="BV64" s="97">
        <f>SUMIFS('Federal Data'!AK2:AK501,'Federal Data'!$E2:$E501,"General Welfare",'Federal Data'!$D2:$D501,"Nongrant")</f>
        <v>256950000</v>
      </c>
      <c r="BW64" s="102">
        <f>'State and Local P&amp;L (detailed)'!$AA$40</f>
        <v>524782768</v>
      </c>
      <c r="BX64" s="102">
        <f t="shared" si="136"/>
        <v>781732768</v>
      </c>
      <c r="BY64" s="97">
        <f>SUMIFS('Federal Data'!AL2:AL501,'Federal Data'!$E2:$E501,"General Welfare",'Federal Data'!$D2:$D501,"Nongrant")</f>
        <v>269602000</v>
      </c>
      <c r="BZ64" s="102">
        <f>'State and Local P&amp;L (detailed)'!$AB$40</f>
        <v>567055942</v>
      </c>
      <c r="CA64" s="102">
        <f t="shared" si="137"/>
        <v>836657942</v>
      </c>
      <c r="CB64" s="97">
        <f>SUMIFS('Federal Data'!AM2:AM501,'Federal Data'!$E2:$E501,"General Welfare",'Federal Data'!$D2:$D501,"Nongrant")</f>
        <v>272157000</v>
      </c>
      <c r="CC64" s="102">
        <f>'State and Local P&amp;L (detailed)'!$AC$40</f>
        <v>571749572</v>
      </c>
      <c r="CD64" s="102">
        <f t="shared" si="138"/>
        <v>843906572</v>
      </c>
      <c r="CE64" s="97">
        <f>SUMIFS('Federal Data'!AN2:AN501,'Federal Data'!$E2:$E501,"General Welfare",'Federal Data'!$D2:$D501,"Nongrant")</f>
        <v>286426000</v>
      </c>
      <c r="CF64" s="102">
        <f>'State and Local P&amp;L (detailed)'!$AD$40</f>
        <v>611797028</v>
      </c>
      <c r="CG64" s="102">
        <f t="shared" si="139"/>
        <v>898223028</v>
      </c>
      <c r="CH64" s="97">
        <f>SUMIFS('Federal Data'!AO2:AO501,'Federal Data'!$E2:$E501,"General Welfare",'Federal Data'!$D2:$D501,"Nongrant")</f>
        <v>368400000</v>
      </c>
      <c r="CI64" s="102">
        <f>'State and Local P&amp;L (detailed)'!$AE$40</f>
        <v>652204054</v>
      </c>
      <c r="CJ64" s="102">
        <f t="shared" si="140"/>
        <v>1020604054</v>
      </c>
      <c r="CK64" s="97">
        <f>SUMIFS('Federal Data'!AP2:AP501,'Federal Data'!$E2:$E501,"General Welfare",'Federal Data'!$D2:$D501,"Nongrant")</f>
        <v>623420000</v>
      </c>
      <c r="CL64" s="102">
        <f>'State and Local P&amp;L (detailed)'!$AF$40</f>
        <v>689130553</v>
      </c>
      <c r="CM64" s="102">
        <f t="shared" si="141"/>
        <v>1312550553</v>
      </c>
      <c r="CN64" s="97">
        <f>SUMIFS('Federal Data'!AQ2:AQ501,'Federal Data'!$E2:$E501,"General Welfare",'Federal Data'!$D2:$D501,"Nongrant")</f>
        <v>425489000</v>
      </c>
      <c r="CO64" s="102">
        <f>'State and Local P&amp;L (detailed)'!$AG$40</f>
        <v>721178617</v>
      </c>
      <c r="CP64" s="102">
        <f t="shared" si="142"/>
        <v>1146667617</v>
      </c>
      <c r="CQ64" s="97">
        <f>SUMIFS('Federal Data'!AR2:AR501,'Federal Data'!$E2:$E501,"General Welfare",'Federal Data'!$D2:$D501,"Nongrant")</f>
        <v>491275000</v>
      </c>
      <c r="CR64" s="102">
        <f>'State and Local P&amp;L (detailed)'!$AH$40</f>
        <v>753487577</v>
      </c>
      <c r="CS64" s="102">
        <f t="shared" si="143"/>
        <v>1244762577</v>
      </c>
      <c r="CT64" s="97">
        <f>SUMIFS('Federal Data'!AS2:AS501,'Federal Data'!$E2:$E501,"General Welfare",'Federal Data'!$D2:$D501,"Nongrant")</f>
        <v>516115000</v>
      </c>
      <c r="CU64" s="102">
        <f>'State and Local P&amp;L (detailed)'!$AI$40</f>
        <v>758159022</v>
      </c>
      <c r="CV64" s="102">
        <f t="shared" si="144"/>
        <v>1274274022</v>
      </c>
      <c r="CW64" s="97">
        <f>SUMIFS('Federal Data'!AT2:AT501,'Federal Data'!$E2:$E501,"General Welfare",'Federal Data'!$D2:$D501,"Nongrant")</f>
        <v>451528000</v>
      </c>
      <c r="CX64" s="102">
        <f>'State and Local P&amp;L (detailed)'!$AJ$40</f>
        <v>777529613</v>
      </c>
      <c r="CY64" s="102">
        <f t="shared" si="145"/>
        <v>1229057613</v>
      </c>
      <c r="CZ64" s="97">
        <f>SUMIFS('Federal Data'!AU2:AU501,'Federal Data'!$E2:$E501,"General Welfare",'Federal Data'!$D2:$D501,"Nongrant")</f>
        <v>419578000</v>
      </c>
      <c r="DA64" s="102">
        <f>'State and Local P&amp;L (detailed)'!$AK$40</f>
        <v>812866200</v>
      </c>
      <c r="DB64" s="102">
        <f t="shared" si="146"/>
        <v>1232444200</v>
      </c>
      <c r="DC64" s="44">
        <f>SUMIFS('Federal Data'!AV2:AV501,'Federal Data'!$E2:$E501,"General Welfare",'Federal Data'!$D2:$D501,"Nongrant")</f>
        <v>440486000</v>
      </c>
      <c r="DD64" s="86">
        <f>'State and Local P&amp;L (detailed)'!$AL$40</f>
        <v>0</v>
      </c>
      <c r="DE64" s="86">
        <f t="shared" si="147"/>
        <v>440486000</v>
      </c>
    </row>
    <row r="65" spans="1:109" outlineLevel="1">
      <c r="A65" s="28" t="s">
        <v>302</v>
      </c>
      <c r="B65" s="94">
        <f>SUMIFS('Federal Data'!M2:M501,'Federal Data'!$F2:$F501,"Economic Growth, GDP, and Jobs",'Federal Data'!$D2:$D501,"Nongrant")</f>
        <v>20413150</v>
      </c>
      <c r="C65" s="101">
        <f>'State and Local P&amp;L (detailed)'!$C$41</f>
        <v>36199515</v>
      </c>
      <c r="D65" s="101">
        <f t="shared" si="112"/>
        <v>56612665</v>
      </c>
      <c r="E65" s="94">
        <f>SUMIFS('Federal Data'!N2:N501,'Federal Data'!$F2:$F501,"Economic Growth, GDP, and Jobs",'Federal Data'!$D2:$D501,"Nongrant")</f>
        <v>21262745</v>
      </c>
      <c r="F65" s="101">
        <f>'State and Local P&amp;L (detailed)'!$D$41</f>
        <v>38768750</v>
      </c>
      <c r="G65" s="101">
        <f t="shared" si="113"/>
        <v>60031495</v>
      </c>
      <c r="H65" s="94">
        <f>SUMIFS('Federal Data'!O2:O501,'Federal Data'!$F2:$F501,"Economic Growth, GDP, and Jobs",'Federal Data'!$D2:$D501,"Nongrant")</f>
        <v>18693379</v>
      </c>
      <c r="I65" s="101">
        <f>'State and Local P&amp;L (detailed)'!$E$41</f>
        <v>38929399</v>
      </c>
      <c r="J65" s="101">
        <f t="shared" si="114"/>
        <v>57622778</v>
      </c>
      <c r="K65" s="94">
        <f>SUMIFS('Federal Data'!P2:P501,'Federal Data'!$F2:$F501,"Economic Growth, GDP, and Jobs",'Federal Data'!$D2:$D501,"Nongrant")</f>
        <v>20082065</v>
      </c>
      <c r="L65" s="101">
        <f>'State and Local P&amp;L (detailed)'!$F$41</f>
        <v>41637081</v>
      </c>
      <c r="M65" s="101">
        <f t="shared" si="115"/>
        <v>61719146</v>
      </c>
      <c r="N65" s="94">
        <f>SUMIFS('Federal Data'!Q2:Q501,'Federal Data'!$F2:$F501,"Economic Growth, GDP, and Jobs",'Federal Data'!$D2:$D501,"Nongrant")</f>
        <v>21882984</v>
      </c>
      <c r="O65" s="101">
        <f>'State and Local P&amp;L (detailed)'!$G$41</f>
        <v>44082095</v>
      </c>
      <c r="P65" s="101">
        <f t="shared" si="116"/>
        <v>65965079</v>
      </c>
      <c r="Q65" s="94">
        <f>SUMIFS('Federal Data'!R2:R501,'Federal Data'!$F2:$F501,"Economic Growth, GDP, and Jobs",'Federal Data'!$D2:$D501,"Nongrant")</f>
        <v>21096139</v>
      </c>
      <c r="R65" s="101">
        <f>'State and Local P&amp;L (detailed)'!$H$41</f>
        <v>48648135</v>
      </c>
      <c r="S65" s="101">
        <f t="shared" si="117"/>
        <v>69744274</v>
      </c>
      <c r="T65" s="94">
        <f>SUMIFS('Federal Data'!S2:S501,'Federal Data'!$F2:$F501,"Economic Growth, GDP, and Jobs",'Federal Data'!$D2:$D501,"Nongrant")</f>
        <v>24832955</v>
      </c>
      <c r="U65" s="101">
        <f>'State and Local P&amp;L (detailed)'!$I$41</f>
        <v>52608133</v>
      </c>
      <c r="V65" s="101">
        <f t="shared" si="118"/>
        <v>77441088</v>
      </c>
      <c r="W65" s="94">
        <f>SUMIFS('Federal Data'!T2:T501,'Federal Data'!$F2:$F501,"Economic Growth, GDP, and Jobs",'Federal Data'!$D2:$D501,"Nongrant")</f>
        <v>25834441</v>
      </c>
      <c r="X65" s="101">
        <f>'State and Local P&amp;L (detailed)'!$J$41</f>
        <v>56134933</v>
      </c>
      <c r="Y65" s="101">
        <f t="shared" si="119"/>
        <v>81969374</v>
      </c>
      <c r="Z65" s="94">
        <f>SUMIFS('Federal Data'!U2:U501,'Federal Data'!$F2:$F501,"Economic Growth, GDP, and Jobs",'Federal Data'!$D2:$D501,"Nongrant")</f>
        <v>35283251</v>
      </c>
      <c r="AA65" s="101">
        <f>'State and Local P&amp;L (detailed)'!$K$41</f>
        <v>58889974</v>
      </c>
      <c r="AB65" s="101">
        <f t="shared" si="120"/>
        <v>94173225</v>
      </c>
      <c r="AC65" s="94">
        <f>SUMIFS('Federal Data'!V2:V501,'Federal Data'!$F2:$F501,"Economic Growth, GDP, and Jobs",'Federal Data'!$D2:$D501,"Nongrant")</f>
        <v>48099031</v>
      </c>
      <c r="AD65" s="101">
        <f>'State and Local P&amp;L (detailed)'!$L$41</f>
        <v>59965636</v>
      </c>
      <c r="AE65" s="101">
        <f t="shared" si="121"/>
        <v>108064667</v>
      </c>
      <c r="AF65" s="94">
        <f>SUMIFS('Federal Data'!W2:W501,'Federal Data'!$F2:$F501,"Economic Growth, GDP, and Jobs",'Federal Data'!$D2:$D501,"Nongrant")</f>
        <v>90634359</v>
      </c>
      <c r="AG65" s="101">
        <f>'State and Local P&amp;L (detailed)'!$M$41</f>
        <v>63767650</v>
      </c>
      <c r="AH65" s="101">
        <f t="shared" si="122"/>
        <v>154402009</v>
      </c>
      <c r="AI65" s="94">
        <f>SUMIFS('Federal Data'!X2:X501,'Federal Data'!$F2:$F501,"Economic Growth, GDP, and Jobs",'Federal Data'!$D2:$D501,"Nongrant")</f>
        <v>100426106</v>
      </c>
      <c r="AJ65" s="101">
        <f>'State and Local P&amp;L (detailed)'!$N$41</f>
        <v>68316517</v>
      </c>
      <c r="AK65" s="101">
        <f t="shared" si="123"/>
        <v>168742623</v>
      </c>
      <c r="AL65" s="94">
        <f>SUMIFS('Federal Data'!Y2:Y501,'Federal Data'!$F2:$F501,"Economic Growth, GDP, and Jobs",'Federal Data'!$D2:$D501,"Nongrant")</f>
        <v>37485724</v>
      </c>
      <c r="AM65" s="101">
        <f>'State and Local P&amp;L (detailed)'!$O$41</f>
        <v>72235522</v>
      </c>
      <c r="AN65" s="101">
        <f t="shared" si="124"/>
        <v>109721246</v>
      </c>
      <c r="AO65" s="94">
        <f>SUMIFS('Federal Data'!Z2:Z501,'Federal Data'!$F2:$F501,"Economic Growth, GDP, and Jobs",'Federal Data'!$D2:$D501,"Nongrant")</f>
        <v>8622975</v>
      </c>
      <c r="AP65" s="101">
        <f>'State and Local P&amp;L (detailed)'!$P$41</f>
        <v>71667893</v>
      </c>
      <c r="AQ65" s="101">
        <f t="shared" si="125"/>
        <v>80290868</v>
      </c>
      <c r="AR65" s="94">
        <f>SUMIFS('Federal Data'!AA2:AA501,'Federal Data'!$F2:$F501,"Economic Growth, GDP, and Jobs",'Federal Data'!$D2:$D501,"Nongrant")</f>
        <v>28547475</v>
      </c>
      <c r="AS65" s="101">
        <f>'State and Local P&amp;L (detailed)'!$Q$41</f>
        <v>76707053</v>
      </c>
      <c r="AT65" s="101">
        <f t="shared" si="126"/>
        <v>105254528</v>
      </c>
      <c r="AU65" s="94">
        <f>SUMIFS('Federal Data'!AB2:AB501,'Federal Data'!$F2:$F501,"Economic Growth, GDP, and Jobs",'Federal Data'!$D2:$D501,"Nongrant")</f>
        <v>15094000</v>
      </c>
      <c r="AV65" s="101">
        <f>'State and Local P&amp;L (detailed)'!$R$41</f>
        <v>79705242</v>
      </c>
      <c r="AW65" s="101">
        <f t="shared" si="127"/>
        <v>94799242</v>
      </c>
      <c r="AX65" s="94">
        <f>SUMIFS('Federal Data'!AC2:AC501,'Federal Data'!$F2:$F501,"Economic Growth, GDP, and Jobs",'Federal Data'!$D2:$D501,"Nongrant")</f>
        <v>26550000</v>
      </c>
      <c r="AY65" s="101">
        <f>'State and Local P&amp;L (detailed)'!$S$41</f>
        <v>80284358</v>
      </c>
      <c r="AZ65" s="101">
        <f t="shared" si="128"/>
        <v>106834358</v>
      </c>
      <c r="BA65" s="94">
        <f>SUMIFS('Federal Data'!AD2:AD501,'Federal Data'!$F2:$F501,"Economic Growth, GDP, and Jobs",'Federal Data'!$D2:$D501,"Nongrant")</f>
        <v>22177000</v>
      </c>
      <c r="BB65" s="101">
        <f>'State and Local P&amp;L (detailed)'!$T$41</f>
        <v>83030067</v>
      </c>
      <c r="BC65" s="101">
        <f t="shared" si="129"/>
        <v>105207067</v>
      </c>
      <c r="BD65" s="94">
        <f>SUMIFS('Federal Data'!AE2:AE501,'Federal Data'!$F2:$F501,"Economic Growth, GDP, and Jobs",'Federal Data'!$D2:$D501,"Nongrant")</f>
        <v>38326000</v>
      </c>
      <c r="BE65" s="101">
        <f>'State and Local P&amp;L (detailed)'!$U$41</f>
        <v>88382781</v>
      </c>
      <c r="BF65" s="101">
        <f t="shared" si="130"/>
        <v>126708781</v>
      </c>
      <c r="BG65" s="94">
        <f>SUMIFS('Federal Data'!AF2:AF501,'Federal Data'!$F2:$F501,"Economic Growth, GDP, and Jobs",'Federal Data'!$D2:$D501,"Nongrant")</f>
        <v>34855000</v>
      </c>
      <c r="BH65" s="101">
        <f>'State and Local P&amp;L (detailed)'!$V$41</f>
        <v>96001806</v>
      </c>
      <c r="BI65" s="101">
        <f t="shared" si="131"/>
        <v>130856806</v>
      </c>
      <c r="BJ65" s="94">
        <f>SUMIFS('Federal Data'!AG2:AG501,'Federal Data'!$F2:$F501,"Economic Growth, GDP, and Jobs",'Federal Data'!$D2:$D501,"Nongrant")</f>
        <v>40839000</v>
      </c>
      <c r="BK65" s="101">
        <f>'State and Local P&amp;L (detailed)'!$W$41</f>
        <v>106169379</v>
      </c>
      <c r="BL65" s="101">
        <f t="shared" si="132"/>
        <v>147008379</v>
      </c>
      <c r="BM65" s="94">
        <f>SUMIFS('Federal Data'!AH2:AH501,'Federal Data'!$F2:$F501,"Economic Growth, GDP, and Jobs",'Federal Data'!$D2:$D501,"Nongrant")</f>
        <v>45018000</v>
      </c>
      <c r="BN65" s="101">
        <f>'State and Local P&amp;L (detailed)'!$X$41</f>
        <v>116375317</v>
      </c>
      <c r="BO65" s="101">
        <f t="shared" si="133"/>
        <v>161393317</v>
      </c>
      <c r="BP65" s="94">
        <f>SUMIFS('Federal Data'!AI2:AI501,'Federal Data'!$F2:$F501,"Economic Growth, GDP, and Jobs",'Federal Data'!$D2:$D501,"Nongrant")</f>
        <v>49108000</v>
      </c>
      <c r="BQ65" s="101">
        <f>'State and Local P&amp;L (detailed)'!$Y$41</f>
        <v>125064238</v>
      </c>
      <c r="BR65" s="101">
        <f t="shared" si="134"/>
        <v>174172238</v>
      </c>
      <c r="BS65" s="94">
        <f>SUMIFS('Federal Data'!AJ2:AJ501,'Federal Data'!$F2:$F501,"Economic Growth, GDP, and Jobs",'Federal Data'!$D2:$D501,"Nongrant")</f>
        <v>53307000</v>
      </c>
      <c r="BT65" s="101">
        <f>'State and Local P&amp;L (detailed)'!$Z$41</f>
        <v>128929293</v>
      </c>
      <c r="BU65" s="101">
        <f t="shared" si="135"/>
        <v>182236293</v>
      </c>
      <c r="BV65" s="94">
        <f>SUMIFS('Federal Data'!AK2:AK501,'Federal Data'!$F2:$F501,"Economic Growth, GDP, and Jobs",'Federal Data'!$D2:$D501,"Nongrant")</f>
        <v>49884000</v>
      </c>
      <c r="BW65" s="101">
        <f>'State and Local P&amp;L (detailed)'!$AA$41</f>
        <v>130332834</v>
      </c>
      <c r="BX65" s="101">
        <f t="shared" si="136"/>
        <v>180216834</v>
      </c>
      <c r="BY65" s="94">
        <f>SUMIFS('Federal Data'!AL2:AL501,'Federal Data'!$F2:$F501,"Economic Growth, GDP, and Jobs",'Federal Data'!$D2:$D501,"Nongrant")</f>
        <v>58318000</v>
      </c>
      <c r="BZ65" s="101">
        <f>'State and Local P&amp;L (detailed)'!$AB$41</f>
        <v>139258313</v>
      </c>
      <c r="CA65" s="101">
        <f t="shared" si="137"/>
        <v>197576313</v>
      </c>
      <c r="CB65" s="94">
        <f>SUMIFS('Federal Data'!AM2:AM501,'Federal Data'!$F2:$F501,"Economic Growth, GDP, and Jobs",'Federal Data'!$D2:$D501,"Nongrant")</f>
        <v>55643000</v>
      </c>
      <c r="CC65" s="101">
        <f>'State and Local P&amp;L (detailed)'!$AC$41</f>
        <v>141478678</v>
      </c>
      <c r="CD65" s="101">
        <f t="shared" si="138"/>
        <v>197121678</v>
      </c>
      <c r="CE65" s="94">
        <f>SUMIFS('Federal Data'!AN2:AN501,'Federal Data'!$F2:$F501,"Economic Growth, GDP, and Jobs",'Federal Data'!$D2:$D501,"Nongrant")</f>
        <v>64451000</v>
      </c>
      <c r="CF65" s="101">
        <f>'State and Local P&amp;L (detailed)'!$AD$41</f>
        <v>152584415</v>
      </c>
      <c r="CG65" s="101">
        <f t="shared" si="139"/>
        <v>217035415</v>
      </c>
      <c r="CH65" s="94">
        <f>SUMIFS('Federal Data'!AO2:AO501,'Federal Data'!$F2:$F501,"Economic Growth, GDP, and Jobs",'Federal Data'!$D2:$D501,"Nongrant")</f>
        <v>87505000</v>
      </c>
      <c r="CI65" s="101">
        <f>'State and Local P&amp;L (detailed)'!$AE$41</f>
        <v>162079871</v>
      </c>
      <c r="CJ65" s="101">
        <f t="shared" si="140"/>
        <v>249584871</v>
      </c>
      <c r="CK65" s="94">
        <f>SUMIFS('Federal Data'!AP2:AP501,'Federal Data'!$F2:$F501,"Economic Growth, GDP, and Jobs",'Federal Data'!$D2:$D501,"Nongrant")</f>
        <v>247820000</v>
      </c>
      <c r="CL65" s="101">
        <f>'State and Local P&amp;L (detailed)'!$AF$41</f>
        <v>171131236</v>
      </c>
      <c r="CM65" s="101">
        <f t="shared" si="141"/>
        <v>418951236</v>
      </c>
      <c r="CN65" s="94">
        <f>SUMIFS('Federal Data'!AQ2:AQ501,'Federal Data'!$F2:$F501,"Economic Growth, GDP, and Jobs",'Federal Data'!$D2:$D501,"Nongrant")</f>
        <v>-51500000</v>
      </c>
      <c r="CO65" s="101">
        <f>'State and Local P&amp;L (detailed)'!$AG$41</f>
        <v>173456959</v>
      </c>
      <c r="CP65" s="101">
        <f t="shared" si="142"/>
        <v>121956959</v>
      </c>
      <c r="CQ65" s="94">
        <f>SUMIFS('Federal Data'!AR2:AR501,'Federal Data'!$F2:$F501,"Economic Growth, GDP, and Jobs",'Federal Data'!$D2:$D501,"Nongrant")</f>
        <v>36073000</v>
      </c>
      <c r="CR65" s="101">
        <f>'State and Local P&amp;L (detailed)'!$AH$41</f>
        <v>168119067</v>
      </c>
      <c r="CS65" s="101">
        <f t="shared" si="143"/>
        <v>204192067</v>
      </c>
      <c r="CT65" s="94">
        <f>SUMIFS('Federal Data'!AS2:AS501,'Federal Data'!$F2:$F501,"Economic Growth, GDP, and Jobs",'Federal Data'!$D2:$D501,"Nongrant")</f>
        <v>111134000</v>
      </c>
      <c r="CU65" s="101">
        <f>'State and Local P&amp;L (detailed)'!$AI$41</f>
        <v>171092957</v>
      </c>
      <c r="CV65" s="101">
        <f t="shared" si="144"/>
        <v>282226957</v>
      </c>
      <c r="CW65" s="94">
        <f>SUMIFS('Federal Data'!AT2:AT501,'Federal Data'!$F2:$F501,"Economic Growth, GDP, and Jobs",'Federal Data'!$D2:$D501,"Nongrant")</f>
        <v>62715000</v>
      </c>
      <c r="CX65" s="101">
        <f>'State and Local P&amp;L (detailed)'!$AJ$41</f>
        <v>166862448</v>
      </c>
      <c r="CY65" s="101">
        <f t="shared" si="145"/>
        <v>229577448</v>
      </c>
      <c r="CZ65" s="94">
        <f>SUMIFS('Federal Data'!AU2:AU501,'Federal Data'!$F2:$F501,"Economic Growth, GDP, and Jobs",'Federal Data'!$D2:$D501,"Nongrant")</f>
        <v>47809000</v>
      </c>
      <c r="DA65" s="101">
        <f>'State and Local P&amp;L (detailed)'!$AK$41</f>
        <v>173447499</v>
      </c>
      <c r="DB65" s="101">
        <f t="shared" si="146"/>
        <v>221256499</v>
      </c>
      <c r="DC65" s="37">
        <f>SUMIFS('Federal Data'!AV2:AV501,'Federal Data'!$F2:$F501,"Economic Growth, GDP, and Jobs",'Federal Data'!$D2:$D501,"Nongrant")</f>
        <v>56725000</v>
      </c>
      <c r="DD65" s="85">
        <f>'State and Local P&amp;L (detailed)'!$AL$41</f>
        <v>0</v>
      </c>
      <c r="DE65" s="85">
        <f t="shared" si="147"/>
        <v>56725000</v>
      </c>
    </row>
    <row r="66" spans="1:109" outlineLevel="2">
      <c r="A66" s="29" t="s">
        <v>251</v>
      </c>
      <c r="B66" s="94">
        <f>SUMIFS('Federal Data'!M2:M501,'Federal Data'!$G2:$G501,"Transportation",'Federal Data'!$D2:$D501,"Nongrant")</f>
        <v>8307648</v>
      </c>
      <c r="C66" s="101">
        <f>'State and Local P&amp;L (detailed)'!$C$42</f>
        <v>37839770</v>
      </c>
      <c r="D66" s="101">
        <f t="shared" si="112"/>
        <v>46147418</v>
      </c>
      <c r="E66" s="94">
        <f>SUMIFS('Federal Data'!N2:N501,'Federal Data'!$G2:$G501,"Transportation",'Federal Data'!$D2:$D501,"Nongrant")</f>
        <v>9974674</v>
      </c>
      <c r="F66" s="101">
        <f>'State and Local P&amp;L (detailed)'!$D$42</f>
        <v>40537294</v>
      </c>
      <c r="G66" s="101">
        <f t="shared" si="113"/>
        <v>50511968</v>
      </c>
      <c r="H66" s="94">
        <f>SUMIFS('Federal Data'!O2:O501,'Federal Data'!$G2:$G501,"Transportation",'Federal Data'!$D2:$D501,"Nongrant")</f>
        <v>8514466</v>
      </c>
      <c r="I66" s="101">
        <f>'State and Local P&amp;L (detailed)'!$E$42</f>
        <v>41068654</v>
      </c>
      <c r="J66" s="101">
        <f t="shared" si="114"/>
        <v>49583120</v>
      </c>
      <c r="K66" s="94">
        <f>SUMIFS('Federal Data'!P2:P501,'Federal Data'!$G2:$G501,"Transportation",'Federal Data'!$D2:$D501,"Nongrant")</f>
        <v>8133806</v>
      </c>
      <c r="L66" s="101">
        <f>'State and Local P&amp;L (detailed)'!$F$42</f>
        <v>44147566</v>
      </c>
      <c r="M66" s="101">
        <f t="shared" si="115"/>
        <v>52281372</v>
      </c>
      <c r="N66" s="94">
        <f>SUMIFS('Federal Data'!Q2:Q501,'Federal Data'!$G2:$G501,"Transportation",'Federal Data'!$D2:$D501,"Nongrant")</f>
        <v>8680831</v>
      </c>
      <c r="O66" s="101">
        <f>'State and Local P&amp;L (detailed)'!$G$42</f>
        <v>47275115</v>
      </c>
      <c r="P66" s="101">
        <f t="shared" si="116"/>
        <v>55955946</v>
      </c>
      <c r="Q66" s="94">
        <f>SUMIFS('Federal Data'!R2:R501,'Federal Data'!$G2:$G501,"Transportation",'Federal Data'!$D2:$D501,"Nongrant")</f>
        <v>8828616</v>
      </c>
      <c r="R66" s="101">
        <f>'State and Local P&amp;L (detailed)'!$H$42</f>
        <v>52603363</v>
      </c>
      <c r="S66" s="101">
        <f t="shared" si="117"/>
        <v>61431979</v>
      </c>
      <c r="T66" s="94">
        <f>SUMIFS('Federal Data'!S2:S501,'Federal Data'!$G2:$G501,"Transportation",'Federal Data'!$D2:$D501,"Nongrant")</f>
        <v>9795045</v>
      </c>
      <c r="U66" s="101">
        <f>'State and Local P&amp;L (detailed)'!$I$42</f>
        <v>57766965</v>
      </c>
      <c r="V66" s="101">
        <f t="shared" si="118"/>
        <v>67562010</v>
      </c>
      <c r="W66" s="94">
        <f>SUMIFS('Federal Data'!T2:T501,'Federal Data'!$G2:$G501,"Transportation",'Federal Data'!$D2:$D501,"Nongrant")</f>
        <v>9348928</v>
      </c>
      <c r="X66" s="101">
        <f>'State and Local P&amp;L (detailed)'!$J$42</f>
        <v>61405004</v>
      </c>
      <c r="Y66" s="101">
        <f t="shared" si="119"/>
        <v>70753932</v>
      </c>
      <c r="Z66" s="94">
        <f>SUMIFS('Federal Data'!U2:U501,'Federal Data'!$G2:$G501,"Transportation",'Federal Data'!$D2:$D501,"Nongrant")</f>
        <v>9229093</v>
      </c>
      <c r="AA66" s="101">
        <f>'State and Local P&amp;L (detailed)'!$K$42</f>
        <v>64971418</v>
      </c>
      <c r="AB66" s="101">
        <f t="shared" si="120"/>
        <v>74200511</v>
      </c>
      <c r="AC66" s="94">
        <f>SUMIFS('Federal Data'!V2:V501,'Federal Data'!$G2:$G501,"Transportation",'Federal Data'!$D2:$D501,"Nongrant")</f>
        <v>9432107</v>
      </c>
      <c r="AD66" s="101">
        <f>'State and Local P&amp;L (detailed)'!$L$42</f>
        <v>67462468</v>
      </c>
      <c r="AE66" s="101">
        <f t="shared" si="121"/>
        <v>76894575</v>
      </c>
      <c r="AF66" s="94">
        <f>SUMIFS('Federal Data'!W2:W501,'Federal Data'!$G2:$G501,"Transportation",'Federal Data'!$D2:$D501,"Nongrant")</f>
        <v>10311233</v>
      </c>
      <c r="AG66" s="101">
        <f>'State and Local P&amp;L (detailed)'!$M$42</f>
        <v>71771771</v>
      </c>
      <c r="AH66" s="101">
        <f t="shared" si="122"/>
        <v>82083004</v>
      </c>
      <c r="AI66" s="94">
        <f>SUMIFS('Federal Data'!X2:X501,'Federal Data'!$G2:$G501,"Transportation",'Federal Data'!$D2:$D501,"Nongrant")</f>
        <v>11273149</v>
      </c>
      <c r="AJ66" s="101">
        <f>'State and Local P&amp;L (detailed)'!$N$42</f>
        <v>76562358</v>
      </c>
      <c r="AK66" s="101">
        <f t="shared" si="123"/>
        <v>87835507</v>
      </c>
      <c r="AL66" s="94">
        <f>SUMIFS('Federal Data'!Y2:Y501,'Federal Data'!$G2:$G501,"Transportation",'Federal Data'!$D2:$D501,"Nongrant")</f>
        <v>12775853</v>
      </c>
      <c r="AM66" s="101">
        <f>'State and Local P&amp;L (detailed)'!$O$42</f>
        <v>80655878</v>
      </c>
      <c r="AN66" s="101">
        <f t="shared" si="124"/>
        <v>93431731</v>
      </c>
      <c r="AO66" s="94">
        <f>SUMIFS('Federal Data'!Z2:Z501,'Federal Data'!$G2:$G501,"Transportation",'Federal Data'!$D2:$D501,"Nongrant")</f>
        <v>12712851</v>
      </c>
      <c r="AP66" s="101">
        <f>'State and Local P&amp;L (detailed)'!$P$42</f>
        <v>81141227</v>
      </c>
      <c r="AQ66" s="101">
        <f t="shared" si="125"/>
        <v>93854078</v>
      </c>
      <c r="AR66" s="94">
        <f>SUMIFS('Federal Data'!AA2:AA501,'Federal Data'!$G2:$G501,"Transportation",'Federal Data'!$D2:$D501,"Nongrant")</f>
        <v>14432988</v>
      </c>
      <c r="AS66" s="101">
        <f>'State and Local P&amp;L (detailed)'!$Q$42</f>
        <v>87136096</v>
      </c>
      <c r="AT66" s="101">
        <f t="shared" si="126"/>
        <v>101569084</v>
      </c>
      <c r="AU66" s="94">
        <f>SUMIFS('Federal Data'!AB2:AB501,'Federal Data'!$G2:$G501,"Transportation",'Federal Data'!$D2:$D501,"Nongrant")</f>
        <v>13563000</v>
      </c>
      <c r="AV66" s="101">
        <f>'State and Local P&amp;L (detailed)'!$R$42</f>
        <v>91173969</v>
      </c>
      <c r="AW66" s="101">
        <f t="shared" si="127"/>
        <v>104736969</v>
      </c>
      <c r="AX66" s="94">
        <f>SUMIFS('Federal Data'!AC2:AC501,'Federal Data'!$G2:$G501,"Transportation",'Federal Data'!$D2:$D501,"Nongrant")</f>
        <v>13608000</v>
      </c>
      <c r="AY66" s="101">
        <f>'State and Local P&amp;L (detailed)'!$S$42</f>
        <v>92754020</v>
      </c>
      <c r="AZ66" s="101">
        <f t="shared" si="128"/>
        <v>106362020</v>
      </c>
      <c r="BA66" s="94">
        <f>SUMIFS('Federal Data'!AD2:AD501,'Federal Data'!$G2:$G501,"Transportation",'Federal Data'!$D2:$D501,"Nongrant")</f>
        <v>13921000</v>
      </c>
      <c r="BB66" s="101">
        <f>'State and Local P&amp;L (detailed)'!$T$42</f>
        <v>95859323</v>
      </c>
      <c r="BC66" s="101">
        <f t="shared" si="129"/>
        <v>109780323</v>
      </c>
      <c r="BD66" s="94">
        <f>SUMIFS('Federal Data'!AE2:AE501,'Federal Data'!$G2:$G501,"Transportation",'Federal Data'!$D2:$D501,"Nongrant")</f>
        <v>14199000</v>
      </c>
      <c r="BE66" s="101">
        <f>'State and Local P&amp;L (detailed)'!$U$42</f>
        <v>101296752</v>
      </c>
      <c r="BF66" s="101">
        <f t="shared" si="130"/>
        <v>115495752</v>
      </c>
      <c r="BG66" s="94">
        <f>SUMIFS('Federal Data'!AF2:AF501,'Federal Data'!$G2:$G501,"Transportation",'Federal Data'!$D2:$D501,"Nongrant")</f>
        <v>13628000</v>
      </c>
      <c r="BH66" s="101">
        <f>'State and Local P&amp;L (detailed)'!$V$42</f>
        <v>109079514</v>
      </c>
      <c r="BI66" s="101">
        <f t="shared" si="131"/>
        <v>122707514</v>
      </c>
      <c r="BJ66" s="94">
        <f>SUMIFS('Federal Data'!AG2:AG501,'Federal Data'!$G2:$G501,"Transportation",'Federal Data'!$D2:$D501,"Nongrant")</f>
        <v>14631000</v>
      </c>
      <c r="BK66" s="101">
        <f>'State and Local P&amp;L (detailed)'!$W$42</f>
        <v>119104216</v>
      </c>
      <c r="BL66" s="101">
        <f t="shared" si="132"/>
        <v>133735216</v>
      </c>
      <c r="BM66" s="94">
        <f>SUMIFS('Federal Data'!AH2:AH501,'Federal Data'!$G2:$G501,"Transportation",'Federal Data'!$D2:$D501,"Nongrant")</f>
        <v>17800000</v>
      </c>
      <c r="BN66" s="101">
        <f>'State and Local P&amp;L (detailed)'!$X$42</f>
        <v>129241758</v>
      </c>
      <c r="BO66" s="101">
        <f t="shared" si="133"/>
        <v>147041758</v>
      </c>
      <c r="BP66" s="94">
        <f>SUMIFS('Federal Data'!AI2:AI501,'Federal Data'!$G2:$G501,"Transportation",'Federal Data'!$D2:$D501,"Nongrant")</f>
        <v>20829000</v>
      </c>
      <c r="BQ66" s="101">
        <f>'State and Local P&amp;L (detailed)'!$Y$42</f>
        <v>139157438</v>
      </c>
      <c r="BR66" s="101">
        <f t="shared" si="134"/>
        <v>159986438</v>
      </c>
      <c r="BS66" s="94">
        <f>SUMIFS('Federal Data'!AJ2:AJ501,'Federal Data'!$G2:$G501,"Transportation",'Federal Data'!$D2:$D501,"Nongrant")</f>
        <v>26034000</v>
      </c>
      <c r="BT66" s="101">
        <f>'State and Local P&amp;L (detailed)'!$Z$42</f>
        <v>144211321</v>
      </c>
      <c r="BU66" s="101">
        <f t="shared" si="135"/>
        <v>170245321</v>
      </c>
      <c r="BV66" s="94">
        <f>SUMIFS('Federal Data'!AK2:AK501,'Federal Data'!$G2:$G501,"Transportation",'Federal Data'!$D2:$D501,"Nongrant")</f>
        <v>23146000</v>
      </c>
      <c r="BW66" s="101">
        <f>'State and Local P&amp;L (detailed)'!$AA$42</f>
        <v>146953918</v>
      </c>
      <c r="BX66" s="101">
        <f t="shared" si="136"/>
        <v>170099918</v>
      </c>
      <c r="BY66" s="94">
        <f>SUMIFS('Federal Data'!AL2:AL501,'Federal Data'!$G2:$G501,"Transportation",'Federal Data'!$D2:$D501,"Nongrant")</f>
        <v>24520000</v>
      </c>
      <c r="BZ66" s="101">
        <f>'State and Local P&amp;L (detailed)'!$AB$42</f>
        <v>152967218</v>
      </c>
      <c r="CA66" s="101">
        <f t="shared" si="137"/>
        <v>177487218</v>
      </c>
      <c r="CB66" s="94">
        <f>SUMIFS('Federal Data'!AM2:AM501,'Federal Data'!$G2:$G501,"Transportation",'Federal Data'!$D2:$D501,"Nongrant")</f>
        <v>23558000</v>
      </c>
      <c r="CC66" s="101">
        <f>'State and Local P&amp;L (detailed)'!$AC$42</f>
        <v>155888518</v>
      </c>
      <c r="CD66" s="101">
        <f t="shared" si="138"/>
        <v>179446518</v>
      </c>
      <c r="CE66" s="94">
        <f>SUMIFS('Federal Data'!AN2:AN501,'Federal Data'!$G2:$G501,"Transportation",'Federal Data'!$D2:$D501,"Nongrant")</f>
        <v>24959000</v>
      </c>
      <c r="CF66" s="101">
        <f>'State and Local P&amp;L (detailed)'!$AD$42</f>
        <v>172949590</v>
      </c>
      <c r="CG66" s="101">
        <f t="shared" si="139"/>
        <v>197908590</v>
      </c>
      <c r="CH66" s="94">
        <f>SUMIFS('Federal Data'!AO2:AO501,'Federal Data'!$G2:$G501,"Transportation",'Federal Data'!$D2:$D501,"Nongrant")</f>
        <v>26400000</v>
      </c>
      <c r="CI66" s="101">
        <f>'State and Local P&amp;L (detailed)'!$AE$42</f>
        <v>184342589</v>
      </c>
      <c r="CJ66" s="101">
        <f t="shared" si="140"/>
        <v>210742589</v>
      </c>
      <c r="CK66" s="94">
        <f>SUMIFS('Federal Data'!AP2:AP501,'Federal Data'!$G2:$G501,"Transportation",'Federal Data'!$D2:$D501,"Nongrant")</f>
        <v>28851000</v>
      </c>
      <c r="CL66" s="101">
        <f>'State and Local P&amp;L (detailed)'!$AF$42</f>
        <v>191784233</v>
      </c>
      <c r="CM66" s="101">
        <f t="shared" si="141"/>
        <v>220635233</v>
      </c>
      <c r="CN66" s="94">
        <f>SUMIFS('Federal Data'!AQ2:AQ501,'Federal Data'!$G2:$G501,"Transportation",'Federal Data'!$D2:$D501,"Nongrant")</f>
        <v>30991000</v>
      </c>
      <c r="CO66" s="101">
        <f>'State and Local P&amp;L (detailed)'!$AG$42</f>
        <v>194896683</v>
      </c>
      <c r="CP66" s="101">
        <f t="shared" si="142"/>
        <v>225887683</v>
      </c>
      <c r="CQ66" s="94">
        <f>SUMIFS('Federal Data'!AR2:AR501,'Federal Data'!$G2:$G501,"Transportation",'Federal Data'!$D2:$D501,"Nongrant")</f>
        <v>31980000</v>
      </c>
      <c r="CR66" s="101">
        <f>'State and Local P&amp;L (detailed)'!$AH$42</f>
        <v>190125430</v>
      </c>
      <c r="CS66" s="101">
        <f t="shared" si="143"/>
        <v>222105430</v>
      </c>
      <c r="CT66" s="94">
        <f>SUMIFS('Federal Data'!AS2:AS501,'Federal Data'!$G2:$G501,"Transportation",'Federal Data'!$D2:$D501,"Nongrant")</f>
        <v>32270000</v>
      </c>
      <c r="CU66" s="101">
        <f>'State and Local P&amp;L (detailed)'!$AI$42</f>
        <v>194238315</v>
      </c>
      <c r="CV66" s="101">
        <f t="shared" si="144"/>
        <v>226508315</v>
      </c>
      <c r="CW66" s="94">
        <f>SUMIFS('Federal Data'!AT2:AT501,'Federal Data'!$G2:$G501,"Transportation",'Federal Data'!$D2:$D501,"Nongrant")</f>
        <v>31155000</v>
      </c>
      <c r="CX66" s="101">
        <f>'State and Local P&amp;L (detailed)'!$AJ$42</f>
        <v>190937751</v>
      </c>
      <c r="CY66" s="101">
        <f t="shared" si="145"/>
        <v>222092751</v>
      </c>
      <c r="CZ66" s="94">
        <f>SUMIFS('Federal Data'!AU2:AU501,'Federal Data'!$G2:$G501,"Transportation",'Federal Data'!$D2:$D501,"Nongrant")</f>
        <v>29678000</v>
      </c>
      <c r="DA66" s="101">
        <f>'State and Local P&amp;L (detailed)'!$AK$42</f>
        <v>197857584</v>
      </c>
      <c r="DB66" s="101">
        <f t="shared" si="146"/>
        <v>227535584</v>
      </c>
      <c r="DC66" s="37">
        <f>SUMIFS('Federal Data'!AV2:AV501,'Federal Data'!$G2:$G501,"Transportation",'Federal Data'!$D2:$D501,"Nongrant")</f>
        <v>28702000</v>
      </c>
      <c r="DD66" s="85">
        <f>'State and Local P&amp;L (detailed)'!$AL$42</f>
        <v>0</v>
      </c>
      <c r="DE66" s="85">
        <f t="shared" si="147"/>
        <v>28702000</v>
      </c>
    </row>
    <row r="67" spans="1:109" outlineLevel="3">
      <c r="A67" s="31" t="s">
        <v>94</v>
      </c>
      <c r="B67" s="94">
        <f>SUMIFS('Federal Data'!M2:M501,'Federal Data'!$H2:$H501,"Air Transportation",'Federal Data'!$D2:$D501,"Nongrant")</f>
        <v>3132454</v>
      </c>
      <c r="C67" s="101">
        <f>'State and Local P&amp;L (detailed)'!$C$43</f>
        <v>675230</v>
      </c>
      <c r="D67" s="101">
        <f t="shared" si="112"/>
        <v>3807684</v>
      </c>
      <c r="E67" s="94">
        <f>SUMIFS('Federal Data'!N2:N501,'Federal Data'!$H2:$H501,"Air Transportation",'Federal Data'!$D2:$D501,"Nongrant")</f>
        <v>3344552</v>
      </c>
      <c r="F67" s="101">
        <f>'State and Local P&amp;L (detailed)'!$D$43</f>
        <v>645060</v>
      </c>
      <c r="G67" s="101">
        <f t="shared" si="113"/>
        <v>3989612</v>
      </c>
      <c r="H67" s="94">
        <f>SUMIFS('Federal Data'!O2:O501,'Federal Data'!$H2:$H501,"Air Transportation",'Federal Data'!$D2:$D501,"Nongrant")</f>
        <v>3187550</v>
      </c>
      <c r="I67" s="101">
        <f>'State and Local P&amp;L (detailed)'!$E$43</f>
        <v>567782</v>
      </c>
      <c r="J67" s="101">
        <f t="shared" si="114"/>
        <v>3755332</v>
      </c>
      <c r="K67" s="94">
        <f>SUMIFS('Federal Data'!P2:P501,'Federal Data'!$H2:$H501,"Air Transportation",'Federal Data'!$D2:$D501,"Nongrant")</f>
        <v>3547616</v>
      </c>
      <c r="L67" s="101">
        <f>'State and Local P&amp;L (detailed)'!$F$43</f>
        <v>478150</v>
      </c>
      <c r="M67" s="101">
        <f t="shared" si="115"/>
        <v>4025766</v>
      </c>
      <c r="N67" s="94">
        <f>SUMIFS('Federal Data'!Q2:Q501,'Federal Data'!$H2:$H501,"Air Transportation",'Federal Data'!$D2:$D501,"Nongrant")</f>
        <v>3721518</v>
      </c>
      <c r="O67" s="101">
        <f>'State and Local P&amp;L (detailed)'!$G$43</f>
        <v>839413</v>
      </c>
      <c r="P67" s="101">
        <f t="shared" si="116"/>
        <v>4560931</v>
      </c>
      <c r="Q67" s="94">
        <f>SUMIFS('Federal Data'!R2:R501,'Federal Data'!$H2:$H501,"Air Transportation",'Federal Data'!$D2:$D501,"Nongrant")</f>
        <v>4106564</v>
      </c>
      <c r="R67" s="101">
        <f>'State and Local P&amp;L (detailed)'!$H$43</f>
        <v>626183</v>
      </c>
      <c r="S67" s="101">
        <f t="shared" si="117"/>
        <v>4732747</v>
      </c>
      <c r="T67" s="94">
        <f>SUMIFS('Federal Data'!S2:S501,'Federal Data'!$H2:$H501,"Air Transportation",'Federal Data'!$D2:$D501,"Nongrant")</f>
        <v>4433888</v>
      </c>
      <c r="U67" s="101">
        <f>'State and Local P&amp;L (detailed)'!$I$43</f>
        <v>802773</v>
      </c>
      <c r="V67" s="101">
        <f t="shared" si="118"/>
        <v>5236661</v>
      </c>
      <c r="W67" s="94">
        <f>SUMIFS('Federal Data'!T2:T501,'Federal Data'!$H2:$H501,"Air Transportation",'Federal Data'!$D2:$D501,"Nongrant")</f>
        <v>4602744</v>
      </c>
      <c r="X67" s="101">
        <f>'State and Local P&amp;L (detailed)'!$J$43</f>
        <v>1088876</v>
      </c>
      <c r="Y67" s="101">
        <f t="shared" si="119"/>
        <v>5691620</v>
      </c>
      <c r="Z67" s="94">
        <f>SUMIFS('Federal Data'!U2:U501,'Federal Data'!$H2:$H501,"Air Transportation",'Federal Data'!$D2:$D501,"Nongrant")</f>
        <v>5071888</v>
      </c>
      <c r="AA67" s="101">
        <f>'State and Local P&amp;L (detailed)'!$K$43</f>
        <v>1241955</v>
      </c>
      <c r="AB67" s="101">
        <f t="shared" si="120"/>
        <v>6313843</v>
      </c>
      <c r="AC67" s="94">
        <f>SUMIFS('Federal Data'!V2:V501,'Federal Data'!$H2:$H501,"Air Transportation",'Federal Data'!$D2:$D501,"Nongrant")</f>
        <v>5487730</v>
      </c>
      <c r="AD67" s="101">
        <f>'State and Local P&amp;L (detailed)'!$L$43</f>
        <v>1057274</v>
      </c>
      <c r="AE67" s="101">
        <f t="shared" si="121"/>
        <v>6545004</v>
      </c>
      <c r="AF67" s="94">
        <f>SUMIFS('Federal Data'!W2:W501,'Federal Data'!$H2:$H501,"Air Transportation",'Federal Data'!$D2:$D501,"Nongrant")</f>
        <v>6013546</v>
      </c>
      <c r="AG67" s="101">
        <f>'State and Local P&amp;L (detailed)'!$M$43</f>
        <v>1310150</v>
      </c>
      <c r="AH67" s="101">
        <f t="shared" si="122"/>
        <v>7323696</v>
      </c>
      <c r="AI67" s="94">
        <f>SUMIFS('Federal Data'!X2:X501,'Federal Data'!$H2:$H501,"Air Transportation",'Federal Data'!$D2:$D501,"Nongrant")</f>
        <v>6643019</v>
      </c>
      <c r="AJ67" s="101">
        <f>'State and Local P&amp;L (detailed)'!$N$43</f>
        <v>1514959</v>
      </c>
      <c r="AK67" s="101">
        <f t="shared" si="123"/>
        <v>8157978</v>
      </c>
      <c r="AL67" s="94">
        <f>SUMIFS('Federal Data'!Y2:Y501,'Federal Data'!$H2:$H501,"Air Transportation",'Federal Data'!$D2:$D501,"Nongrant")</f>
        <v>7640598</v>
      </c>
      <c r="AM67" s="101">
        <f>'State and Local P&amp;L (detailed)'!$O$43</f>
        <v>2317365</v>
      </c>
      <c r="AN67" s="101">
        <f t="shared" si="124"/>
        <v>9957963</v>
      </c>
      <c r="AO67" s="94">
        <f>SUMIFS('Federal Data'!Z2:Z501,'Federal Data'!$H2:$H501,"Air Transportation",'Federal Data'!$D2:$D501,"Nongrant")</f>
        <v>8117693</v>
      </c>
      <c r="AP67" s="101">
        <f>'State and Local P&amp;L (detailed)'!$P$43</f>
        <v>2641959</v>
      </c>
      <c r="AQ67" s="101">
        <f t="shared" si="125"/>
        <v>10759652</v>
      </c>
      <c r="AR67" s="94">
        <f>SUMIFS('Federal Data'!AA2:AA501,'Federal Data'!$H2:$H501,"Air Transportation",'Federal Data'!$D2:$D501,"Nongrant")</f>
        <v>8526337</v>
      </c>
      <c r="AS67" s="101">
        <f>'State and Local P&amp;L (detailed)'!$Q$43</f>
        <v>2340211</v>
      </c>
      <c r="AT67" s="101">
        <f t="shared" si="126"/>
        <v>10866548</v>
      </c>
      <c r="AU67" s="94">
        <f>SUMIFS('Federal Data'!AB2:AB501,'Federal Data'!$H2:$H501,"Air Transportation",'Federal Data'!$D2:$D501,"Nongrant")</f>
        <v>8161000</v>
      </c>
      <c r="AV67" s="101">
        <f>'State and Local P&amp;L (detailed)'!$R$43</f>
        <v>734358</v>
      </c>
      <c r="AW67" s="101">
        <f t="shared" si="127"/>
        <v>8895358</v>
      </c>
      <c r="AX67" s="94">
        <f>SUMIFS('Federal Data'!AC2:AC501,'Federal Data'!$H2:$H501,"Air Transportation",'Federal Data'!$D2:$D501,"Nongrant")</f>
        <v>8480000</v>
      </c>
      <c r="AY67" s="101">
        <f>'State and Local P&amp;L (detailed)'!$S$43</f>
        <v>623541</v>
      </c>
      <c r="AZ67" s="101">
        <f t="shared" si="128"/>
        <v>9103541</v>
      </c>
      <c r="BA67" s="94">
        <f>SUMIFS('Federal Data'!AD2:AD501,'Federal Data'!$H2:$H501,"Air Transportation",'Federal Data'!$D2:$D501,"Nongrant")</f>
        <v>8649000</v>
      </c>
      <c r="BB67" s="101">
        <f>'State and Local P&amp;L (detailed)'!$T$43</f>
        <v>1072254</v>
      </c>
      <c r="BC67" s="101">
        <f t="shared" si="129"/>
        <v>9721254</v>
      </c>
      <c r="BD67" s="94">
        <f>SUMIFS('Federal Data'!AE2:AE501,'Federal Data'!$H2:$H501,"Air Transportation",'Federal Data'!$D2:$D501,"Nongrant")</f>
        <v>9111000</v>
      </c>
      <c r="BE67" s="101">
        <f>'State and Local P&amp;L (detailed)'!$U$43</f>
        <v>936196</v>
      </c>
      <c r="BF67" s="101">
        <f t="shared" si="130"/>
        <v>10047196</v>
      </c>
      <c r="BG67" s="94">
        <f>SUMIFS('Federal Data'!AF2:AF501,'Federal Data'!$H2:$H501,"Air Transportation",'Federal Data'!$D2:$D501,"Nongrant")</f>
        <v>9155000</v>
      </c>
      <c r="BH67" s="101">
        <f>'State and Local P&amp;L (detailed)'!$V$43</f>
        <v>2415190</v>
      </c>
      <c r="BI67" s="101">
        <f t="shared" si="131"/>
        <v>11570190</v>
      </c>
      <c r="BJ67" s="94">
        <f>SUMIFS('Federal Data'!AG2:AG501,'Federal Data'!$H2:$H501,"Air Transportation",'Federal Data'!$D2:$D501,"Nongrant")</f>
        <v>8947000</v>
      </c>
      <c r="BK67" s="101">
        <f>'State and Local P&amp;L (detailed)'!$W$43</f>
        <v>2076441</v>
      </c>
      <c r="BL67" s="101">
        <f t="shared" si="132"/>
        <v>11023441</v>
      </c>
      <c r="BM67" s="94">
        <f>SUMIFS('Federal Data'!AH2:AH501,'Federal Data'!$H2:$H501,"Air Transportation",'Federal Data'!$D2:$D501,"Nongrant")</f>
        <v>11958000</v>
      </c>
      <c r="BN67" s="101">
        <f>'State and Local P&amp;L (detailed)'!$X$43</f>
        <v>3648860</v>
      </c>
      <c r="BO67" s="101">
        <f t="shared" si="133"/>
        <v>15606860</v>
      </c>
      <c r="BP67" s="94">
        <f>SUMIFS('Federal Data'!AI2:AI501,'Federal Data'!$H2:$H501,"Air Transportation",'Federal Data'!$D2:$D501,"Nongrant")</f>
        <v>13678000</v>
      </c>
      <c r="BQ67" s="101">
        <f>'State and Local P&amp;L (detailed)'!$Y$43</f>
        <v>3878627</v>
      </c>
      <c r="BR67" s="101">
        <f t="shared" si="134"/>
        <v>17556627</v>
      </c>
      <c r="BS67" s="94">
        <f>SUMIFS('Federal Data'!AJ2:AJ501,'Federal Data'!$H2:$H501,"Air Transportation",'Federal Data'!$D2:$D501,"Nongrant")</f>
        <v>20662000</v>
      </c>
      <c r="BT67" s="101">
        <f>'State and Local P&amp;L (detailed)'!$Z$43</f>
        <v>4287336</v>
      </c>
      <c r="BU67" s="101">
        <f t="shared" si="135"/>
        <v>24949336</v>
      </c>
      <c r="BV67" s="94">
        <f>SUMIFS('Federal Data'!AK2:AK501,'Federal Data'!$H2:$H501,"Air Transportation",'Federal Data'!$D2:$D501,"Nongrant")</f>
        <v>13612000</v>
      </c>
      <c r="BW67" s="101">
        <f>'State and Local P&amp;L (detailed)'!$AA$43</f>
        <v>4662120</v>
      </c>
      <c r="BX67" s="101">
        <f t="shared" si="136"/>
        <v>18274120</v>
      </c>
      <c r="BY67" s="94">
        <f>SUMIFS('Federal Data'!AL2:AL501,'Federal Data'!$H2:$H501,"Air Transportation",'Federal Data'!$D2:$D501,"Nongrant")</f>
        <v>15277000</v>
      </c>
      <c r="BZ67" s="101">
        <f>'State and Local P&amp;L (detailed)'!$AB$43</f>
        <v>3578538</v>
      </c>
      <c r="CA67" s="101">
        <f t="shared" si="137"/>
        <v>18855538</v>
      </c>
      <c r="CB67" s="94">
        <f>SUMIFS('Federal Data'!AM2:AM501,'Federal Data'!$H2:$H501,"Air Transportation",'Federal Data'!$D2:$D501,"Nongrant")</f>
        <v>14164000</v>
      </c>
      <c r="CC67" s="101">
        <f>'State and Local P&amp;L (detailed)'!$AC$43</f>
        <v>1979785</v>
      </c>
      <c r="CD67" s="101">
        <f t="shared" si="138"/>
        <v>16143785</v>
      </c>
      <c r="CE67" s="94">
        <f>SUMIFS('Federal Data'!AN2:AN501,'Federal Data'!$H2:$H501,"Air Transportation",'Federal Data'!$D2:$D501,"Nongrant")</f>
        <v>14222000</v>
      </c>
      <c r="CF67" s="101">
        <f>'State and Local P&amp;L (detailed)'!$AD$43</f>
        <v>3501884</v>
      </c>
      <c r="CG67" s="101">
        <f t="shared" si="139"/>
        <v>17723884</v>
      </c>
      <c r="CH67" s="94">
        <f>SUMIFS('Federal Data'!AO2:AO501,'Federal Data'!$H2:$H501,"Air Transportation",'Federal Data'!$D2:$D501,"Nongrant")</f>
        <v>15591000</v>
      </c>
      <c r="CI67" s="101">
        <f>'State and Local P&amp;L (detailed)'!$AE$43</f>
        <v>3490592</v>
      </c>
      <c r="CJ67" s="101">
        <f t="shared" si="140"/>
        <v>19081592</v>
      </c>
      <c r="CK67" s="94">
        <f>SUMIFS('Federal Data'!AP2:AP501,'Federal Data'!$H2:$H501,"Air Transportation",'Federal Data'!$D2:$D501,"Nongrant")</f>
        <v>16861000</v>
      </c>
      <c r="CL67" s="101">
        <f>'State and Local P&amp;L (detailed)'!$AF$43</f>
        <v>4679038</v>
      </c>
      <c r="CM67" s="101">
        <f t="shared" si="141"/>
        <v>21540038</v>
      </c>
      <c r="CN67" s="94">
        <f>SUMIFS('Federal Data'!AQ2:AQ501,'Federal Data'!$H2:$H501,"Air Transportation",'Federal Data'!$D2:$D501,"Nongrant")</f>
        <v>17549000</v>
      </c>
      <c r="CO67" s="101">
        <f>'State and Local P&amp;L (detailed)'!$AG$43</f>
        <v>6142089</v>
      </c>
      <c r="CP67" s="101">
        <f t="shared" si="142"/>
        <v>23691089</v>
      </c>
      <c r="CQ67" s="94">
        <f>SUMIFS('Federal Data'!AR2:AR501,'Federal Data'!$H2:$H501,"Air Transportation",'Federal Data'!$D2:$D501,"Nongrant")</f>
        <v>18094000</v>
      </c>
      <c r="CR67" s="101">
        <f>'State and Local P&amp;L (detailed)'!$AH$43</f>
        <v>3806624</v>
      </c>
      <c r="CS67" s="101">
        <f t="shared" si="143"/>
        <v>21900624</v>
      </c>
      <c r="CT67" s="94">
        <f>SUMIFS('Federal Data'!AS2:AS501,'Federal Data'!$H2:$H501,"Air Transportation",'Federal Data'!$D2:$D501,"Nongrant")</f>
        <v>18713000</v>
      </c>
      <c r="CU67" s="101">
        <f>'State and Local P&amp;L (detailed)'!$AI$43</f>
        <v>1098129</v>
      </c>
      <c r="CV67" s="101">
        <f t="shared" si="144"/>
        <v>19811129</v>
      </c>
      <c r="CW67" s="94">
        <f>SUMIFS('Federal Data'!AT2:AT501,'Federal Data'!$H2:$H501,"Air Transportation",'Federal Data'!$D2:$D501,"Nongrant")</f>
        <v>17945000</v>
      </c>
      <c r="CX67" s="101">
        <f>'State and Local P&amp;L (detailed)'!$AJ$43</f>
        <v>849148</v>
      </c>
      <c r="CY67" s="101">
        <f t="shared" si="145"/>
        <v>18794148</v>
      </c>
      <c r="CZ67" s="94">
        <f>SUMIFS('Federal Data'!AU2:AU501,'Federal Data'!$H2:$H501,"Air Transportation",'Federal Data'!$D2:$D501,"Nongrant")</f>
        <v>17823000</v>
      </c>
      <c r="DA67" s="101">
        <f>'State and Local P&amp;L (detailed)'!$AK$43</f>
        <v>562376</v>
      </c>
      <c r="DB67" s="101">
        <f t="shared" si="146"/>
        <v>18385376</v>
      </c>
      <c r="DC67" s="37">
        <f>SUMIFS('Federal Data'!AV2:AV501,'Federal Data'!$H2:$H501,"Air Transportation",'Federal Data'!$D2:$D501,"Nongrant")</f>
        <v>17045000</v>
      </c>
      <c r="DD67" s="85">
        <f>'State and Local P&amp;L (detailed)'!$AL$43</f>
        <v>0</v>
      </c>
      <c r="DE67" s="85">
        <f t="shared" si="147"/>
        <v>17045000</v>
      </c>
    </row>
    <row r="68" spans="1:109" outlineLevel="3">
      <c r="A68" s="31" t="s">
        <v>95</v>
      </c>
      <c r="B68" s="94">
        <f>SUMIFS('Federal Data'!M2:M501,'Federal Data'!$H2:$H501,"Highway Transportation",'Federal Data'!$D2:$D501,"Nongrant")</f>
        <v>314391</v>
      </c>
      <c r="C68" s="101">
        <f>'State and Local P&amp;L (detailed)'!$C$44</f>
        <v>31568285</v>
      </c>
      <c r="D68" s="101">
        <f t="shared" si="112"/>
        <v>31882676</v>
      </c>
      <c r="E68" s="94">
        <f>SUMIFS('Federal Data'!N2:N501,'Federal Data'!$H2:$H501,"Highway Transportation",'Federal Data'!$D2:$D501,"Nongrant")</f>
        <v>297372</v>
      </c>
      <c r="F68" s="101">
        <f>'State and Local P&amp;L (detailed)'!$D$44</f>
        <v>32698930</v>
      </c>
      <c r="G68" s="101">
        <f t="shared" si="113"/>
        <v>32996302</v>
      </c>
      <c r="H68" s="94">
        <f>SUMIFS('Federal Data'!O2:O501,'Federal Data'!$H2:$H501,"Highway Transportation",'Federal Data'!$D2:$D501,"Nongrant")</f>
        <v>299020</v>
      </c>
      <c r="I68" s="101">
        <f>'State and Local P&amp;L (detailed)'!$E$44</f>
        <v>32450544</v>
      </c>
      <c r="J68" s="101">
        <f t="shared" si="114"/>
        <v>32749564</v>
      </c>
      <c r="K68" s="94">
        <f>SUMIFS('Federal Data'!P2:P501,'Federal Data'!$H2:$H501,"Highway Transportation",'Federal Data'!$D2:$D501,"Nongrant")</f>
        <v>235383</v>
      </c>
      <c r="L68" s="101">
        <f>'State and Local P&amp;L (detailed)'!$F$44</f>
        <v>34418183</v>
      </c>
      <c r="M68" s="101">
        <f t="shared" si="115"/>
        <v>34653566</v>
      </c>
      <c r="N68" s="94">
        <f>SUMIFS('Federal Data'!Q2:Q501,'Federal Data'!$H2:$H501,"Highway Transportation",'Federal Data'!$D2:$D501,"Nongrant")</f>
        <v>238076</v>
      </c>
      <c r="O68" s="101">
        <f>'State and Local P&amp;L (detailed)'!$G$44</f>
        <v>36905826</v>
      </c>
      <c r="P68" s="101">
        <f t="shared" si="116"/>
        <v>37143902</v>
      </c>
      <c r="Q68" s="94">
        <f>SUMIFS('Federal Data'!R2:R501,'Federal Data'!$H2:$H501,"Highway Transportation",'Federal Data'!$D2:$D501,"Nongrant")</f>
        <v>240679</v>
      </c>
      <c r="R68" s="101">
        <f>'State and Local P&amp;L (detailed)'!$H$44</f>
        <v>42250138</v>
      </c>
      <c r="S68" s="101">
        <f t="shared" si="117"/>
        <v>42490817</v>
      </c>
      <c r="T68" s="94">
        <f>SUMIFS('Federal Data'!S2:S501,'Federal Data'!$H2:$H501,"Highway Transportation",'Federal Data'!$D2:$D501,"Nongrant")</f>
        <v>286251</v>
      </c>
      <c r="U68" s="101">
        <f>'State and Local P&amp;L (detailed)'!$I$44</f>
        <v>46501125</v>
      </c>
      <c r="V68" s="101">
        <f t="shared" si="118"/>
        <v>46787376</v>
      </c>
      <c r="W68" s="94">
        <f>SUMIFS('Federal Data'!T2:T501,'Federal Data'!$H2:$H501,"Highway Transportation",'Federal Data'!$D2:$D501,"Nongrant")</f>
        <v>299991</v>
      </c>
      <c r="X68" s="101">
        <f>'State and Local P&amp;L (detailed)'!$J$44</f>
        <v>49238680</v>
      </c>
      <c r="Y68" s="101">
        <f t="shared" si="119"/>
        <v>49538671</v>
      </c>
      <c r="Z68" s="94">
        <f>SUMIFS('Federal Data'!U2:U501,'Federal Data'!$H2:$H501,"Highway Transportation",'Federal Data'!$D2:$D501,"Nongrant")</f>
        <v>286568</v>
      </c>
      <c r="AA68" s="101">
        <f>'State and Local P&amp;L (detailed)'!$K$44</f>
        <v>52059035</v>
      </c>
      <c r="AB68" s="101">
        <f t="shared" si="120"/>
        <v>52345603</v>
      </c>
      <c r="AC68" s="94">
        <f>SUMIFS('Federal Data'!V2:V501,'Federal Data'!$H2:$H501,"Highway Transportation",'Federal Data'!$D2:$D501,"Nongrant")</f>
        <v>215989</v>
      </c>
      <c r="AD68" s="101">
        <f>'State and Local P&amp;L (detailed)'!$L$44</f>
        <v>54133860</v>
      </c>
      <c r="AE68" s="101">
        <f t="shared" si="121"/>
        <v>54349849</v>
      </c>
      <c r="AF68" s="94">
        <f>SUMIFS('Federal Data'!W2:W501,'Federal Data'!$H2:$H501,"Highway Transportation",'Federal Data'!$D2:$D501,"Nongrant")</f>
        <v>371866</v>
      </c>
      <c r="AG68" s="101">
        <f>'State and Local P&amp;L (detailed)'!$M$44</f>
        <v>56803667</v>
      </c>
      <c r="AH68" s="101">
        <f t="shared" si="122"/>
        <v>57175533</v>
      </c>
      <c r="AI68" s="94">
        <f>SUMIFS('Federal Data'!X2:X501,'Federal Data'!$H2:$H501,"Highway Transportation",'Federal Data'!$D2:$D501,"Nongrant")</f>
        <v>386404</v>
      </c>
      <c r="AJ68" s="101">
        <f>'State and Local P&amp;L (detailed)'!$N$44</f>
        <v>60313462</v>
      </c>
      <c r="AK68" s="101">
        <f t="shared" si="123"/>
        <v>60699866</v>
      </c>
      <c r="AL68" s="94">
        <f>SUMIFS('Federal Data'!Y2:Y501,'Federal Data'!$H2:$H501,"Highway Transportation",'Federal Data'!$D2:$D501,"Nongrant")</f>
        <v>495738</v>
      </c>
      <c r="AM68" s="101">
        <f>'State and Local P&amp;L (detailed)'!$O$44</f>
        <v>62474497</v>
      </c>
      <c r="AN68" s="101">
        <f t="shared" si="124"/>
        <v>62970235</v>
      </c>
      <c r="AO68" s="94">
        <f>SUMIFS('Federal Data'!Z2:Z501,'Federal Data'!$H2:$H501,"Highway Transportation",'Federal Data'!$D2:$D501,"Nongrant")</f>
        <v>505468</v>
      </c>
      <c r="AP68" s="101">
        <f>'State and Local P&amp;L (detailed)'!$P$44</f>
        <v>63136022</v>
      </c>
      <c r="AQ68" s="101">
        <f t="shared" si="125"/>
        <v>63641490</v>
      </c>
      <c r="AR68" s="94">
        <f>SUMIFS('Federal Data'!AA2:AA501,'Federal Data'!$H2:$H501,"Highway Transportation",'Federal Data'!$D2:$D501,"Nongrant")</f>
        <v>663360</v>
      </c>
      <c r="AS68" s="101">
        <f>'State and Local P&amp;L (detailed)'!$Q$44</f>
        <v>66510168</v>
      </c>
      <c r="AT68" s="101">
        <f t="shared" si="126"/>
        <v>67173528</v>
      </c>
      <c r="AU68" s="94">
        <f>SUMIFS('Federal Data'!AB2:AB501,'Federal Data'!$H2:$H501,"Highway Transportation",'Federal Data'!$D2:$D501,"Nongrant")</f>
        <v>313000</v>
      </c>
      <c r="AV68" s="101">
        <f>'State and Local P&amp;L (detailed)'!$R$44</f>
        <v>71391300</v>
      </c>
      <c r="AW68" s="101">
        <f t="shared" si="127"/>
        <v>71704300</v>
      </c>
      <c r="AX68" s="94">
        <f>SUMIFS('Federal Data'!AC2:AC501,'Federal Data'!$H2:$H501,"Highway Transportation",'Federal Data'!$D2:$D501,"Nongrant")</f>
        <v>340000</v>
      </c>
      <c r="AY68" s="101">
        <f>'State and Local P&amp;L (detailed)'!$S$44</f>
        <v>73249597</v>
      </c>
      <c r="AZ68" s="101">
        <f t="shared" si="128"/>
        <v>73589597</v>
      </c>
      <c r="BA68" s="94">
        <f>SUMIFS('Federal Data'!AD2:AD501,'Federal Data'!$H2:$H501,"Highway Transportation",'Federal Data'!$D2:$D501,"Nongrant")</f>
        <v>297000</v>
      </c>
      <c r="BB68" s="101">
        <f>'State and Local P&amp;L (detailed)'!$T$44</f>
        <v>75685831</v>
      </c>
      <c r="BC68" s="101">
        <f t="shared" si="129"/>
        <v>75982831</v>
      </c>
      <c r="BD68" s="94">
        <f>SUMIFS('Federal Data'!AE2:AE501,'Federal Data'!$H2:$H501,"Highway Transportation",'Federal Data'!$D2:$D501,"Nongrant")</f>
        <v>305000</v>
      </c>
      <c r="BE68" s="101">
        <f>'State and Local P&amp;L (detailed)'!$U$44</f>
        <v>80495941</v>
      </c>
      <c r="BF68" s="101">
        <f t="shared" si="130"/>
        <v>80800941</v>
      </c>
      <c r="BG68" s="94">
        <f>SUMIFS('Federal Data'!AF2:AF501,'Federal Data'!$H2:$H501,"Highway Transportation",'Federal Data'!$D2:$D501,"Nongrant")</f>
        <v>282000</v>
      </c>
      <c r="BH68" s="101">
        <f>'State and Local P&amp;L (detailed)'!$V$44</f>
        <v>85872430</v>
      </c>
      <c r="BI68" s="101">
        <f t="shared" si="131"/>
        <v>86154430</v>
      </c>
      <c r="BJ68" s="94">
        <f>SUMIFS('Federal Data'!AG2:AG501,'Federal Data'!$H2:$H501,"Highway Transportation",'Federal Data'!$D2:$D501,"Nongrant")</f>
        <v>372000</v>
      </c>
      <c r="BK68" s="101">
        <f>'State and Local P&amp;L (detailed)'!$W$44</f>
        <v>93476159</v>
      </c>
      <c r="BL68" s="101">
        <f t="shared" si="132"/>
        <v>93848159</v>
      </c>
      <c r="BM68" s="94">
        <f>SUMIFS('Federal Data'!AH2:AH501,'Federal Data'!$H2:$H501,"Highway Transportation",'Federal Data'!$D2:$D501,"Nongrant")</f>
        <v>416000</v>
      </c>
      <c r="BN68" s="101">
        <f>'State and Local P&amp;L (detailed)'!$X$44</f>
        <v>98913528</v>
      </c>
      <c r="BO68" s="101">
        <f t="shared" si="133"/>
        <v>99329528</v>
      </c>
      <c r="BP68" s="94">
        <f>SUMIFS('Federal Data'!AI2:AI501,'Federal Data'!$H2:$H501,"Highway Transportation",'Federal Data'!$D2:$D501,"Nongrant")</f>
        <v>546000</v>
      </c>
      <c r="BQ68" s="101">
        <f>'State and Local P&amp;L (detailed)'!$Y$44</f>
        <v>106818952</v>
      </c>
      <c r="BR68" s="101">
        <f t="shared" si="134"/>
        <v>107364952</v>
      </c>
      <c r="BS68" s="94">
        <f>SUMIFS('Federal Data'!AJ2:AJ501,'Federal Data'!$H2:$H501,"Highway Transportation",'Federal Data'!$D2:$D501,"Nongrant")</f>
        <v>488000</v>
      </c>
      <c r="BT68" s="101">
        <f>'State and Local P&amp;L (detailed)'!$Z$44</f>
        <v>108719202</v>
      </c>
      <c r="BU68" s="101">
        <f t="shared" si="135"/>
        <v>109207202</v>
      </c>
      <c r="BV68" s="94">
        <f>SUMIFS('Federal Data'!AK2:AK501,'Federal Data'!$H2:$H501,"Highway Transportation",'Federal Data'!$D2:$D501,"Nongrant")</f>
        <v>677000</v>
      </c>
      <c r="BW68" s="101">
        <f>'State and Local P&amp;L (detailed)'!$AA$44</f>
        <v>108084386</v>
      </c>
      <c r="BX68" s="101">
        <f t="shared" si="136"/>
        <v>108761386</v>
      </c>
      <c r="BY68" s="94">
        <f>SUMIFS('Federal Data'!AL2:AL501,'Federal Data'!$H2:$H501,"Highway Transportation",'Federal Data'!$D2:$D501,"Nongrant")</f>
        <v>841000</v>
      </c>
      <c r="BZ68" s="101">
        <f>'State and Local P&amp;L (detailed)'!$AB$44</f>
        <v>116296403</v>
      </c>
      <c r="CA68" s="101">
        <f t="shared" si="137"/>
        <v>117137403</v>
      </c>
      <c r="CB68" s="94">
        <f>SUMIFS('Federal Data'!AM2:AM501,'Federal Data'!$H2:$H501,"Highway Transportation",'Federal Data'!$D2:$D501,"Nongrant")</f>
        <v>745000</v>
      </c>
      <c r="CC68" s="101">
        <f>'State and Local P&amp;L (detailed)'!$AC$44</f>
        <v>119604004</v>
      </c>
      <c r="CD68" s="101">
        <f t="shared" si="138"/>
        <v>120349004</v>
      </c>
      <c r="CE68" s="94">
        <f>SUMIFS('Federal Data'!AN2:AN501,'Federal Data'!$H2:$H501,"Highway Transportation",'Federal Data'!$D2:$D501,"Nongrant")</f>
        <v>1007000</v>
      </c>
      <c r="CF68" s="101">
        <f>'State and Local P&amp;L (detailed)'!$AD$44</f>
        <v>133692205</v>
      </c>
      <c r="CG68" s="101">
        <f t="shared" si="139"/>
        <v>134699205</v>
      </c>
      <c r="CH68" s="94">
        <f>SUMIFS('Federal Data'!AO2:AO501,'Federal Data'!$H2:$H501,"Highway Transportation",'Federal Data'!$D2:$D501,"Nongrant")</f>
        <v>832000</v>
      </c>
      <c r="CI68" s="101">
        <f>'State and Local P&amp;L (detailed)'!$AE$44</f>
        <v>142156399</v>
      </c>
      <c r="CJ68" s="101">
        <f t="shared" si="140"/>
        <v>142988399</v>
      </c>
      <c r="CK68" s="94">
        <f>SUMIFS('Federal Data'!AP2:AP501,'Federal Data'!$H2:$H501,"Highway Transportation",'Federal Data'!$D2:$D501,"Nongrant")</f>
        <v>694000</v>
      </c>
      <c r="CL68" s="101">
        <f>'State and Local P&amp;L (detailed)'!$AF$44</f>
        <v>142058730</v>
      </c>
      <c r="CM68" s="101">
        <f t="shared" si="141"/>
        <v>142752730</v>
      </c>
      <c r="CN68" s="94">
        <f>SUMIFS('Federal Data'!AQ2:AQ501,'Federal Data'!$H2:$H501,"Highway Transportation",'Federal Data'!$D2:$D501,"Nongrant")</f>
        <v>922000</v>
      </c>
      <c r="CO68" s="101">
        <f>'State and Local P&amp;L (detailed)'!$AG$44</f>
        <v>142373059</v>
      </c>
      <c r="CP68" s="101">
        <f t="shared" si="142"/>
        <v>143295059</v>
      </c>
      <c r="CQ68" s="94">
        <f>SUMIFS('Federal Data'!AR2:AR501,'Federal Data'!$H2:$H501,"Highway Transportation",'Federal Data'!$D2:$D501,"Nongrant")</f>
        <v>840000</v>
      </c>
      <c r="CR68" s="101">
        <f>'State and Local P&amp;L (detailed)'!$AH$44</f>
        <v>140778171</v>
      </c>
      <c r="CS68" s="101">
        <f t="shared" si="143"/>
        <v>141618171</v>
      </c>
      <c r="CT68" s="94">
        <f>SUMIFS('Federal Data'!AS2:AS501,'Federal Data'!$H2:$H501,"Highway Transportation",'Federal Data'!$D2:$D501,"Nongrant")</f>
        <v>794000</v>
      </c>
      <c r="CU68" s="101">
        <f>'State and Local P&amp;L (detailed)'!$AI$44</f>
        <v>146233459</v>
      </c>
      <c r="CV68" s="101">
        <f t="shared" si="144"/>
        <v>147027459</v>
      </c>
      <c r="CW68" s="94">
        <f>SUMIFS('Federal Data'!AT2:AT501,'Federal Data'!$H2:$H501,"Highway Transportation",'Federal Data'!$D2:$D501,"Nongrant")</f>
        <v>863000</v>
      </c>
      <c r="CX68" s="101">
        <f>'State and Local P&amp;L (detailed)'!$AJ$44</f>
        <v>141626142</v>
      </c>
      <c r="CY68" s="101">
        <f t="shared" si="145"/>
        <v>142489142</v>
      </c>
      <c r="CZ68" s="94">
        <f>SUMIFS('Federal Data'!AU2:AU501,'Federal Data'!$H2:$H501,"Highway Transportation",'Federal Data'!$D2:$D501,"Nongrant")</f>
        <v>1445000</v>
      </c>
      <c r="DA68" s="101">
        <f>'State and Local P&amp;L (detailed)'!$AK$44</f>
        <v>144895451</v>
      </c>
      <c r="DB68" s="101">
        <f t="shared" si="146"/>
        <v>146340451</v>
      </c>
      <c r="DC68" s="37">
        <f>SUMIFS('Federal Data'!AV2:AV501,'Federal Data'!$H2:$H501,"Highway Transportation",'Federal Data'!$D2:$D501,"Nongrant")</f>
        <v>979000</v>
      </c>
      <c r="DD68" s="85">
        <f>'State and Local P&amp;L (detailed)'!$AL$44</f>
        <v>0</v>
      </c>
      <c r="DE68" s="85">
        <f t="shared" si="147"/>
        <v>979000</v>
      </c>
    </row>
    <row r="69" spans="1:109" outlineLevel="4">
      <c r="A69" s="32" t="s">
        <v>123</v>
      </c>
      <c r="B69" s="101" t="s">
        <v>487</v>
      </c>
      <c r="C69" s="101">
        <f>'State and Local P&amp;L (detailed)'!$C$45</f>
        <v>31862805</v>
      </c>
      <c r="D69" s="101" t="s">
        <v>487</v>
      </c>
      <c r="E69" s="101" t="s">
        <v>487</v>
      </c>
      <c r="F69" s="101">
        <f>'State and Local P&amp;L (detailed)'!$D$45</f>
        <v>33075437</v>
      </c>
      <c r="G69" s="101" t="s">
        <v>487</v>
      </c>
      <c r="H69" s="101" t="s">
        <v>487</v>
      </c>
      <c r="I69" s="101">
        <f>'State and Local P&amp;L (detailed)'!$E$45</f>
        <v>32932700</v>
      </c>
      <c r="J69" s="101" t="s">
        <v>487</v>
      </c>
      <c r="K69" s="101" t="s">
        <v>487</v>
      </c>
      <c r="L69" s="101">
        <f>'State and Local P&amp;L (detailed)'!$F$45</f>
        <v>34845750</v>
      </c>
      <c r="M69" s="101" t="s">
        <v>487</v>
      </c>
      <c r="N69" s="101" t="s">
        <v>487</v>
      </c>
      <c r="O69" s="101">
        <f>'State and Local P&amp;L (detailed)'!$G$45</f>
        <v>37458901</v>
      </c>
      <c r="P69" s="101" t="s">
        <v>487</v>
      </c>
      <c r="Q69" s="101" t="s">
        <v>487</v>
      </c>
      <c r="R69" s="101">
        <f>'State and Local P&amp;L (detailed)'!$H$45</f>
        <v>42847930</v>
      </c>
      <c r="S69" s="101" t="s">
        <v>487</v>
      </c>
      <c r="T69" s="101" t="s">
        <v>487</v>
      </c>
      <c r="U69" s="101">
        <f>'State and Local P&amp;L (detailed)'!$I$45</f>
        <v>46809717</v>
      </c>
      <c r="V69" s="101" t="s">
        <v>487</v>
      </c>
      <c r="W69" s="101" t="s">
        <v>487</v>
      </c>
      <c r="X69" s="101">
        <f>'State and Local P&amp;L (detailed)'!$J$45</f>
        <v>49477412</v>
      </c>
      <c r="Y69" s="101" t="s">
        <v>487</v>
      </c>
      <c r="Z69" s="101" t="s">
        <v>487</v>
      </c>
      <c r="AA69" s="101">
        <f>'State and Local P&amp;L (detailed)'!$K$45</f>
        <v>52105672</v>
      </c>
      <c r="AB69" s="101" t="s">
        <v>487</v>
      </c>
      <c r="AC69" s="101" t="s">
        <v>487</v>
      </c>
      <c r="AD69" s="101">
        <f>'State and Local P&amp;L (detailed)'!$L$45</f>
        <v>54400689</v>
      </c>
      <c r="AE69" s="101" t="s">
        <v>487</v>
      </c>
      <c r="AF69" s="101" t="s">
        <v>487</v>
      </c>
      <c r="AG69" s="101">
        <f>'State and Local P&amp;L (detailed)'!$M$45</f>
        <v>57258562</v>
      </c>
      <c r="AH69" s="101" t="s">
        <v>487</v>
      </c>
      <c r="AI69" s="101" t="s">
        <v>487</v>
      </c>
      <c r="AJ69" s="101">
        <f>'State and Local P&amp;L (detailed)'!$N$45</f>
        <v>60710578</v>
      </c>
      <c r="AK69" s="101" t="s">
        <v>487</v>
      </c>
      <c r="AL69" s="101" t="s">
        <v>487</v>
      </c>
      <c r="AM69" s="101">
        <f>'State and Local P&amp;L (detailed)'!$O$45</f>
        <v>62738500</v>
      </c>
      <c r="AN69" s="101" t="s">
        <v>487</v>
      </c>
      <c r="AO69" s="101" t="s">
        <v>487</v>
      </c>
      <c r="AP69" s="101">
        <f>'State and Local P&amp;L (detailed)'!$P$45</f>
        <v>63618265</v>
      </c>
      <c r="AQ69" s="101" t="s">
        <v>487</v>
      </c>
      <c r="AR69" s="101" t="s">
        <v>487</v>
      </c>
      <c r="AS69" s="101">
        <f>'State and Local P&amp;L (detailed)'!$Q$45</f>
        <v>67018644</v>
      </c>
      <c r="AT69" s="101" t="s">
        <v>487</v>
      </c>
      <c r="AU69" s="101" t="s">
        <v>487</v>
      </c>
      <c r="AV69" s="101">
        <f>'State and Local P&amp;L (detailed)'!$R$45</f>
        <v>72021240</v>
      </c>
      <c r="AW69" s="101" t="s">
        <v>487</v>
      </c>
      <c r="AX69" s="101" t="s">
        <v>487</v>
      </c>
      <c r="AY69" s="101">
        <f>'State and Local P&amp;L (detailed)'!$S$45</f>
        <v>73844940</v>
      </c>
      <c r="AZ69" s="101" t="s">
        <v>487</v>
      </c>
      <c r="BA69" s="101" t="s">
        <v>487</v>
      </c>
      <c r="BB69" s="101">
        <f>'State and Local P&amp;L (detailed)'!$T$45</f>
        <v>76462365</v>
      </c>
      <c r="BC69" s="101" t="s">
        <v>487</v>
      </c>
      <c r="BD69" s="101" t="s">
        <v>487</v>
      </c>
      <c r="BE69" s="101">
        <f>'State and Local P&amp;L (detailed)'!$U$45</f>
        <v>81667278</v>
      </c>
      <c r="BF69" s="101" t="s">
        <v>487</v>
      </c>
      <c r="BG69" s="101" t="s">
        <v>487</v>
      </c>
      <c r="BH69" s="101">
        <f>'State and Local P&amp;L (detailed)'!$V$45</f>
        <v>86395756</v>
      </c>
      <c r="BI69" s="101" t="s">
        <v>487</v>
      </c>
      <c r="BJ69" s="101" t="s">
        <v>487</v>
      </c>
      <c r="BK69" s="101">
        <f>'State and Local P&amp;L (detailed)'!$W$45</f>
        <v>93639370</v>
      </c>
      <c r="BL69" s="101" t="s">
        <v>487</v>
      </c>
      <c r="BM69" s="101" t="s">
        <v>487</v>
      </c>
      <c r="BN69" s="101">
        <f>'State and Local P&amp;L (detailed)'!$X$45</f>
        <v>98670132</v>
      </c>
      <c r="BO69" s="101" t="s">
        <v>487</v>
      </c>
      <c r="BP69" s="101" t="s">
        <v>487</v>
      </c>
      <c r="BQ69" s="101">
        <f>'State and Local P&amp;L (detailed)'!$Y$45</f>
        <v>105625737</v>
      </c>
      <c r="BR69" s="101" t="s">
        <v>487</v>
      </c>
      <c r="BS69" s="101" t="s">
        <v>487</v>
      </c>
      <c r="BT69" s="101">
        <f>'State and Local P&amp;L (detailed)'!$Z$45</f>
        <v>107030399</v>
      </c>
      <c r="BU69" s="101" t="s">
        <v>487</v>
      </c>
      <c r="BV69" s="101" t="s">
        <v>487</v>
      </c>
      <c r="BW69" s="101">
        <f>'State and Local P&amp;L (detailed)'!$AA$45</f>
        <v>107063255</v>
      </c>
      <c r="BX69" s="101" t="s">
        <v>487</v>
      </c>
      <c r="BY69" s="101" t="s">
        <v>487</v>
      </c>
      <c r="BZ69" s="101">
        <f>'State and Local P&amp;L (detailed)'!$AB$45</f>
        <v>116566005</v>
      </c>
      <c r="CA69" s="101" t="s">
        <v>487</v>
      </c>
      <c r="CB69" s="101" t="s">
        <v>487</v>
      </c>
      <c r="CC69" s="101">
        <f>'State and Local P&amp;L (detailed)'!$AC$45</f>
        <v>125834318</v>
      </c>
      <c r="CD69" s="101" t="s">
        <v>487</v>
      </c>
      <c r="CE69" s="101" t="s">
        <v>487</v>
      </c>
      <c r="CF69" s="101">
        <f>'State and Local P&amp;L (detailed)'!$AD$45</f>
        <v>133162590</v>
      </c>
      <c r="CG69" s="101" t="s">
        <v>487</v>
      </c>
      <c r="CH69" s="101" t="s">
        <v>487</v>
      </c>
      <c r="CI69" s="101">
        <f>'State and Local P&amp;L (detailed)'!$AE$45</f>
        <v>137662151</v>
      </c>
      <c r="CJ69" s="101" t="s">
        <v>487</v>
      </c>
      <c r="CK69" s="101" t="s">
        <v>487</v>
      </c>
      <c r="CL69" s="101">
        <f>'State and Local P&amp;L (detailed)'!$AF$45</f>
        <v>140928066</v>
      </c>
      <c r="CM69" s="101" t="s">
        <v>487</v>
      </c>
      <c r="CN69" s="101" t="s">
        <v>487</v>
      </c>
      <c r="CO69" s="101">
        <f>'State and Local P&amp;L (detailed)'!$AG$45</f>
        <v>142349437</v>
      </c>
      <c r="CP69" s="101" t="s">
        <v>487</v>
      </c>
      <c r="CQ69" s="101" t="s">
        <v>487</v>
      </c>
      <c r="CR69" s="101">
        <f>'State and Local P&amp;L (detailed)'!$AH$45</f>
        <v>141592260</v>
      </c>
      <c r="CS69" s="101" t="s">
        <v>487</v>
      </c>
      <c r="CT69" s="101" t="s">
        <v>487</v>
      </c>
      <c r="CU69" s="101">
        <f>'State and Local P&amp;L (detailed)'!$AI$45</f>
        <v>146153104</v>
      </c>
      <c r="CV69" s="101" t="s">
        <v>487</v>
      </c>
      <c r="CW69" s="101" t="s">
        <v>487</v>
      </c>
      <c r="CX69" s="101">
        <f>'State and Local P&amp;L (detailed)'!$AJ$45</f>
        <v>143522288</v>
      </c>
      <c r="CY69" s="101" t="s">
        <v>487</v>
      </c>
      <c r="CZ69" s="101" t="s">
        <v>487</v>
      </c>
      <c r="DA69" s="101">
        <f>'State and Local P&amp;L (detailed)'!$AK$45</f>
        <v>147028360</v>
      </c>
      <c r="DB69" s="101" t="s">
        <v>487</v>
      </c>
      <c r="DC69" s="85" t="s">
        <v>487</v>
      </c>
      <c r="DD69" s="85">
        <f>'State and Local P&amp;L (detailed)'!$AL$45</f>
        <v>0</v>
      </c>
      <c r="DE69" s="85" t="s">
        <v>487</v>
      </c>
    </row>
    <row r="70" spans="1:109" outlineLevel="4">
      <c r="A70" s="32" t="s">
        <v>279</v>
      </c>
      <c r="B70" s="101" t="s">
        <v>487</v>
      </c>
      <c r="C70" s="101">
        <f>'State and Local P&amp;L (detailed)'!$C$46</f>
        <v>-302417</v>
      </c>
      <c r="D70" s="101" t="s">
        <v>487</v>
      </c>
      <c r="E70" s="101" t="s">
        <v>487</v>
      </c>
      <c r="F70" s="101">
        <f>'State and Local P&amp;L (detailed)'!$D$46</f>
        <v>-384989</v>
      </c>
      <c r="G70" s="101" t="s">
        <v>487</v>
      </c>
      <c r="H70" s="101" t="s">
        <v>487</v>
      </c>
      <c r="I70" s="101">
        <f>'State and Local P&amp;L (detailed)'!$E$46</f>
        <v>-494258</v>
      </c>
      <c r="J70" s="101" t="s">
        <v>487</v>
      </c>
      <c r="K70" s="101" t="s">
        <v>487</v>
      </c>
      <c r="L70" s="101">
        <f>'State and Local P&amp;L (detailed)'!$F$46</f>
        <v>-428731</v>
      </c>
      <c r="M70" s="101" t="s">
        <v>487</v>
      </c>
      <c r="N70" s="101" t="s">
        <v>487</v>
      </c>
      <c r="O70" s="101">
        <f>'State and Local P&amp;L (detailed)'!$G$46</f>
        <v>-511136</v>
      </c>
      <c r="P70" s="101" t="s">
        <v>487</v>
      </c>
      <c r="Q70" s="101" t="s">
        <v>487</v>
      </c>
      <c r="R70" s="101">
        <f>'State and Local P&amp;L (detailed)'!$H$46</f>
        <v>-615576</v>
      </c>
      <c r="S70" s="101" t="s">
        <v>487</v>
      </c>
      <c r="T70" s="101" t="s">
        <v>487</v>
      </c>
      <c r="U70" s="101">
        <f>'State and Local P&amp;L (detailed)'!$I$46</f>
        <v>-359180</v>
      </c>
      <c r="V70" s="101" t="s">
        <v>487</v>
      </c>
      <c r="W70" s="101" t="s">
        <v>487</v>
      </c>
      <c r="X70" s="101">
        <f>'State and Local P&amp;L (detailed)'!$J$46</f>
        <v>-314929</v>
      </c>
      <c r="Y70" s="101" t="s">
        <v>487</v>
      </c>
      <c r="Z70" s="101" t="s">
        <v>487</v>
      </c>
      <c r="AA70" s="101">
        <f>'State and Local P&amp;L (detailed)'!$K$46</f>
        <v>-94667</v>
      </c>
      <c r="AB70" s="101" t="s">
        <v>487</v>
      </c>
      <c r="AC70" s="101" t="s">
        <v>487</v>
      </c>
      <c r="AD70" s="101">
        <f>'State and Local P&amp;L (detailed)'!$L$46</f>
        <v>-225801</v>
      </c>
      <c r="AE70" s="101" t="s">
        <v>487</v>
      </c>
      <c r="AF70" s="101" t="s">
        <v>487</v>
      </c>
      <c r="AG70" s="101">
        <f>'State and Local P&amp;L (detailed)'!$M$46</f>
        <v>-349700</v>
      </c>
      <c r="AH70" s="101" t="s">
        <v>487</v>
      </c>
      <c r="AI70" s="101" t="s">
        <v>487</v>
      </c>
      <c r="AJ70" s="101">
        <f>'State and Local P&amp;L (detailed)'!$N$46</f>
        <v>-286738</v>
      </c>
      <c r="AK70" s="101" t="s">
        <v>487</v>
      </c>
      <c r="AL70" s="101" t="s">
        <v>487</v>
      </c>
      <c r="AM70" s="101">
        <f>'State and Local P&amp;L (detailed)'!$O$46</f>
        <v>-155716</v>
      </c>
      <c r="AN70" s="101" t="s">
        <v>487</v>
      </c>
      <c r="AO70" s="101" t="s">
        <v>487</v>
      </c>
      <c r="AP70" s="101">
        <f>'State and Local P&amp;L (detailed)'!$P$46</f>
        <v>-178045</v>
      </c>
      <c r="AQ70" s="101" t="s">
        <v>487</v>
      </c>
      <c r="AR70" s="101" t="s">
        <v>487</v>
      </c>
      <c r="AS70" s="101">
        <f>'State and Local P&amp;L (detailed)'!$Q$46</f>
        <v>-159940</v>
      </c>
      <c r="AT70" s="101" t="s">
        <v>487</v>
      </c>
      <c r="AU70" s="101" t="s">
        <v>487</v>
      </c>
      <c r="AV70" s="101">
        <f>'State and Local P&amp;L (detailed)'!$R$46</f>
        <v>-337292</v>
      </c>
      <c r="AW70" s="101" t="s">
        <v>487</v>
      </c>
      <c r="AX70" s="101" t="s">
        <v>487</v>
      </c>
      <c r="AY70" s="101">
        <f>'State and Local P&amp;L (detailed)'!$S$46</f>
        <v>-362871</v>
      </c>
      <c r="AZ70" s="101" t="s">
        <v>487</v>
      </c>
      <c r="BA70" s="101" t="s">
        <v>487</v>
      </c>
      <c r="BB70" s="101">
        <f>'State and Local P&amp;L (detailed)'!$T$46</f>
        <v>-392993</v>
      </c>
      <c r="BC70" s="101" t="s">
        <v>487</v>
      </c>
      <c r="BD70" s="101" t="s">
        <v>487</v>
      </c>
      <c r="BE70" s="101">
        <f>'State and Local P&amp;L (detailed)'!$U$46</f>
        <v>-784648</v>
      </c>
      <c r="BF70" s="101" t="s">
        <v>487</v>
      </c>
      <c r="BG70" s="101" t="s">
        <v>487</v>
      </c>
      <c r="BH70" s="101">
        <f>'State and Local P&amp;L (detailed)'!$V$46</f>
        <v>-181827</v>
      </c>
      <c r="BI70" s="101" t="s">
        <v>487</v>
      </c>
      <c r="BJ70" s="101" t="s">
        <v>487</v>
      </c>
      <c r="BK70" s="101">
        <f>'State and Local P&amp;L (detailed)'!$W$46</f>
        <v>304865</v>
      </c>
      <c r="BL70" s="101" t="s">
        <v>487</v>
      </c>
      <c r="BM70" s="101" t="s">
        <v>487</v>
      </c>
      <c r="BN70" s="101">
        <f>'State and Local P&amp;L (detailed)'!$X$46</f>
        <v>631748</v>
      </c>
      <c r="BO70" s="101" t="s">
        <v>487</v>
      </c>
      <c r="BP70" s="101" t="s">
        <v>487</v>
      </c>
      <c r="BQ70" s="101">
        <f>'State and Local P&amp;L (detailed)'!$Y$46</f>
        <v>1472487</v>
      </c>
      <c r="BR70" s="101" t="s">
        <v>487</v>
      </c>
      <c r="BS70" s="101" t="s">
        <v>487</v>
      </c>
      <c r="BT70" s="101">
        <f>'State and Local P&amp;L (detailed)'!$Z$46</f>
        <v>2162849</v>
      </c>
      <c r="BU70" s="101" t="s">
        <v>487</v>
      </c>
      <c r="BV70" s="101" t="s">
        <v>487</v>
      </c>
      <c r="BW70" s="101">
        <f>'State and Local P&amp;L (detailed)'!$AA$46</f>
        <v>1226060</v>
      </c>
      <c r="BX70" s="101" t="s">
        <v>487</v>
      </c>
      <c r="BY70" s="101" t="s">
        <v>487</v>
      </c>
      <c r="BZ70" s="101">
        <f>'State and Local P&amp;L (detailed)'!$AB$46</f>
        <v>-56833</v>
      </c>
      <c r="CA70" s="101" t="s">
        <v>487</v>
      </c>
      <c r="CB70" s="101" t="s">
        <v>487</v>
      </c>
      <c r="CC70" s="101">
        <f>'State and Local P&amp;L (detailed)'!$AC$46</f>
        <v>-5601545</v>
      </c>
      <c r="CD70" s="101" t="s">
        <v>487</v>
      </c>
      <c r="CE70" s="101" t="s">
        <v>487</v>
      </c>
      <c r="CF70" s="101">
        <f>'State and Local P&amp;L (detailed)'!$AD$46</f>
        <v>1119585</v>
      </c>
      <c r="CG70" s="101" t="s">
        <v>487</v>
      </c>
      <c r="CH70" s="101" t="s">
        <v>487</v>
      </c>
      <c r="CI70" s="101">
        <f>'State and Local P&amp;L (detailed)'!$AE$46</f>
        <v>4845418</v>
      </c>
      <c r="CJ70" s="101" t="s">
        <v>487</v>
      </c>
      <c r="CK70" s="101" t="s">
        <v>487</v>
      </c>
      <c r="CL70" s="101">
        <f>'State and Local P&amp;L (detailed)'!$AF$46</f>
        <v>1446936</v>
      </c>
      <c r="CM70" s="101" t="s">
        <v>487</v>
      </c>
      <c r="CN70" s="101" t="s">
        <v>487</v>
      </c>
      <c r="CO70" s="101">
        <f>'State and Local P&amp;L (detailed)'!$AG$46</f>
        <v>1561670</v>
      </c>
      <c r="CP70" s="101" t="s">
        <v>487</v>
      </c>
      <c r="CQ70" s="101" t="s">
        <v>487</v>
      </c>
      <c r="CR70" s="101">
        <f>'State and Local P&amp;L (detailed)'!$AH$46</f>
        <v>-270906</v>
      </c>
      <c r="CS70" s="101" t="s">
        <v>487</v>
      </c>
      <c r="CT70" s="101" t="s">
        <v>487</v>
      </c>
      <c r="CU70" s="101">
        <f>'State and Local P&amp;L (detailed)'!$AI$46</f>
        <v>760982</v>
      </c>
      <c r="CV70" s="101" t="s">
        <v>487</v>
      </c>
      <c r="CW70" s="101" t="s">
        <v>487</v>
      </c>
      <c r="CX70" s="101">
        <f>'State and Local P&amp;L (detailed)'!$AJ$46</f>
        <v>-1071034</v>
      </c>
      <c r="CY70" s="101" t="s">
        <v>487</v>
      </c>
      <c r="CZ70" s="101" t="s">
        <v>487</v>
      </c>
      <c r="DA70" s="101">
        <f>'State and Local P&amp;L (detailed)'!$AK$46</f>
        <v>-1088168</v>
      </c>
      <c r="DB70" s="101" t="s">
        <v>487</v>
      </c>
      <c r="DC70" s="85" t="s">
        <v>487</v>
      </c>
      <c r="DD70" s="85">
        <f>'State and Local P&amp;L (detailed)'!$AL$46</f>
        <v>0</v>
      </c>
      <c r="DE70" s="85" t="s">
        <v>487</v>
      </c>
    </row>
    <row r="71" spans="1:109" outlineLevel="4">
      <c r="A71" s="32" t="s">
        <v>280</v>
      </c>
      <c r="B71" s="101" t="s">
        <v>487</v>
      </c>
      <c r="C71" s="101">
        <f>'State and Local P&amp;L (detailed)'!$C$47</f>
        <v>0</v>
      </c>
      <c r="D71" s="101" t="s">
        <v>487</v>
      </c>
      <c r="E71" s="101" t="s">
        <v>487</v>
      </c>
      <c r="F71" s="101">
        <f>'State and Local P&amp;L (detailed)'!$D$47</f>
        <v>0</v>
      </c>
      <c r="G71" s="101" t="s">
        <v>487</v>
      </c>
      <c r="H71" s="101" t="s">
        <v>487</v>
      </c>
      <c r="I71" s="101">
        <f>'State and Local P&amp;L (detailed)'!$E$47</f>
        <v>0</v>
      </c>
      <c r="J71" s="101" t="s">
        <v>487</v>
      </c>
      <c r="K71" s="101" t="s">
        <v>487</v>
      </c>
      <c r="L71" s="101">
        <f>'State and Local P&amp;L (detailed)'!$F$47</f>
        <v>0</v>
      </c>
      <c r="M71" s="101" t="s">
        <v>487</v>
      </c>
      <c r="N71" s="101" t="s">
        <v>487</v>
      </c>
      <c r="O71" s="101">
        <f>'State and Local P&amp;L (detailed)'!$G$47</f>
        <v>0</v>
      </c>
      <c r="P71" s="101" t="s">
        <v>487</v>
      </c>
      <c r="Q71" s="101" t="s">
        <v>487</v>
      </c>
      <c r="R71" s="101">
        <f>'State and Local P&amp;L (detailed)'!$H$47</f>
        <v>0</v>
      </c>
      <c r="S71" s="101" t="s">
        <v>487</v>
      </c>
      <c r="T71" s="101" t="s">
        <v>487</v>
      </c>
      <c r="U71" s="101">
        <f>'State and Local P&amp;L (detailed)'!$I$47</f>
        <v>0</v>
      </c>
      <c r="V71" s="101" t="s">
        <v>487</v>
      </c>
      <c r="W71" s="101" t="s">
        <v>487</v>
      </c>
      <c r="X71" s="101">
        <f>'State and Local P&amp;L (detailed)'!$J$47</f>
        <v>0</v>
      </c>
      <c r="Y71" s="101" t="s">
        <v>487</v>
      </c>
      <c r="Z71" s="101" t="s">
        <v>487</v>
      </c>
      <c r="AA71" s="101">
        <f>'State and Local P&amp;L (detailed)'!$K$47</f>
        <v>0</v>
      </c>
      <c r="AB71" s="101" t="s">
        <v>487</v>
      </c>
      <c r="AC71" s="101" t="s">
        <v>487</v>
      </c>
      <c r="AD71" s="101">
        <f>'State and Local P&amp;L (detailed)'!$L$47</f>
        <v>0</v>
      </c>
      <c r="AE71" s="101" t="s">
        <v>487</v>
      </c>
      <c r="AF71" s="101" t="s">
        <v>487</v>
      </c>
      <c r="AG71" s="101">
        <f>'State and Local P&amp;L (detailed)'!$M$47</f>
        <v>0</v>
      </c>
      <c r="AH71" s="101" t="s">
        <v>487</v>
      </c>
      <c r="AI71" s="101" t="s">
        <v>487</v>
      </c>
      <c r="AJ71" s="101">
        <f>'State and Local P&amp;L (detailed)'!$N$47</f>
        <v>0</v>
      </c>
      <c r="AK71" s="101" t="s">
        <v>487</v>
      </c>
      <c r="AL71" s="101" t="s">
        <v>487</v>
      </c>
      <c r="AM71" s="101">
        <f>'State and Local P&amp;L (detailed)'!$O$47</f>
        <v>0</v>
      </c>
      <c r="AN71" s="101" t="s">
        <v>487</v>
      </c>
      <c r="AO71" s="101" t="s">
        <v>487</v>
      </c>
      <c r="AP71" s="101">
        <f>'State and Local P&amp;L (detailed)'!$P$47</f>
        <v>0</v>
      </c>
      <c r="AQ71" s="101" t="s">
        <v>487</v>
      </c>
      <c r="AR71" s="101" t="s">
        <v>487</v>
      </c>
      <c r="AS71" s="101">
        <f>'State and Local P&amp;L (detailed)'!$Q$47</f>
        <v>0</v>
      </c>
      <c r="AT71" s="101" t="s">
        <v>487</v>
      </c>
      <c r="AU71" s="101" t="s">
        <v>487</v>
      </c>
      <c r="AV71" s="101">
        <f>'State and Local P&amp;L (detailed)'!$R$47</f>
        <v>0</v>
      </c>
      <c r="AW71" s="101" t="s">
        <v>487</v>
      </c>
      <c r="AX71" s="101" t="s">
        <v>487</v>
      </c>
      <c r="AY71" s="101">
        <f>'State and Local P&amp;L (detailed)'!$S$47</f>
        <v>0</v>
      </c>
      <c r="AZ71" s="101" t="s">
        <v>487</v>
      </c>
      <c r="BA71" s="101" t="s">
        <v>487</v>
      </c>
      <c r="BB71" s="101">
        <f>'State and Local P&amp;L (detailed)'!$T$47</f>
        <v>0</v>
      </c>
      <c r="BC71" s="101" t="s">
        <v>487</v>
      </c>
      <c r="BD71" s="101" t="s">
        <v>487</v>
      </c>
      <c r="BE71" s="101">
        <f>'State and Local P&amp;L (detailed)'!$U$47</f>
        <v>0</v>
      </c>
      <c r="BF71" s="101" t="s">
        <v>487</v>
      </c>
      <c r="BG71" s="101" t="s">
        <v>487</v>
      </c>
      <c r="BH71" s="101">
        <f>'State and Local P&amp;L (detailed)'!$V$47</f>
        <v>0</v>
      </c>
      <c r="BI71" s="101" t="s">
        <v>487</v>
      </c>
      <c r="BJ71" s="101" t="s">
        <v>487</v>
      </c>
      <c r="BK71" s="101">
        <f>'State and Local P&amp;L (detailed)'!$W$47</f>
        <v>0</v>
      </c>
      <c r="BL71" s="101" t="s">
        <v>487</v>
      </c>
      <c r="BM71" s="101" t="s">
        <v>487</v>
      </c>
      <c r="BN71" s="101">
        <f>'State and Local P&amp;L (detailed)'!$X$47</f>
        <v>0</v>
      </c>
      <c r="BO71" s="101" t="s">
        <v>487</v>
      </c>
      <c r="BP71" s="101" t="s">
        <v>487</v>
      </c>
      <c r="BQ71" s="101">
        <f>'State and Local P&amp;L (detailed)'!$Y$47</f>
        <v>0</v>
      </c>
      <c r="BR71" s="101" t="s">
        <v>487</v>
      </c>
      <c r="BS71" s="101" t="s">
        <v>487</v>
      </c>
      <c r="BT71" s="101">
        <f>'State and Local P&amp;L (detailed)'!$Z$47</f>
        <v>0</v>
      </c>
      <c r="BU71" s="101" t="s">
        <v>487</v>
      </c>
      <c r="BV71" s="101" t="s">
        <v>487</v>
      </c>
      <c r="BW71" s="101">
        <f>'State and Local P&amp;L (detailed)'!$AA$47</f>
        <v>0</v>
      </c>
      <c r="BX71" s="101" t="s">
        <v>487</v>
      </c>
      <c r="BY71" s="101" t="s">
        <v>487</v>
      </c>
      <c r="BZ71" s="101">
        <f>'State and Local P&amp;L (detailed)'!$AB$47</f>
        <v>0</v>
      </c>
      <c r="CA71" s="101" t="s">
        <v>487</v>
      </c>
      <c r="CB71" s="101" t="s">
        <v>487</v>
      </c>
      <c r="CC71" s="101">
        <f>'State and Local P&amp;L (detailed)'!$AC$47</f>
        <v>0</v>
      </c>
      <c r="CD71" s="101" t="s">
        <v>487</v>
      </c>
      <c r="CE71" s="101" t="s">
        <v>487</v>
      </c>
      <c r="CF71" s="101">
        <f>'State and Local P&amp;L (detailed)'!$AD$47</f>
        <v>0</v>
      </c>
      <c r="CG71" s="101" t="s">
        <v>487</v>
      </c>
      <c r="CH71" s="101" t="s">
        <v>487</v>
      </c>
      <c r="CI71" s="101">
        <f>'State and Local P&amp;L (detailed)'!$AE$47</f>
        <v>0</v>
      </c>
      <c r="CJ71" s="101" t="s">
        <v>487</v>
      </c>
      <c r="CK71" s="101" t="s">
        <v>487</v>
      </c>
      <c r="CL71" s="101">
        <f>'State and Local P&amp;L (detailed)'!$AF$47</f>
        <v>0</v>
      </c>
      <c r="CM71" s="101" t="s">
        <v>487</v>
      </c>
      <c r="CN71" s="101" t="s">
        <v>487</v>
      </c>
      <c r="CO71" s="101">
        <f>'State and Local P&amp;L (detailed)'!$AG$47</f>
        <v>0</v>
      </c>
      <c r="CP71" s="101" t="s">
        <v>487</v>
      </c>
      <c r="CQ71" s="101" t="s">
        <v>487</v>
      </c>
      <c r="CR71" s="101">
        <f>'State and Local P&amp;L (detailed)'!$AH$47</f>
        <v>0</v>
      </c>
      <c r="CS71" s="101" t="s">
        <v>487</v>
      </c>
      <c r="CT71" s="101" t="s">
        <v>487</v>
      </c>
      <c r="CU71" s="101">
        <f>'State and Local P&amp;L (detailed)'!$AI$47</f>
        <v>0</v>
      </c>
      <c r="CV71" s="101" t="s">
        <v>487</v>
      </c>
      <c r="CW71" s="101" t="s">
        <v>487</v>
      </c>
      <c r="CX71" s="101">
        <f>'State and Local P&amp;L (detailed)'!$AJ$47</f>
        <v>0</v>
      </c>
      <c r="CY71" s="101" t="s">
        <v>487</v>
      </c>
      <c r="CZ71" s="101" t="s">
        <v>487</v>
      </c>
      <c r="DA71" s="101">
        <f>'State and Local P&amp;L (detailed)'!$AK$47</f>
        <v>0</v>
      </c>
      <c r="DB71" s="101" t="s">
        <v>487</v>
      </c>
      <c r="DC71" s="85" t="s">
        <v>487</v>
      </c>
      <c r="DD71" s="85">
        <f>'State and Local P&amp;L (detailed)'!$AL$47</f>
        <v>0</v>
      </c>
      <c r="DE71" s="85" t="s">
        <v>487</v>
      </c>
    </row>
    <row r="72" spans="1:109" outlineLevel="3">
      <c r="A72" s="31" t="s">
        <v>96</v>
      </c>
      <c r="B72" s="94">
        <f>SUMIFS('Federal Data'!M2:M501,'Federal Data'!$H2:$H501,"Railroad Transportation",'Federal Data'!$D2:$D501,"Nongrant")</f>
        <v>2533518</v>
      </c>
      <c r="C72" s="101">
        <f>'State and Local P&amp;L (detailed)'!$C$48</f>
        <v>5248720</v>
      </c>
      <c r="D72" s="101">
        <f>SUM(B72:C72)</f>
        <v>7782238</v>
      </c>
      <c r="E72" s="94">
        <f>SUMIFS('Federal Data'!N2:N501,'Federal Data'!$H2:$H501,"Railroad Transportation",'Federal Data'!$D2:$D501,"Nongrant")</f>
        <v>3844730</v>
      </c>
      <c r="F72" s="101">
        <f>'State and Local P&amp;L (detailed)'!$D$48</f>
        <v>6588902</v>
      </c>
      <c r="G72" s="101">
        <f>SUM(E72:F72)</f>
        <v>10433632</v>
      </c>
      <c r="H72" s="94">
        <f>SUMIFS('Federal Data'!O2:O501,'Federal Data'!$H2:$H501,"Railroad Transportation",'Federal Data'!$D2:$D501,"Nongrant")</f>
        <v>2251811</v>
      </c>
      <c r="I72" s="101">
        <f>'State and Local P&amp;L (detailed)'!$E$48</f>
        <v>7642847</v>
      </c>
      <c r="J72" s="101">
        <f>SUM(H72:I72)</f>
        <v>9894658</v>
      </c>
      <c r="K72" s="94">
        <f>SUMIFS('Federal Data'!P2:P501,'Federal Data'!$H2:$H501,"Railroad Transportation",'Federal Data'!$D2:$D501,"Nongrant")</f>
        <v>1290584</v>
      </c>
      <c r="L72" s="101">
        <f>'State and Local P&amp;L (detailed)'!$F$48</f>
        <v>8779652</v>
      </c>
      <c r="M72" s="101">
        <f>SUM(K72:L72)</f>
        <v>10070236</v>
      </c>
      <c r="N72" s="94">
        <f>SUMIFS('Federal Data'!Q2:Q501,'Federal Data'!$H2:$H501,"Railroad Transportation",'Federal Data'!$D2:$D501,"Nongrant")</f>
        <v>1640139</v>
      </c>
      <c r="O72" s="101">
        <f>'State and Local P&amp;L (detailed)'!$G$48</f>
        <v>9273434</v>
      </c>
      <c r="P72" s="101">
        <f>SUM(N72:O72)</f>
        <v>10913573</v>
      </c>
      <c r="Q72" s="94">
        <f>SUMIFS('Federal Data'!R2:R501,'Federal Data'!$H2:$H501,"Railroad Transportation",'Federal Data'!$D2:$D501,"Nongrant")</f>
        <v>1159749</v>
      </c>
      <c r="R72" s="101">
        <f>'State and Local P&amp;L (detailed)'!$H$48</f>
        <v>9375561</v>
      </c>
      <c r="S72" s="101">
        <f>SUM(Q72:R72)</f>
        <v>10535310</v>
      </c>
      <c r="T72" s="94">
        <f>SUMIFS('Federal Data'!S2:S501,'Federal Data'!$H2:$H501,"Railroad Transportation",'Federal Data'!$D2:$D501,"Nongrant")</f>
        <v>1002062</v>
      </c>
      <c r="U72" s="101">
        <f>'State and Local P&amp;L (detailed)'!$I$48</f>
        <v>9967547</v>
      </c>
      <c r="V72" s="101">
        <f>SUM(T72:U72)</f>
        <v>10969609</v>
      </c>
      <c r="W72" s="94">
        <f>SUMIFS('Federal Data'!T2:T501,'Federal Data'!$H2:$H501,"Railroad Transportation",'Federal Data'!$D2:$D501,"Nongrant")</f>
        <v>920616</v>
      </c>
      <c r="X72" s="101">
        <f>'State and Local P&amp;L (detailed)'!$J$48</f>
        <v>10638656</v>
      </c>
      <c r="Y72" s="101">
        <f>SUM(W72:X72)</f>
        <v>11559272</v>
      </c>
      <c r="Z72" s="94">
        <f>SUMIFS('Federal Data'!U2:U501,'Federal Data'!$H2:$H501,"Railroad Transportation",'Federal Data'!$D2:$D501,"Nongrant")</f>
        <v>676881</v>
      </c>
      <c r="AA72" s="101">
        <f>'State and Local P&amp;L (detailed)'!$K$48</f>
        <v>11242502</v>
      </c>
      <c r="AB72" s="101">
        <f>SUM(Z72:AA72)</f>
        <v>11919383</v>
      </c>
      <c r="AC72" s="94">
        <f>SUMIFS('Federal Data'!V2:V501,'Federal Data'!$H2:$H501,"Railroad Transportation",'Federal Data'!$D2:$D501,"Nongrant")</f>
        <v>719509</v>
      </c>
      <c r="AD72" s="101">
        <f>'State and Local P&amp;L (detailed)'!$L$48</f>
        <v>11764153</v>
      </c>
      <c r="AE72" s="101">
        <f>SUM(AC72:AD72)</f>
        <v>12483662</v>
      </c>
      <c r="AF72" s="94">
        <f>SUMIFS('Federal Data'!W2:W501,'Federal Data'!$H2:$H501,"Railroad Transportation",'Federal Data'!$D2:$D501,"Nongrant")</f>
        <v>658274</v>
      </c>
      <c r="AG72" s="101">
        <f>'State and Local P&amp;L (detailed)'!$M$48</f>
        <v>13177189</v>
      </c>
      <c r="AH72" s="101">
        <f>SUM(AF72:AG72)</f>
        <v>13835463</v>
      </c>
      <c r="AI72" s="94">
        <f>SUMIFS('Federal Data'!X2:X501,'Federal Data'!$H2:$H501,"Railroad Transportation",'Federal Data'!$D2:$D501,"Nongrant")</f>
        <v>913181</v>
      </c>
      <c r="AJ72" s="101">
        <f>'State and Local P&amp;L (detailed)'!$N$48</f>
        <v>14220076</v>
      </c>
      <c r="AK72" s="101">
        <f>SUM(AI72:AJ72)</f>
        <v>15133257</v>
      </c>
      <c r="AL72" s="94">
        <f>SUMIFS('Federal Data'!Y2:Y501,'Federal Data'!$H2:$H501,"Railroad Transportation",'Federal Data'!$D2:$D501,"Nongrant")</f>
        <v>1009363</v>
      </c>
      <c r="AM72" s="101">
        <f>'State and Local P&amp;L (detailed)'!$O$48</f>
        <v>15596186</v>
      </c>
      <c r="AN72" s="101">
        <f>SUM(AL72:AM72)</f>
        <v>16605549</v>
      </c>
      <c r="AO72" s="94">
        <f>SUMIFS('Federal Data'!Z2:Z501,'Federal Data'!$H2:$H501,"Railroad Transportation",'Federal Data'!$D2:$D501,"Nongrant")</f>
        <v>430169</v>
      </c>
      <c r="AP72" s="101">
        <f>'State and Local P&amp;L (detailed)'!$P$48</f>
        <v>14933696</v>
      </c>
      <c r="AQ72" s="101">
        <f>SUM(AO72:AP72)</f>
        <v>15363865</v>
      </c>
      <c r="AR72" s="94">
        <f>SUMIFS('Federal Data'!AA2:AA501,'Federal Data'!$H2:$H501,"Railroad Transportation",'Federal Data'!$D2:$D501,"Nongrant")</f>
        <v>1313469</v>
      </c>
      <c r="AS72" s="101">
        <f>'State and Local P&amp;L (detailed)'!$Q$48</f>
        <v>17442558</v>
      </c>
      <c r="AT72" s="101">
        <f>SUM(AR72:AS72)</f>
        <v>18756027</v>
      </c>
      <c r="AU72" s="94">
        <f>SUMIFS('Federal Data'!AB2:AB501,'Federal Data'!$H2:$H501,"Railroad Transportation",'Federal Data'!$D2:$D501,"Nongrant")</f>
        <v>1134000</v>
      </c>
      <c r="AV72" s="101">
        <f>'State and Local P&amp;L (detailed)'!$R$48</f>
        <v>18662195</v>
      </c>
      <c r="AW72" s="101">
        <f>SUM(AU72:AV72)</f>
        <v>19796195</v>
      </c>
      <c r="AX72" s="94">
        <f>SUMIFS('Federal Data'!AC2:AC501,'Federal Data'!$H2:$H501,"Railroad Transportation",'Federal Data'!$D2:$D501,"Nongrant")</f>
        <v>1081000</v>
      </c>
      <c r="AY72" s="101">
        <f>'State and Local P&amp;L (detailed)'!$S$48</f>
        <v>18434491</v>
      </c>
      <c r="AZ72" s="101">
        <f>SUM(AX72:AY72)</f>
        <v>19515491</v>
      </c>
      <c r="BA72" s="94">
        <f>SUMIFS('Federal Data'!AD2:AD501,'Federal Data'!$H2:$H501,"Railroad Transportation",'Federal Data'!$D2:$D501,"Nongrant")</f>
        <v>1190000</v>
      </c>
      <c r="BB72" s="101">
        <f>'State and Local P&amp;L (detailed)'!$T$48</f>
        <v>18391187</v>
      </c>
      <c r="BC72" s="101">
        <f>SUM(BA72:BB72)</f>
        <v>19581187</v>
      </c>
      <c r="BD72" s="94">
        <f>SUMIFS('Federal Data'!AE2:AE501,'Federal Data'!$H2:$H501,"Railroad Transportation",'Federal Data'!$D2:$D501,"Nongrant")</f>
        <v>1117000</v>
      </c>
      <c r="BE72" s="101">
        <f>'State and Local P&amp;L (detailed)'!$U$48</f>
        <v>19319130</v>
      </c>
      <c r="BF72" s="101">
        <f>SUM(BD72:BE72)</f>
        <v>20436130</v>
      </c>
      <c r="BG72" s="94">
        <f>SUMIFS('Federal Data'!AF2:AF501,'Federal Data'!$H2:$H501,"Railroad Transportation",'Federal Data'!$D2:$D501,"Nongrant")</f>
        <v>473000</v>
      </c>
      <c r="BH72" s="101">
        <f>'State and Local P&amp;L (detailed)'!$V$48</f>
        <v>20076522</v>
      </c>
      <c r="BI72" s="101">
        <f>SUM(BG72:BH72)</f>
        <v>20549522</v>
      </c>
      <c r="BJ72" s="94">
        <f>SUMIFS('Federal Data'!AG2:AG501,'Federal Data'!$H2:$H501,"Railroad Transportation",'Federal Data'!$D2:$D501,"Nongrant")</f>
        <v>758000</v>
      </c>
      <c r="BK72" s="101">
        <f>'State and Local P&amp;L (detailed)'!$W$48</f>
        <v>22917774</v>
      </c>
      <c r="BL72" s="101">
        <f>SUM(BJ72:BK72)</f>
        <v>23675774</v>
      </c>
      <c r="BM72" s="94">
        <f>SUMIFS('Federal Data'!AH2:AH501,'Federal Data'!$H2:$H501,"Railroad Transportation",'Federal Data'!$D2:$D501,"Nongrant")</f>
        <v>784000</v>
      </c>
      <c r="BN72" s="101">
        <f>'State and Local P&amp;L (detailed)'!$X$48</f>
        <v>23392012</v>
      </c>
      <c r="BO72" s="101">
        <f>SUM(BM72:BN72)</f>
        <v>24176012</v>
      </c>
      <c r="BP72" s="94">
        <f>SUMIFS('Federal Data'!AI2:AI501,'Federal Data'!$H2:$H501,"Railroad Transportation",'Federal Data'!$D2:$D501,"Nongrant")</f>
        <v>1500000</v>
      </c>
      <c r="BQ72" s="101">
        <f>'State and Local P&amp;L (detailed)'!$Y$48</f>
        <v>27573942</v>
      </c>
      <c r="BR72" s="101">
        <f>SUM(BP72:BQ72)</f>
        <v>29073942</v>
      </c>
      <c r="BS72" s="94">
        <f>SUMIFS('Federal Data'!AJ2:AJ501,'Federal Data'!$H2:$H501,"Railroad Transportation",'Federal Data'!$D2:$D501,"Nongrant")</f>
        <v>-1320000</v>
      </c>
      <c r="BT72" s="101">
        <f>'State and Local P&amp;L (detailed)'!$Z$48</f>
        <v>31570462</v>
      </c>
      <c r="BU72" s="101">
        <f>SUM(BS72:BT72)</f>
        <v>30250462</v>
      </c>
      <c r="BV72" s="94">
        <f>SUMIFS('Federal Data'!AK2:AK501,'Federal Data'!$H2:$H501,"Railroad Transportation",'Federal Data'!$D2:$D501,"Nongrant")</f>
        <v>1745000</v>
      </c>
      <c r="BW72" s="101">
        <f>'State and Local P&amp;L (detailed)'!$AA$48</f>
        <v>33267571</v>
      </c>
      <c r="BX72" s="101">
        <f>SUM(BV72:BW72)</f>
        <v>35012571</v>
      </c>
      <c r="BY72" s="94">
        <f>SUMIFS('Federal Data'!AL2:AL501,'Federal Data'!$H2:$H501,"Railroad Transportation",'Federal Data'!$D2:$D501,"Nongrant")</f>
        <v>1651000</v>
      </c>
      <c r="BZ72" s="101">
        <f>'State and Local P&amp;L (detailed)'!$AB$48</f>
        <v>32589976</v>
      </c>
      <c r="CA72" s="101">
        <f>SUM(BY72:BZ72)</f>
        <v>34240976</v>
      </c>
      <c r="CB72" s="94">
        <f>SUMIFS('Federal Data'!AM2:AM501,'Federal Data'!$H2:$H501,"Railroad Transportation",'Federal Data'!$D2:$D501,"Nongrant")</f>
        <v>1640000</v>
      </c>
      <c r="CC72" s="101">
        <f>'State and Local P&amp;L (detailed)'!$AC$48</f>
        <v>33726304</v>
      </c>
      <c r="CD72" s="101">
        <f>SUM(CB72:CC72)</f>
        <v>35366304</v>
      </c>
      <c r="CE72" s="94">
        <f>SUMIFS('Federal Data'!AN2:AN501,'Federal Data'!$H2:$H501,"Railroad Transportation",'Federal Data'!$D2:$D501,"Nongrant")</f>
        <v>1758000</v>
      </c>
      <c r="CF72" s="101">
        <f>'State and Local P&amp;L (detailed)'!$AD$48</f>
        <v>34861299</v>
      </c>
      <c r="CG72" s="101">
        <f>SUM(CE72:CF72)</f>
        <v>36619299</v>
      </c>
      <c r="CH72" s="94">
        <f>SUMIFS('Federal Data'!AO2:AO501,'Federal Data'!$H2:$H501,"Railroad Transportation",'Federal Data'!$D2:$D501,"Nongrant")</f>
        <v>1761000</v>
      </c>
      <c r="CI72" s="101">
        <f>'State and Local P&amp;L (detailed)'!$AE$48</f>
        <v>37914967</v>
      </c>
      <c r="CJ72" s="101">
        <f>SUM(CH72:CI72)</f>
        <v>39675967</v>
      </c>
      <c r="CK72" s="94">
        <f>SUMIFS('Federal Data'!AP2:AP501,'Federal Data'!$H2:$H501,"Railroad Transportation",'Federal Data'!$D2:$D501,"Nongrant")</f>
        <v>2127000</v>
      </c>
      <c r="CL72" s="101">
        <f>'State and Local P&amp;L (detailed)'!$AF$48</f>
        <v>43714726</v>
      </c>
      <c r="CM72" s="101">
        <f>SUM(CK72:CL72)</f>
        <v>45841726</v>
      </c>
      <c r="CN72" s="94">
        <f>SUMIFS('Federal Data'!AQ2:AQ501,'Federal Data'!$H2:$H501,"Railroad Transportation",'Federal Data'!$D2:$D501,"Nongrant")</f>
        <v>2911000</v>
      </c>
      <c r="CO72" s="101">
        <f>'State and Local P&amp;L (detailed)'!$AG$48</f>
        <v>44999082</v>
      </c>
      <c r="CP72" s="101">
        <f>SUM(CN72:CO72)</f>
        <v>47910082</v>
      </c>
      <c r="CQ72" s="94">
        <f>SUMIFS('Federal Data'!AR2:AR501,'Federal Data'!$H2:$H501,"Railroad Transportation",'Federal Data'!$D2:$D501,"Nongrant")</f>
        <v>2460000</v>
      </c>
      <c r="CR72" s="101">
        <f>'State and Local P&amp;L (detailed)'!$AH$48</f>
        <v>44633892</v>
      </c>
      <c r="CS72" s="101">
        <f>SUM(CQ72:CR72)</f>
        <v>47093892</v>
      </c>
      <c r="CT72" s="94">
        <f>SUMIFS('Federal Data'!AS2:AS501,'Federal Data'!$H2:$H501,"Railroad Transportation",'Federal Data'!$D2:$D501,"Nongrant")</f>
        <v>2374000</v>
      </c>
      <c r="CU72" s="101">
        <f>'State and Local P&amp;L (detailed)'!$AI$48</f>
        <v>46035124</v>
      </c>
      <c r="CV72" s="101">
        <f>SUM(CT72:CU72)</f>
        <v>48409124</v>
      </c>
      <c r="CW72" s="94">
        <f>SUMIFS('Federal Data'!AT2:AT501,'Federal Data'!$H2:$H501,"Railroad Transportation",'Federal Data'!$D2:$D501,"Nongrant")</f>
        <v>2026000</v>
      </c>
      <c r="CX72" s="101">
        <f>'State and Local P&amp;L (detailed)'!$AJ$48</f>
        <v>47653410</v>
      </c>
      <c r="CY72" s="101">
        <f>SUM(CW72:CX72)</f>
        <v>49679410</v>
      </c>
      <c r="CZ72" s="94">
        <f>SUMIFS('Federal Data'!AU2:AU501,'Federal Data'!$H2:$H501,"Railroad Transportation",'Federal Data'!$D2:$D501,"Nongrant")</f>
        <v>555000</v>
      </c>
      <c r="DA72" s="101">
        <f>'State and Local P&amp;L (detailed)'!$AK$48</f>
        <v>51128629</v>
      </c>
      <c r="DB72" s="101">
        <f>SUM(CZ72:DA72)</f>
        <v>51683629</v>
      </c>
      <c r="DC72" s="37">
        <f>SUMIFS('Federal Data'!AV2:AV501,'Federal Data'!$H2:$H501,"Railroad Transportation",'Federal Data'!$D2:$D501,"Nongrant")</f>
        <v>546000</v>
      </c>
      <c r="DD72" s="85">
        <f>'State and Local P&amp;L (detailed)'!$AL$48</f>
        <v>0</v>
      </c>
      <c r="DE72" s="85">
        <f>SUM(DC72:DD72)</f>
        <v>546000</v>
      </c>
    </row>
    <row r="73" spans="1:109" outlineLevel="3">
      <c r="A73" s="31" t="s">
        <v>97</v>
      </c>
      <c r="B73" s="94">
        <f>SUMIFS('Federal Data'!M2:M501,'Federal Data'!$H2:$H501,"Highway &amp; Railroad Transportation Unallocable",'Federal Data'!$D2:$D501,"Nongrant")</f>
        <v>0</v>
      </c>
      <c r="C73" s="101" t="s">
        <v>487</v>
      </c>
      <c r="D73" s="101">
        <f>SUM(B73:C73)</f>
        <v>0</v>
      </c>
      <c r="E73" s="94">
        <f>SUMIFS('Federal Data'!N2:N501,'Federal Data'!$H2:$H501,"Highway &amp; Railroad Transportation Unallocable",'Federal Data'!$D2:$D501,"Nongrant")</f>
        <v>0</v>
      </c>
      <c r="F73" s="101" t="s">
        <v>487</v>
      </c>
      <c r="G73" s="101">
        <f>SUM(E73:F73)</f>
        <v>0</v>
      </c>
      <c r="H73" s="94">
        <f>SUMIFS('Federal Data'!O2:O501,'Federal Data'!$H2:$H501,"Highway &amp; Railroad Transportation Unallocable",'Federal Data'!$D2:$D501,"Nongrant")</f>
        <v>0</v>
      </c>
      <c r="I73" s="101" t="s">
        <v>487</v>
      </c>
      <c r="J73" s="101">
        <f>SUM(H73:I73)</f>
        <v>0</v>
      </c>
      <c r="K73" s="94">
        <f>SUMIFS('Federal Data'!P2:P501,'Federal Data'!$H2:$H501,"Highway &amp; Railroad Transportation Unallocable",'Federal Data'!$D2:$D501,"Nongrant")</f>
        <v>0</v>
      </c>
      <c r="L73" s="101" t="s">
        <v>487</v>
      </c>
      <c r="M73" s="101">
        <f>SUM(K73:L73)</f>
        <v>0</v>
      </c>
      <c r="N73" s="94">
        <f>SUMIFS('Federal Data'!Q2:Q501,'Federal Data'!$H2:$H501,"Highway &amp; Railroad Transportation Unallocable",'Federal Data'!$D2:$D501,"Nongrant")</f>
        <v>0</v>
      </c>
      <c r="O73" s="101" t="s">
        <v>487</v>
      </c>
      <c r="P73" s="101">
        <f>SUM(N73:O73)</f>
        <v>0</v>
      </c>
      <c r="Q73" s="94">
        <f>SUMIFS('Federal Data'!R2:R501,'Federal Data'!$H2:$H501,"Highway &amp; Railroad Transportation Unallocable",'Federal Data'!$D2:$D501,"Nongrant")</f>
        <v>0</v>
      </c>
      <c r="R73" s="101" t="s">
        <v>487</v>
      </c>
      <c r="S73" s="101">
        <f>SUM(Q73:R73)</f>
        <v>0</v>
      </c>
      <c r="T73" s="94">
        <f>SUMIFS('Federal Data'!S2:S501,'Federal Data'!$H2:$H501,"Highway &amp; Railroad Transportation Unallocable",'Federal Data'!$D2:$D501,"Nongrant")</f>
        <v>0</v>
      </c>
      <c r="U73" s="101" t="s">
        <v>487</v>
      </c>
      <c r="V73" s="101">
        <f>SUM(T73:U73)</f>
        <v>0</v>
      </c>
      <c r="W73" s="94">
        <f>SUMIFS('Federal Data'!T2:T501,'Federal Data'!$H2:$H501,"Highway &amp; Railroad Transportation Unallocable",'Federal Data'!$D2:$D501,"Nongrant")</f>
        <v>0</v>
      </c>
      <c r="X73" s="101" t="s">
        <v>487</v>
      </c>
      <c r="Y73" s="101">
        <f>SUM(W73:X73)</f>
        <v>0</v>
      </c>
      <c r="Z73" s="94">
        <f>SUMIFS('Federal Data'!U2:U501,'Federal Data'!$H2:$H501,"Highway &amp; Railroad Transportation Unallocable",'Federal Data'!$D2:$D501,"Nongrant")</f>
        <v>0</v>
      </c>
      <c r="AA73" s="101" t="s">
        <v>487</v>
      </c>
      <c r="AB73" s="101">
        <f>SUM(Z73:AA73)</f>
        <v>0</v>
      </c>
      <c r="AC73" s="94">
        <f>SUMIFS('Federal Data'!V2:V501,'Federal Data'!$H2:$H501,"Highway &amp; Railroad Transportation Unallocable",'Federal Data'!$D2:$D501,"Nongrant")</f>
        <v>0</v>
      </c>
      <c r="AD73" s="101" t="s">
        <v>487</v>
      </c>
      <c r="AE73" s="101">
        <f>SUM(AC73:AD73)</f>
        <v>0</v>
      </c>
      <c r="AF73" s="94">
        <f>SUMIFS('Federal Data'!W2:W501,'Federal Data'!$H2:$H501,"Highway &amp; Railroad Transportation Unallocable",'Federal Data'!$D2:$D501,"Nongrant")</f>
        <v>0</v>
      </c>
      <c r="AG73" s="101" t="s">
        <v>487</v>
      </c>
      <c r="AH73" s="101">
        <f>SUM(AF73:AG73)</f>
        <v>0</v>
      </c>
      <c r="AI73" s="94">
        <f>SUMIFS('Federal Data'!X2:X501,'Federal Data'!$H2:$H501,"Highway &amp; Railroad Transportation Unallocable",'Federal Data'!$D2:$D501,"Nongrant")</f>
        <v>0</v>
      </c>
      <c r="AJ73" s="101" t="s">
        <v>487</v>
      </c>
      <c r="AK73" s="101">
        <f>SUM(AI73:AJ73)</f>
        <v>0</v>
      </c>
      <c r="AL73" s="94">
        <f>SUMIFS('Federal Data'!Y2:Y501,'Federal Data'!$H2:$H501,"Highway &amp; Railroad Transportation Unallocable",'Federal Data'!$D2:$D501,"Nongrant")</f>
        <v>0</v>
      </c>
      <c r="AM73" s="101" t="s">
        <v>487</v>
      </c>
      <c r="AN73" s="101">
        <f>SUM(AL73:AM73)</f>
        <v>0</v>
      </c>
      <c r="AO73" s="94">
        <f>SUMIFS('Federal Data'!Z2:Z501,'Federal Data'!$H2:$H501,"Highway &amp; Railroad Transportation Unallocable",'Federal Data'!$D2:$D501,"Nongrant")</f>
        <v>0</v>
      </c>
      <c r="AP73" s="101" t="s">
        <v>487</v>
      </c>
      <c r="AQ73" s="101">
        <f>SUM(AO73:AP73)</f>
        <v>0</v>
      </c>
      <c r="AR73" s="94">
        <f>SUMIFS('Federal Data'!AA2:AA501,'Federal Data'!$H2:$H501,"Highway &amp; Railroad Transportation Unallocable",'Federal Data'!$D2:$D501,"Nongrant")</f>
        <v>0</v>
      </c>
      <c r="AS73" s="101" t="s">
        <v>487</v>
      </c>
      <c r="AT73" s="101">
        <f>SUM(AR73:AS73)</f>
        <v>0</v>
      </c>
      <c r="AU73" s="94">
        <f>SUMIFS('Federal Data'!AB2:AB501,'Federal Data'!$H2:$H501,"Highway &amp; Railroad Transportation Unallocable",'Federal Data'!$D2:$D501,"Nongrant")</f>
        <v>0</v>
      </c>
      <c r="AV73" s="101" t="s">
        <v>487</v>
      </c>
      <c r="AW73" s="101">
        <f>SUM(AU73:AV73)</f>
        <v>0</v>
      </c>
      <c r="AX73" s="94">
        <f>SUMIFS('Federal Data'!AC2:AC501,'Federal Data'!$H2:$H501,"Highway &amp; Railroad Transportation Unallocable",'Federal Data'!$D2:$D501,"Nongrant")</f>
        <v>0</v>
      </c>
      <c r="AY73" s="101" t="s">
        <v>487</v>
      </c>
      <c r="AZ73" s="101">
        <f>SUM(AX73:AY73)</f>
        <v>0</v>
      </c>
      <c r="BA73" s="94">
        <f>SUMIFS('Federal Data'!AD2:AD501,'Federal Data'!$H2:$H501,"Highway &amp; Railroad Transportation Unallocable",'Federal Data'!$D2:$D501,"Nongrant")</f>
        <v>0</v>
      </c>
      <c r="BB73" s="101" t="s">
        <v>487</v>
      </c>
      <c r="BC73" s="101">
        <f>SUM(BA73:BB73)</f>
        <v>0</v>
      </c>
      <c r="BD73" s="94">
        <f>SUMIFS('Federal Data'!AE2:AE501,'Federal Data'!$H2:$H501,"Highway &amp; Railroad Transportation Unallocable",'Federal Data'!$D2:$D501,"Nongrant")</f>
        <v>0</v>
      </c>
      <c r="BE73" s="101" t="s">
        <v>487</v>
      </c>
      <c r="BF73" s="101">
        <f>SUM(BD73:BE73)</f>
        <v>0</v>
      </c>
      <c r="BG73" s="94">
        <f>SUMIFS('Federal Data'!AF2:AF501,'Federal Data'!$H2:$H501,"Highway &amp; Railroad Transportation Unallocable",'Federal Data'!$D2:$D501,"Nongrant")</f>
        <v>0</v>
      </c>
      <c r="BH73" s="101" t="s">
        <v>487</v>
      </c>
      <c r="BI73" s="101">
        <f>SUM(BG73:BH73)</f>
        <v>0</v>
      </c>
      <c r="BJ73" s="94">
        <f>SUMIFS('Federal Data'!AG2:AG501,'Federal Data'!$H2:$H501,"Highway &amp; Railroad Transportation Unallocable",'Federal Data'!$D2:$D501,"Nongrant")</f>
        <v>0</v>
      </c>
      <c r="BK73" s="101" t="s">
        <v>487</v>
      </c>
      <c r="BL73" s="101">
        <f>SUM(BJ73:BK73)</f>
        <v>0</v>
      </c>
      <c r="BM73" s="94">
        <f>SUMIFS('Federal Data'!AH2:AH501,'Federal Data'!$H2:$H501,"Highway &amp; Railroad Transportation Unallocable",'Federal Data'!$D2:$D501,"Nongrant")</f>
        <v>0</v>
      </c>
      <c r="BN73" s="101" t="s">
        <v>487</v>
      </c>
      <c r="BO73" s="101">
        <f>SUM(BM73:BN73)</f>
        <v>0</v>
      </c>
      <c r="BP73" s="94">
        <f>SUMIFS('Federal Data'!AI2:AI501,'Federal Data'!$H2:$H501,"Highway &amp; Railroad Transportation Unallocable",'Federal Data'!$D2:$D501,"Nongrant")</f>
        <v>0</v>
      </c>
      <c r="BQ73" s="101" t="s">
        <v>487</v>
      </c>
      <c r="BR73" s="101">
        <f>SUM(BP73:BQ73)</f>
        <v>0</v>
      </c>
      <c r="BS73" s="94">
        <f>SUMIFS('Federal Data'!AJ2:AJ501,'Federal Data'!$H2:$H501,"Highway &amp; Railroad Transportation Unallocable",'Federal Data'!$D2:$D501,"Nongrant")</f>
        <v>0</v>
      </c>
      <c r="BT73" s="101" t="s">
        <v>487</v>
      </c>
      <c r="BU73" s="101">
        <f>SUM(BS73:BT73)</f>
        <v>0</v>
      </c>
      <c r="BV73" s="94">
        <f>SUMIFS('Federal Data'!AK2:AK501,'Federal Data'!$H2:$H501,"Highway &amp; Railroad Transportation Unallocable",'Federal Data'!$D2:$D501,"Nongrant")</f>
        <v>0</v>
      </c>
      <c r="BW73" s="101" t="s">
        <v>487</v>
      </c>
      <c r="BX73" s="101">
        <f>SUM(BV73:BW73)</f>
        <v>0</v>
      </c>
      <c r="BY73" s="94">
        <f>SUMIFS('Federal Data'!AL2:AL501,'Federal Data'!$H2:$H501,"Highway &amp; Railroad Transportation Unallocable",'Federal Data'!$D2:$D501,"Nongrant")</f>
        <v>0</v>
      </c>
      <c r="BZ73" s="101" t="s">
        <v>487</v>
      </c>
      <c r="CA73" s="101">
        <f>SUM(BY73:BZ73)</f>
        <v>0</v>
      </c>
      <c r="CB73" s="94">
        <f>SUMIFS('Federal Data'!AM2:AM501,'Federal Data'!$H2:$H501,"Highway &amp; Railroad Transportation Unallocable",'Federal Data'!$D2:$D501,"Nongrant")</f>
        <v>-2000</v>
      </c>
      <c r="CC73" s="101" t="s">
        <v>487</v>
      </c>
      <c r="CD73" s="101">
        <f>SUM(CB73:CC73)</f>
        <v>-2000</v>
      </c>
      <c r="CE73" s="94">
        <f>SUMIFS('Federal Data'!AN2:AN501,'Federal Data'!$H2:$H501,"Highway &amp; Railroad Transportation Unallocable",'Federal Data'!$D2:$D501,"Nongrant")</f>
        <v>0</v>
      </c>
      <c r="CF73" s="101" t="s">
        <v>487</v>
      </c>
      <c r="CG73" s="101">
        <f>SUM(CE73:CF73)</f>
        <v>0</v>
      </c>
      <c r="CH73" s="94">
        <f>SUMIFS('Federal Data'!AO2:AO501,'Federal Data'!$H2:$H501,"Highway &amp; Railroad Transportation Unallocable",'Federal Data'!$D2:$D501,"Nongrant")</f>
        <v>0</v>
      </c>
      <c r="CI73" s="101" t="s">
        <v>487</v>
      </c>
      <c r="CJ73" s="101">
        <f>SUM(CH73:CI73)</f>
        <v>0</v>
      </c>
      <c r="CK73" s="94">
        <f>SUMIFS('Federal Data'!AP2:AP501,'Federal Data'!$H2:$H501,"Highway &amp; Railroad Transportation Unallocable",'Federal Data'!$D2:$D501,"Nongrant")</f>
        <v>-73000</v>
      </c>
      <c r="CL73" s="101" t="s">
        <v>487</v>
      </c>
      <c r="CM73" s="101">
        <f>SUM(CK73:CL73)</f>
        <v>-73000</v>
      </c>
      <c r="CN73" s="94">
        <f>SUMIFS('Federal Data'!AQ2:AQ501,'Federal Data'!$H2:$H501,"Highway &amp; Railroad Transportation Unallocable",'Federal Data'!$D2:$D501,"Nongrant")</f>
        <v>10000</v>
      </c>
      <c r="CO73" s="101" t="s">
        <v>487</v>
      </c>
      <c r="CP73" s="101">
        <f>SUM(CN73:CO73)</f>
        <v>10000</v>
      </c>
      <c r="CQ73" s="94">
        <f>SUMIFS('Federal Data'!AR2:AR501,'Federal Data'!$H2:$H501,"Highway &amp; Railroad Transportation Unallocable",'Federal Data'!$D2:$D501,"Nongrant")</f>
        <v>31000</v>
      </c>
      <c r="CR73" s="101" t="s">
        <v>487</v>
      </c>
      <c r="CS73" s="101">
        <f>SUM(CQ73:CR73)</f>
        <v>31000</v>
      </c>
      <c r="CT73" s="94">
        <f>SUMIFS('Federal Data'!AS2:AS501,'Federal Data'!$H2:$H501,"Highway &amp; Railroad Transportation Unallocable",'Federal Data'!$D2:$D501,"Nongrant")</f>
        <v>546000</v>
      </c>
      <c r="CU73" s="101" t="s">
        <v>487</v>
      </c>
      <c r="CV73" s="101">
        <f>SUM(CT73:CU73)</f>
        <v>546000</v>
      </c>
      <c r="CW73" s="94">
        <f>SUMIFS('Federal Data'!AT2:AT501,'Federal Data'!$H2:$H501,"Highway &amp; Railroad Transportation Unallocable",'Federal Data'!$D2:$D501,"Nongrant")</f>
        <v>281000</v>
      </c>
      <c r="CX73" s="101" t="s">
        <v>487</v>
      </c>
      <c r="CY73" s="101">
        <f>SUM(CW73:CX73)</f>
        <v>281000</v>
      </c>
      <c r="CZ73" s="94">
        <f>SUMIFS('Federal Data'!AU2:AU501,'Federal Data'!$H2:$H501,"Highway &amp; Railroad Transportation Unallocable",'Federal Data'!$D2:$D501,"Nongrant")</f>
        <v>-177000</v>
      </c>
      <c r="DA73" s="101" t="s">
        <v>487</v>
      </c>
      <c r="DB73" s="101">
        <f>SUM(CZ73:DA73)</f>
        <v>-177000</v>
      </c>
      <c r="DC73" s="37">
        <f>SUMIFS('Federal Data'!AV2:AV501,'Federal Data'!$H2:$H501,"Highway &amp; Railroad Transportation Unallocable",'Federal Data'!$D2:$D501,"Nongrant")</f>
        <v>-92000</v>
      </c>
      <c r="DD73" s="85" t="s">
        <v>487</v>
      </c>
      <c r="DE73" s="85">
        <f>SUM(DC73:DD73)</f>
        <v>-92000</v>
      </c>
    </row>
    <row r="74" spans="1:109" outlineLevel="3">
      <c r="A74" s="31" t="s">
        <v>99</v>
      </c>
      <c r="B74" s="94">
        <f>SUMIFS('Federal Data'!M2:M501,'Federal Data'!$H2:$H501,"Water Transportation",'Federal Data'!$D2:$D501,"Nongrant")</f>
        <v>2226374</v>
      </c>
      <c r="C74" s="101">
        <f>'State and Local P&amp;L (detailed)'!$C$49</f>
        <v>347535</v>
      </c>
      <c r="D74" s="101">
        <f>SUM(B74:C74)</f>
        <v>2573909</v>
      </c>
      <c r="E74" s="94">
        <f>SUMIFS('Federal Data'!N2:N501,'Federal Data'!$H2:$H501,"Water Transportation",'Federal Data'!$D2:$D501,"Nongrant")</f>
        <v>2380553</v>
      </c>
      <c r="F74" s="101">
        <f>'State and Local P&amp;L (detailed)'!$D$49</f>
        <v>604402</v>
      </c>
      <c r="G74" s="101">
        <f>SUM(E74:F74)</f>
        <v>2984955</v>
      </c>
      <c r="H74" s="94">
        <f>SUMIFS('Federal Data'!O2:O501,'Federal Data'!$H2:$H501,"Water Transportation",'Federal Data'!$D2:$D501,"Nongrant")</f>
        <v>2687267</v>
      </c>
      <c r="I74" s="101">
        <f>'State and Local P&amp;L (detailed)'!$E$49</f>
        <v>407481</v>
      </c>
      <c r="J74" s="101">
        <f>SUM(H74:I74)</f>
        <v>3094748</v>
      </c>
      <c r="K74" s="94">
        <f>SUMIFS('Federal Data'!P2:P501,'Federal Data'!$H2:$H501,"Water Transportation",'Federal Data'!$D2:$D501,"Nongrant")</f>
        <v>2963728</v>
      </c>
      <c r="L74" s="101">
        <f>'State and Local P&amp;L (detailed)'!$F$49</f>
        <v>471581</v>
      </c>
      <c r="M74" s="101">
        <f>SUM(K74:L74)</f>
        <v>3435309</v>
      </c>
      <c r="N74" s="94">
        <f>SUMIFS('Federal Data'!Q2:Q501,'Federal Data'!$H2:$H501,"Water Transportation",'Federal Data'!$D2:$D501,"Nongrant")</f>
        <v>2999653</v>
      </c>
      <c r="O74" s="101">
        <f>'State and Local P&amp;L (detailed)'!$G$49</f>
        <v>256442</v>
      </c>
      <c r="P74" s="101">
        <f>SUM(N74:O74)</f>
        <v>3256095</v>
      </c>
      <c r="Q74" s="94">
        <f>SUMIFS('Federal Data'!R2:R501,'Federal Data'!$H2:$H501,"Water Transportation",'Federal Data'!$D2:$D501,"Nongrant")</f>
        <v>3188920</v>
      </c>
      <c r="R74" s="101">
        <f>'State and Local P&amp;L (detailed)'!$H$49</f>
        <v>351481</v>
      </c>
      <c r="S74" s="101">
        <f>SUM(Q74:R74)</f>
        <v>3540401</v>
      </c>
      <c r="T74" s="94">
        <f>SUMIFS('Federal Data'!S2:S501,'Federal Data'!$H2:$H501,"Water Transportation",'Federal Data'!$D2:$D501,"Nongrant")</f>
        <v>3941545</v>
      </c>
      <c r="U74" s="101">
        <f>'State and Local P&amp;L (detailed)'!$I$49</f>
        <v>495520</v>
      </c>
      <c r="V74" s="101">
        <f>SUM(T74:U74)</f>
        <v>4437065</v>
      </c>
      <c r="W74" s="94">
        <f>SUMIFS('Federal Data'!T2:T501,'Federal Data'!$H2:$H501,"Water Transportation",'Federal Data'!$D2:$D501,"Nongrant")</f>
        <v>3439007</v>
      </c>
      <c r="X74" s="101">
        <f>'State and Local P&amp;L (detailed)'!$J$49</f>
        <v>438792</v>
      </c>
      <c r="Y74" s="101">
        <f>SUM(W74:X74)</f>
        <v>3877799</v>
      </c>
      <c r="Z74" s="94">
        <f>SUMIFS('Federal Data'!U2:U501,'Federal Data'!$H2:$H501,"Water Transportation",'Federal Data'!$D2:$D501,"Nongrant")</f>
        <v>3080313</v>
      </c>
      <c r="AA74" s="101">
        <f>'State and Local P&amp;L (detailed)'!$K$49</f>
        <v>427926</v>
      </c>
      <c r="AB74" s="101">
        <f>SUM(Z74:AA74)</f>
        <v>3508239</v>
      </c>
      <c r="AC74" s="94">
        <f>SUMIFS('Federal Data'!V2:V501,'Federal Data'!$H2:$H501,"Water Transportation",'Federal Data'!$D2:$D501,"Nongrant")</f>
        <v>2888700</v>
      </c>
      <c r="AD74" s="101">
        <f>'State and Local P&amp;L (detailed)'!$L$49</f>
        <v>507181</v>
      </c>
      <c r="AE74" s="101">
        <f>SUM(AC74:AD74)</f>
        <v>3395881</v>
      </c>
      <c r="AF74" s="94">
        <f>SUMIFS('Federal Data'!W2:W501,'Federal Data'!$H2:$H501,"Water Transportation",'Federal Data'!$D2:$D501,"Nongrant")</f>
        <v>3125473</v>
      </c>
      <c r="AG74" s="101">
        <f>'State and Local P&amp;L (detailed)'!$M$49</f>
        <v>480765</v>
      </c>
      <c r="AH74" s="101">
        <f>SUM(AF74:AG74)</f>
        <v>3606238</v>
      </c>
      <c r="AI74" s="94">
        <f>SUMIFS('Federal Data'!X2:X501,'Federal Data'!$H2:$H501,"Water Transportation",'Federal Data'!$D2:$D501,"Nongrant")</f>
        <v>3112732</v>
      </c>
      <c r="AJ74" s="101">
        <f>'State and Local P&amp;L (detailed)'!$N$49</f>
        <v>513861</v>
      </c>
      <c r="AK74" s="101">
        <f>SUM(AI74:AJ74)</f>
        <v>3626593</v>
      </c>
      <c r="AL74" s="94">
        <f>SUMIFS('Federal Data'!Y2:Y501,'Federal Data'!$H2:$H501,"Water Transportation",'Federal Data'!$D2:$D501,"Nongrant")</f>
        <v>3392489</v>
      </c>
      <c r="AM74" s="101">
        <f>'State and Local P&amp;L (detailed)'!$O$49</f>
        <v>267830</v>
      </c>
      <c r="AN74" s="101">
        <f>SUM(AL74:AM74)</f>
        <v>3660319</v>
      </c>
      <c r="AO74" s="94">
        <f>SUMIFS('Federal Data'!Z2:Z501,'Federal Data'!$H2:$H501,"Water Transportation",'Federal Data'!$D2:$D501,"Nongrant")</f>
        <v>3385221</v>
      </c>
      <c r="AP74" s="101">
        <f>'State and Local P&amp;L (detailed)'!$P$49</f>
        <v>429550</v>
      </c>
      <c r="AQ74" s="101">
        <f>SUM(AO74:AP74)</f>
        <v>3814771</v>
      </c>
      <c r="AR74" s="94">
        <f>SUMIFS('Federal Data'!AA2:AA501,'Federal Data'!$H2:$H501,"Water Transportation",'Federal Data'!$D2:$D501,"Nongrant")</f>
        <v>3607520</v>
      </c>
      <c r="AS74" s="101">
        <f>'State and Local P&amp;L (detailed)'!$Q$49</f>
        <v>843159</v>
      </c>
      <c r="AT74" s="101">
        <f>SUM(AR74:AS74)</f>
        <v>4450679</v>
      </c>
      <c r="AU74" s="94">
        <f>SUMIFS('Federal Data'!AB2:AB501,'Federal Data'!$H2:$H501,"Water Transportation",'Federal Data'!$D2:$D501,"Nongrant")</f>
        <v>3669000</v>
      </c>
      <c r="AV74" s="101">
        <f>'State and Local P&amp;L (detailed)'!$R$49</f>
        <v>386116</v>
      </c>
      <c r="AW74" s="101">
        <f>SUM(AU74:AV74)</f>
        <v>4055116</v>
      </c>
      <c r="AX74" s="94">
        <f>SUMIFS('Federal Data'!AC2:AC501,'Federal Data'!$H2:$H501,"Water Transportation",'Federal Data'!$D2:$D501,"Nongrant")</f>
        <v>3404000</v>
      </c>
      <c r="AY74" s="101">
        <f>'State and Local P&amp;L (detailed)'!$S$49</f>
        <v>446391</v>
      </c>
      <c r="AZ74" s="101">
        <f>SUM(AX74:AY74)</f>
        <v>3850391</v>
      </c>
      <c r="BA74" s="94">
        <f>SUMIFS('Federal Data'!AD2:AD501,'Federal Data'!$H2:$H501,"Water Transportation",'Federal Data'!$D2:$D501,"Nongrant")</f>
        <v>3523000</v>
      </c>
      <c r="BB74" s="101">
        <f>'State and Local P&amp;L (detailed)'!$T$49</f>
        <v>710051</v>
      </c>
      <c r="BC74" s="101">
        <f>SUM(BA74:BB74)</f>
        <v>4233051</v>
      </c>
      <c r="BD74" s="94">
        <f>SUMIFS('Federal Data'!AE2:AE501,'Federal Data'!$H2:$H501,"Water Transportation",'Federal Data'!$D2:$D501,"Nongrant")</f>
        <v>3486000</v>
      </c>
      <c r="BE74" s="101">
        <f>'State and Local P&amp;L (detailed)'!$U$49</f>
        <v>545485</v>
      </c>
      <c r="BF74" s="101">
        <f>SUM(BD74:BE74)</f>
        <v>4031485</v>
      </c>
      <c r="BG74" s="94">
        <f>SUMIFS('Federal Data'!AF2:AF501,'Federal Data'!$H2:$H501,"Water Transportation",'Federal Data'!$D2:$D501,"Nongrant")</f>
        <v>3525000</v>
      </c>
      <c r="BH74" s="101">
        <f>'State and Local P&amp;L (detailed)'!$V$49</f>
        <v>715372</v>
      </c>
      <c r="BI74" s="101">
        <f>SUM(BG74:BH74)</f>
        <v>4240372</v>
      </c>
      <c r="BJ74" s="94">
        <f>SUMIFS('Federal Data'!AG2:AG501,'Federal Data'!$H2:$H501,"Water Transportation",'Federal Data'!$D2:$D501,"Nongrant")</f>
        <v>4385000</v>
      </c>
      <c r="BK74" s="101">
        <f>'State and Local P&amp;L (detailed)'!$W$49</f>
        <v>633842</v>
      </c>
      <c r="BL74" s="101">
        <f>SUM(BJ74:BK74)</f>
        <v>5018842</v>
      </c>
      <c r="BM74" s="94">
        <f>SUMIFS('Federal Data'!AH2:AH501,'Federal Data'!$H2:$H501,"Water Transportation",'Federal Data'!$D2:$D501,"Nongrant")</f>
        <v>4400000</v>
      </c>
      <c r="BN74" s="101">
        <f>'State and Local P&amp;L (detailed)'!$X$49</f>
        <v>3287358</v>
      </c>
      <c r="BO74" s="101">
        <f>SUM(BM74:BN74)</f>
        <v>7687358</v>
      </c>
      <c r="BP74" s="94">
        <f>SUMIFS('Federal Data'!AI2:AI501,'Federal Data'!$H2:$H501,"Water Transportation",'Federal Data'!$D2:$D501,"Nongrant")</f>
        <v>5041000</v>
      </c>
      <c r="BQ74" s="101">
        <f>'State and Local P&amp;L (detailed)'!$Y$49</f>
        <v>885917</v>
      </c>
      <c r="BR74" s="101">
        <f>SUM(BP74:BQ74)</f>
        <v>5926917</v>
      </c>
      <c r="BS74" s="94">
        <f>SUMIFS('Federal Data'!AJ2:AJ501,'Federal Data'!$H2:$H501,"Water Transportation",'Federal Data'!$D2:$D501,"Nongrant")</f>
        <v>5907000</v>
      </c>
      <c r="BT74" s="101">
        <f>'State and Local P&amp;L (detailed)'!$Z$49</f>
        <v>-365679</v>
      </c>
      <c r="BU74" s="101">
        <f>SUM(BS74:BT74)</f>
        <v>5541321</v>
      </c>
      <c r="BV74" s="94">
        <f>SUMIFS('Federal Data'!AK2:AK501,'Federal Data'!$H2:$H501,"Water Transportation",'Federal Data'!$D2:$D501,"Nongrant")</f>
        <v>6898000</v>
      </c>
      <c r="BW74" s="101">
        <f>'State and Local P&amp;L (detailed)'!$AA$49</f>
        <v>939841</v>
      </c>
      <c r="BX74" s="101">
        <f>SUM(BV74:BW74)</f>
        <v>7837841</v>
      </c>
      <c r="BY74" s="94">
        <f>SUMIFS('Federal Data'!AL2:AL501,'Federal Data'!$H2:$H501,"Water Transportation",'Federal Data'!$D2:$D501,"Nongrant")</f>
        <v>6439000</v>
      </c>
      <c r="BZ74" s="101">
        <f>'State and Local P&amp;L (detailed)'!$AB$49</f>
        <v>502301</v>
      </c>
      <c r="CA74" s="101">
        <f>SUM(BY74:BZ74)</f>
        <v>6941301</v>
      </c>
      <c r="CB74" s="94">
        <f>SUMIFS('Federal Data'!AM2:AM501,'Federal Data'!$H2:$H501,"Water Transportation",'Federal Data'!$D2:$D501,"Nongrant")</f>
        <v>6688000</v>
      </c>
      <c r="CC74" s="101">
        <f>'State and Local P&amp;L (detailed)'!$AC$49</f>
        <v>578425</v>
      </c>
      <c r="CD74" s="101">
        <f>SUM(CB74:CC74)</f>
        <v>7266425</v>
      </c>
      <c r="CE74" s="94">
        <f>SUMIFS('Federal Data'!AN2:AN501,'Federal Data'!$H2:$H501,"Water Transportation",'Federal Data'!$D2:$D501,"Nongrant")</f>
        <v>7695000</v>
      </c>
      <c r="CF74" s="101">
        <f>'State and Local P&amp;L (detailed)'!$AD$49</f>
        <v>894202</v>
      </c>
      <c r="CG74" s="101">
        <f>SUM(CE74:CF74)</f>
        <v>8589202</v>
      </c>
      <c r="CH74" s="94">
        <f>SUMIFS('Federal Data'!AO2:AO501,'Federal Data'!$H2:$H501,"Water Transportation",'Federal Data'!$D2:$D501,"Nongrant")</f>
        <v>8121000</v>
      </c>
      <c r="CI74" s="101">
        <f>'State and Local P&amp;L (detailed)'!$AE$49</f>
        <v>780631</v>
      </c>
      <c r="CJ74" s="101">
        <f>SUM(CH74:CI74)</f>
        <v>8901631</v>
      </c>
      <c r="CK74" s="94">
        <f>SUMIFS('Federal Data'!AP2:AP501,'Federal Data'!$H2:$H501,"Water Transportation",'Federal Data'!$D2:$D501,"Nongrant")</f>
        <v>8983000</v>
      </c>
      <c r="CL74" s="101">
        <f>'State and Local P&amp;L (detailed)'!$AF$49</f>
        <v>1331739</v>
      </c>
      <c r="CM74" s="101">
        <f>SUM(CK74:CL74)</f>
        <v>10314739</v>
      </c>
      <c r="CN74" s="94">
        <f>SUMIFS('Federal Data'!AQ2:AQ501,'Federal Data'!$H2:$H501,"Water Transportation",'Federal Data'!$D2:$D501,"Nongrant")</f>
        <v>9223000</v>
      </c>
      <c r="CO74" s="101">
        <f>'State and Local P&amp;L (detailed)'!$AG$49</f>
        <v>1382453</v>
      </c>
      <c r="CP74" s="101">
        <f>SUM(CN74:CO74)</f>
        <v>10605453</v>
      </c>
      <c r="CQ74" s="94">
        <f>SUMIFS('Federal Data'!AR2:AR501,'Federal Data'!$H2:$H501,"Water Transportation",'Federal Data'!$D2:$D501,"Nongrant")</f>
        <v>10238000</v>
      </c>
      <c r="CR74" s="101">
        <f>'State and Local P&amp;L (detailed)'!$AH$49</f>
        <v>906743</v>
      </c>
      <c r="CS74" s="101">
        <f>SUM(CQ74:CR74)</f>
        <v>11144743</v>
      </c>
      <c r="CT74" s="94">
        <f>SUMIFS('Federal Data'!AS2:AS501,'Federal Data'!$H2:$H501,"Water Transportation",'Federal Data'!$D2:$D501,"Nongrant")</f>
        <v>9537000</v>
      </c>
      <c r="CU74" s="101">
        <f>'State and Local P&amp;L (detailed)'!$AI$49</f>
        <v>871603</v>
      </c>
      <c r="CV74" s="101">
        <f>SUM(CT74:CU74)</f>
        <v>10408603</v>
      </c>
      <c r="CW74" s="94">
        <f>SUMIFS('Federal Data'!AT2:AT501,'Federal Data'!$H2:$H501,"Water Transportation",'Federal Data'!$D2:$D501,"Nongrant")</f>
        <v>9648000</v>
      </c>
      <c r="CX74" s="101">
        <f>'State and Local P&amp;L (detailed)'!$AJ$49</f>
        <v>809051</v>
      </c>
      <c r="CY74" s="101">
        <f>SUM(CW74:CX74)</f>
        <v>10457051</v>
      </c>
      <c r="CZ74" s="94">
        <f>SUMIFS('Federal Data'!AU2:AU501,'Federal Data'!$H2:$H501,"Water Transportation",'Federal Data'!$D2:$D501,"Nongrant")</f>
        <v>9674000</v>
      </c>
      <c r="DA74" s="101">
        <f>'State and Local P&amp;L (detailed)'!$AK$49</f>
        <v>1271128</v>
      </c>
      <c r="DB74" s="101">
        <f>SUM(CZ74:DA74)</f>
        <v>10945128</v>
      </c>
      <c r="DC74" s="37">
        <f>SUMIFS('Federal Data'!AV2:AV501,'Federal Data'!$H2:$H501,"Water Transportation",'Federal Data'!$D2:$D501,"Nongrant")</f>
        <v>9894000</v>
      </c>
      <c r="DD74" s="85">
        <f>'State and Local P&amp;L (detailed)'!$AL$49</f>
        <v>0</v>
      </c>
      <c r="DE74" s="85">
        <f>SUM(DC74:DD74)</f>
        <v>9894000</v>
      </c>
    </row>
    <row r="75" spans="1:109" outlineLevel="3">
      <c r="A75" s="31" t="s">
        <v>98</v>
      </c>
      <c r="B75" s="94">
        <f>SUMIFS('Federal Data'!M2:M501,'Federal Data'!$H2:$H501,"General and Other Transportation",'Federal Data'!$D2:$D501,"Nongrant")</f>
        <v>100911</v>
      </c>
      <c r="C75" s="101" t="s">
        <v>487</v>
      </c>
      <c r="D75" s="101">
        <f>SUM(B75:C75)</f>
        <v>100911</v>
      </c>
      <c r="E75" s="94">
        <f>SUMIFS('Federal Data'!N2:N501,'Federal Data'!$H2:$H501,"General and Other Transportation",'Federal Data'!$D2:$D501,"Nongrant")</f>
        <v>107467</v>
      </c>
      <c r="F75" s="101" t="s">
        <v>487</v>
      </c>
      <c r="G75" s="101">
        <f>SUM(E75:F75)</f>
        <v>107467</v>
      </c>
      <c r="H75" s="94">
        <f>SUMIFS('Federal Data'!O2:O501,'Federal Data'!$H2:$H501,"General and Other Transportation",'Federal Data'!$D2:$D501,"Nongrant")</f>
        <v>88818</v>
      </c>
      <c r="I75" s="101" t="s">
        <v>487</v>
      </c>
      <c r="J75" s="101">
        <f>SUM(H75:I75)</f>
        <v>88818</v>
      </c>
      <c r="K75" s="94">
        <f>SUMIFS('Federal Data'!P2:P501,'Federal Data'!$H2:$H501,"General and Other Transportation",'Federal Data'!$D2:$D501,"Nongrant")</f>
        <v>96495</v>
      </c>
      <c r="L75" s="101" t="s">
        <v>487</v>
      </c>
      <c r="M75" s="101">
        <f>SUM(K75:L75)</f>
        <v>96495</v>
      </c>
      <c r="N75" s="94">
        <f>SUMIFS('Federal Data'!Q2:Q501,'Federal Data'!$H2:$H501,"General and Other Transportation",'Federal Data'!$D2:$D501,"Nongrant")</f>
        <v>81445</v>
      </c>
      <c r="O75" s="101" t="s">
        <v>487</v>
      </c>
      <c r="P75" s="101">
        <f>SUM(N75:O75)</f>
        <v>81445</v>
      </c>
      <c r="Q75" s="94">
        <f>SUMIFS('Federal Data'!R2:R501,'Federal Data'!$H2:$H501,"General and Other Transportation",'Federal Data'!$D2:$D501,"Nongrant")</f>
        <v>132704</v>
      </c>
      <c r="R75" s="101" t="s">
        <v>487</v>
      </c>
      <c r="S75" s="101">
        <f>SUM(Q75:R75)</f>
        <v>132704</v>
      </c>
      <c r="T75" s="94">
        <f>SUMIFS('Federal Data'!S2:S501,'Federal Data'!$H2:$H501,"General and Other Transportation",'Federal Data'!$D2:$D501,"Nongrant")</f>
        <v>131299</v>
      </c>
      <c r="U75" s="101" t="s">
        <v>487</v>
      </c>
      <c r="V75" s="101">
        <f>SUM(T75:U75)</f>
        <v>131299</v>
      </c>
      <c r="W75" s="94">
        <f>SUMIFS('Federal Data'!T2:T501,'Federal Data'!$H2:$H501,"General and Other Transportation",'Federal Data'!$D2:$D501,"Nongrant")</f>
        <v>86570</v>
      </c>
      <c r="X75" s="101" t="s">
        <v>487</v>
      </c>
      <c r="Y75" s="101">
        <f>SUM(W75:X75)</f>
        <v>86570</v>
      </c>
      <c r="Z75" s="94">
        <f>SUMIFS('Federal Data'!U2:U501,'Federal Data'!$H2:$H501,"General and Other Transportation",'Federal Data'!$D2:$D501,"Nongrant")</f>
        <v>113443</v>
      </c>
      <c r="AA75" s="101" t="s">
        <v>487</v>
      </c>
      <c r="AB75" s="101">
        <f>SUM(Z75:AA75)</f>
        <v>113443</v>
      </c>
      <c r="AC75" s="94">
        <f>SUMIFS('Federal Data'!V2:V501,'Federal Data'!$H2:$H501,"General and Other Transportation",'Federal Data'!$D2:$D501,"Nongrant")</f>
        <v>120179</v>
      </c>
      <c r="AD75" s="101" t="s">
        <v>487</v>
      </c>
      <c r="AE75" s="101">
        <f>SUM(AC75:AD75)</f>
        <v>120179</v>
      </c>
      <c r="AF75" s="94">
        <f>SUMIFS('Federal Data'!W2:W501,'Federal Data'!$H2:$H501,"General and Other Transportation",'Federal Data'!$D2:$D501,"Nongrant")</f>
        <v>142074</v>
      </c>
      <c r="AG75" s="101" t="s">
        <v>487</v>
      </c>
      <c r="AH75" s="101">
        <f>SUM(AF75:AG75)</f>
        <v>142074</v>
      </c>
      <c r="AI75" s="94">
        <f>SUMIFS('Federal Data'!X2:X501,'Federal Data'!$H2:$H501,"General and Other Transportation",'Federal Data'!$D2:$D501,"Nongrant")</f>
        <v>217813</v>
      </c>
      <c r="AJ75" s="101" t="s">
        <v>487</v>
      </c>
      <c r="AK75" s="101">
        <f>SUM(AI75:AJ75)</f>
        <v>217813</v>
      </c>
      <c r="AL75" s="94">
        <f>SUMIFS('Federal Data'!Y2:Y501,'Federal Data'!$H2:$H501,"General and Other Transportation",'Federal Data'!$D2:$D501,"Nongrant")</f>
        <v>237665</v>
      </c>
      <c r="AM75" s="101" t="s">
        <v>487</v>
      </c>
      <c r="AN75" s="101">
        <f>SUM(AL75:AM75)</f>
        <v>237665</v>
      </c>
      <c r="AO75" s="94">
        <f>SUMIFS('Federal Data'!Z2:Z501,'Federal Data'!$H2:$H501,"General and Other Transportation",'Federal Data'!$D2:$D501,"Nongrant")</f>
        <v>274300</v>
      </c>
      <c r="AP75" s="101" t="s">
        <v>487</v>
      </c>
      <c r="AQ75" s="101">
        <f>SUM(AO75:AP75)</f>
        <v>274300</v>
      </c>
      <c r="AR75" s="94">
        <f>SUMIFS('Federal Data'!AA2:AA501,'Federal Data'!$H2:$H501,"General and Other Transportation",'Federal Data'!$D2:$D501,"Nongrant")</f>
        <v>322302</v>
      </c>
      <c r="AS75" s="101" t="s">
        <v>487</v>
      </c>
      <c r="AT75" s="101">
        <f>SUM(AR75:AS75)</f>
        <v>322302</v>
      </c>
      <c r="AU75" s="94">
        <f>SUMIFS('Federal Data'!AB2:AB501,'Federal Data'!$H2:$H501,"General and Other Transportation",'Federal Data'!$D2:$D501,"Nongrant")</f>
        <v>286000</v>
      </c>
      <c r="AV75" s="101" t="s">
        <v>487</v>
      </c>
      <c r="AW75" s="101">
        <f>SUM(AU75:AV75)</f>
        <v>286000</v>
      </c>
      <c r="AX75" s="94">
        <f>SUMIFS('Federal Data'!AC2:AC501,'Federal Data'!$H2:$H501,"General and Other Transportation",'Federal Data'!$D2:$D501,"Nongrant")</f>
        <v>303000</v>
      </c>
      <c r="AY75" s="101" t="s">
        <v>487</v>
      </c>
      <c r="AZ75" s="101">
        <f>SUM(AX75:AY75)</f>
        <v>303000</v>
      </c>
      <c r="BA75" s="94">
        <f>SUMIFS('Federal Data'!AD2:AD501,'Federal Data'!$H2:$H501,"General and Other Transportation",'Federal Data'!$D2:$D501,"Nongrant")</f>
        <v>262000</v>
      </c>
      <c r="BB75" s="101" t="s">
        <v>487</v>
      </c>
      <c r="BC75" s="101">
        <f>SUM(BA75:BB75)</f>
        <v>262000</v>
      </c>
      <c r="BD75" s="94">
        <f>SUMIFS('Federal Data'!AE2:AE501,'Federal Data'!$H2:$H501,"General and Other Transportation",'Federal Data'!$D2:$D501,"Nongrant")</f>
        <v>180000</v>
      </c>
      <c r="BE75" s="101" t="s">
        <v>487</v>
      </c>
      <c r="BF75" s="101">
        <f>SUM(BD75:BE75)</f>
        <v>180000</v>
      </c>
      <c r="BG75" s="94">
        <f>SUMIFS('Federal Data'!AF2:AF501,'Federal Data'!$H2:$H501,"General and Other Transportation",'Federal Data'!$D2:$D501,"Nongrant")</f>
        <v>193000</v>
      </c>
      <c r="BH75" s="101" t="s">
        <v>487</v>
      </c>
      <c r="BI75" s="101">
        <f>SUM(BG75:BH75)</f>
        <v>193000</v>
      </c>
      <c r="BJ75" s="94">
        <f>SUMIFS('Federal Data'!AG2:AG501,'Federal Data'!$H2:$H501,"General and Other Transportation",'Federal Data'!$D2:$D501,"Nongrant")</f>
        <v>169000</v>
      </c>
      <c r="BK75" s="101" t="s">
        <v>487</v>
      </c>
      <c r="BL75" s="101">
        <f>SUM(BJ75:BK75)</f>
        <v>169000</v>
      </c>
      <c r="BM75" s="94">
        <f>SUMIFS('Federal Data'!AH2:AH501,'Federal Data'!$H2:$H501,"General and Other Transportation",'Federal Data'!$D2:$D501,"Nongrant")</f>
        <v>242000</v>
      </c>
      <c r="BN75" s="101" t="s">
        <v>487</v>
      </c>
      <c r="BO75" s="101">
        <f>SUM(BM75:BN75)</f>
        <v>242000</v>
      </c>
      <c r="BP75" s="94">
        <f>SUMIFS('Federal Data'!AI2:AI501,'Federal Data'!$H2:$H501,"General and Other Transportation",'Federal Data'!$D2:$D501,"Nongrant")</f>
        <v>64000</v>
      </c>
      <c r="BQ75" s="101" t="s">
        <v>487</v>
      </c>
      <c r="BR75" s="101">
        <f>SUM(BP75:BQ75)</f>
        <v>64000</v>
      </c>
      <c r="BS75" s="94">
        <f>SUMIFS('Federal Data'!AJ2:AJ501,'Federal Data'!$H2:$H501,"General and Other Transportation",'Federal Data'!$D2:$D501,"Nongrant")</f>
        <v>297000</v>
      </c>
      <c r="BT75" s="101" t="s">
        <v>487</v>
      </c>
      <c r="BU75" s="101">
        <f>SUM(BS75:BT75)</f>
        <v>297000</v>
      </c>
      <c r="BV75" s="94">
        <f>SUMIFS('Federal Data'!AK2:AK501,'Federal Data'!$H2:$H501,"General and Other Transportation",'Federal Data'!$D2:$D501,"Nongrant")</f>
        <v>214000</v>
      </c>
      <c r="BW75" s="101" t="s">
        <v>487</v>
      </c>
      <c r="BX75" s="101">
        <f>SUM(BV75:BW75)</f>
        <v>214000</v>
      </c>
      <c r="BY75" s="94">
        <f>SUMIFS('Federal Data'!AL2:AL501,'Federal Data'!$H2:$H501,"General and Other Transportation",'Federal Data'!$D2:$D501,"Nongrant")</f>
        <v>312000</v>
      </c>
      <c r="BZ75" s="101" t="s">
        <v>487</v>
      </c>
      <c r="CA75" s="101">
        <f>SUM(BY75:BZ75)</f>
        <v>312000</v>
      </c>
      <c r="CB75" s="94">
        <f>SUMIFS('Federal Data'!AM2:AM501,'Federal Data'!$H2:$H501,"General and Other Transportation",'Federal Data'!$D2:$D501,"Nongrant")</f>
        <v>323000</v>
      </c>
      <c r="CC75" s="101" t="s">
        <v>487</v>
      </c>
      <c r="CD75" s="101">
        <f>SUM(CB75:CC75)</f>
        <v>323000</v>
      </c>
      <c r="CE75" s="94">
        <f>SUMIFS('Federal Data'!AN2:AN501,'Federal Data'!$H2:$H501,"General and Other Transportation",'Federal Data'!$D2:$D501,"Nongrant")</f>
        <v>277000</v>
      </c>
      <c r="CF75" s="101" t="s">
        <v>487</v>
      </c>
      <c r="CG75" s="101">
        <f>SUM(CE75:CF75)</f>
        <v>277000</v>
      </c>
      <c r="CH75" s="94">
        <f>SUMIFS('Federal Data'!AO2:AO501,'Federal Data'!$H2:$H501,"General and Other Transportation",'Federal Data'!$D2:$D501,"Nongrant")</f>
        <v>95000</v>
      </c>
      <c r="CI75" s="101" t="s">
        <v>487</v>
      </c>
      <c r="CJ75" s="101">
        <f>SUM(CH75:CI75)</f>
        <v>95000</v>
      </c>
      <c r="CK75" s="94">
        <f>SUMIFS('Federal Data'!AP2:AP501,'Federal Data'!$H2:$H501,"General and Other Transportation",'Federal Data'!$D2:$D501,"Nongrant")</f>
        <v>259000</v>
      </c>
      <c r="CL75" s="101" t="s">
        <v>487</v>
      </c>
      <c r="CM75" s="101">
        <f>SUM(CK75:CL75)</f>
        <v>259000</v>
      </c>
      <c r="CN75" s="94">
        <f>SUMIFS('Federal Data'!AQ2:AQ501,'Federal Data'!$H2:$H501,"General and Other Transportation",'Federal Data'!$D2:$D501,"Nongrant")</f>
        <v>376000</v>
      </c>
      <c r="CO75" s="101" t="s">
        <v>487</v>
      </c>
      <c r="CP75" s="101">
        <f>SUM(CN75:CO75)</f>
        <v>376000</v>
      </c>
      <c r="CQ75" s="94">
        <f>SUMIFS('Federal Data'!AR2:AR501,'Federal Data'!$H2:$H501,"General and Other Transportation",'Federal Data'!$D2:$D501,"Nongrant")</f>
        <v>317000</v>
      </c>
      <c r="CR75" s="101" t="s">
        <v>487</v>
      </c>
      <c r="CS75" s="101">
        <f>SUM(CQ75:CR75)</f>
        <v>317000</v>
      </c>
      <c r="CT75" s="94">
        <f>SUMIFS('Federal Data'!AS2:AS501,'Federal Data'!$H2:$H501,"General and Other Transportation",'Federal Data'!$D2:$D501,"Nongrant")</f>
        <v>306000</v>
      </c>
      <c r="CU75" s="101" t="s">
        <v>487</v>
      </c>
      <c r="CV75" s="101">
        <f>SUM(CT75:CU75)</f>
        <v>306000</v>
      </c>
      <c r="CW75" s="94">
        <f>SUMIFS('Federal Data'!AT2:AT501,'Federal Data'!$H2:$H501,"General and Other Transportation",'Federal Data'!$D2:$D501,"Nongrant")</f>
        <v>392000</v>
      </c>
      <c r="CX75" s="101" t="s">
        <v>487</v>
      </c>
      <c r="CY75" s="101">
        <f>SUM(CW75:CX75)</f>
        <v>392000</v>
      </c>
      <c r="CZ75" s="94">
        <f>SUMIFS('Federal Data'!AU2:AU501,'Federal Data'!$H2:$H501,"General and Other Transportation",'Federal Data'!$D2:$D501,"Nongrant")</f>
        <v>358000</v>
      </c>
      <c r="DA75" s="101" t="s">
        <v>487</v>
      </c>
      <c r="DB75" s="101">
        <f>SUM(CZ75:DA75)</f>
        <v>358000</v>
      </c>
      <c r="DC75" s="37">
        <f>SUMIFS('Federal Data'!AV2:AV501,'Federal Data'!$H2:$H501,"General and Other Transportation",'Federal Data'!$D2:$D501,"Nongrant")</f>
        <v>330000</v>
      </c>
      <c r="DD75" s="85" t="s">
        <v>487</v>
      </c>
      <c r="DE75" s="85">
        <f>SUM(DC75:DD75)</f>
        <v>330000</v>
      </c>
    </row>
    <row r="76" spans="1:109" outlineLevel="2">
      <c r="A76" s="29" t="s">
        <v>327</v>
      </c>
      <c r="B76" s="94">
        <f>SUMIFS('Federal Data'!M2:M501,'Federal Data'!$G2:$G501,"General Commerce",'Federal Data'!$D2:$D501,"Nongrant")</f>
        <v>2127294</v>
      </c>
      <c r="C76" s="101">
        <f>'State and Local P&amp;L (detailed)'!$C$50</f>
        <v>-1640255</v>
      </c>
      <c r="D76" s="101">
        <f>SUM(B76:C76)</f>
        <v>487039</v>
      </c>
      <c r="E76" s="94">
        <f>SUMIFS('Federal Data'!N2:N501,'Federal Data'!$G2:$G501,"General Commerce",'Federal Data'!$D2:$D501,"Nongrant")</f>
        <v>1503534</v>
      </c>
      <c r="F76" s="101">
        <f>'State and Local P&amp;L (detailed)'!$D$50</f>
        <v>-1768544</v>
      </c>
      <c r="G76" s="101">
        <f>SUM(E76:F76)</f>
        <v>-265010</v>
      </c>
      <c r="H76" s="94">
        <f>SUMIFS('Federal Data'!O2:O501,'Federal Data'!$G2:$G501,"General Commerce",'Federal Data'!$D2:$D501,"Nongrant")</f>
        <v>1559586</v>
      </c>
      <c r="I76" s="101">
        <f>'State and Local P&amp;L (detailed)'!$E$50</f>
        <v>-2139255</v>
      </c>
      <c r="J76" s="101">
        <f>SUM(H76:I76)</f>
        <v>-579669</v>
      </c>
      <c r="K76" s="94">
        <f>SUMIFS('Federal Data'!P2:P501,'Federal Data'!$G2:$G501,"General Commerce",'Federal Data'!$D2:$D501,"Nongrant")</f>
        <v>1573562</v>
      </c>
      <c r="L76" s="101">
        <f>'State and Local P&amp;L (detailed)'!$F$50</f>
        <v>-2510485</v>
      </c>
      <c r="M76" s="101">
        <f>SUM(K76:L76)</f>
        <v>-936923</v>
      </c>
      <c r="N76" s="94">
        <f>SUMIFS('Federal Data'!Q2:Q501,'Federal Data'!$G2:$G501,"General Commerce",'Federal Data'!$D2:$D501,"Nongrant")</f>
        <v>1507970</v>
      </c>
      <c r="O76" s="101">
        <f>'State and Local P&amp;L (detailed)'!$G$50</f>
        <v>-3193020</v>
      </c>
      <c r="P76" s="101">
        <f>SUM(N76:O76)</f>
        <v>-1685050</v>
      </c>
      <c r="Q76" s="94">
        <f>SUMIFS('Federal Data'!R2:R501,'Federal Data'!$G2:$G501,"General Commerce",'Federal Data'!$D2:$D501,"Nongrant")</f>
        <v>1556934</v>
      </c>
      <c r="R76" s="101">
        <f>'State and Local P&amp;L (detailed)'!$H$50</f>
        <v>-3955228</v>
      </c>
      <c r="S76" s="101">
        <f>SUM(Q76:R76)</f>
        <v>-2398294</v>
      </c>
      <c r="T76" s="94">
        <f>SUMIFS('Federal Data'!S2:S501,'Federal Data'!$G2:$G501,"General Commerce",'Federal Data'!$D2:$D501,"Nongrant")</f>
        <v>1330410</v>
      </c>
      <c r="U76" s="101">
        <f>'State and Local P&amp;L (detailed)'!$I$50</f>
        <v>-5158832</v>
      </c>
      <c r="V76" s="101">
        <f>SUM(T76:U76)</f>
        <v>-3828422</v>
      </c>
      <c r="W76" s="94">
        <f>SUMIFS('Federal Data'!T2:T501,'Federal Data'!$G2:$G501,"General Commerce",'Federal Data'!$D2:$D501,"Nongrant")</f>
        <v>933277</v>
      </c>
      <c r="X76" s="101">
        <f>'State and Local P&amp;L (detailed)'!$J$50</f>
        <v>-5270071</v>
      </c>
      <c r="Y76" s="101">
        <f>SUM(W76:X76)</f>
        <v>-4336794</v>
      </c>
      <c r="Z76" s="94">
        <f>SUMIFS('Federal Data'!U2:U501,'Federal Data'!$G2:$G501,"General Commerce",'Federal Data'!$D2:$D501,"Nongrant")</f>
        <v>1043149</v>
      </c>
      <c r="AA76" s="101">
        <f>'State and Local P&amp;L (detailed)'!$K$50</f>
        <v>-6081444</v>
      </c>
      <c r="AB76" s="101">
        <f>SUM(Z76:AA76)</f>
        <v>-5038295</v>
      </c>
      <c r="AC76" s="94">
        <f>SUMIFS('Federal Data'!V2:V501,'Federal Data'!$G2:$G501,"General Commerce",'Federal Data'!$D2:$D501,"Nongrant")</f>
        <v>1382736</v>
      </c>
      <c r="AD76" s="101">
        <f>'State and Local P&amp;L (detailed)'!$L$50</f>
        <v>-7496832</v>
      </c>
      <c r="AE76" s="101">
        <f>SUM(AC76:AD76)</f>
        <v>-6114096</v>
      </c>
      <c r="AF76" s="94">
        <f>SUMIFS('Federal Data'!W2:W501,'Federal Data'!$G2:$G501,"General Commerce",'Federal Data'!$D2:$D501,"Nongrant")</f>
        <v>2362755</v>
      </c>
      <c r="AG76" s="101">
        <f>'State and Local P&amp;L (detailed)'!$M$50</f>
        <v>-8004121</v>
      </c>
      <c r="AH76" s="101">
        <f>SUM(AF76:AG76)</f>
        <v>-5641366</v>
      </c>
      <c r="AI76" s="94">
        <f>SUMIFS('Federal Data'!X2:X501,'Federal Data'!$G2:$G501,"General Commerce",'Federal Data'!$D2:$D501,"Nongrant")</f>
        <v>1492963</v>
      </c>
      <c r="AJ76" s="101">
        <f>'State and Local P&amp;L (detailed)'!$N$50</f>
        <v>-8245841</v>
      </c>
      <c r="AK76" s="101">
        <f>SUM(AI76:AJ76)</f>
        <v>-6752878</v>
      </c>
      <c r="AL76" s="94">
        <f>SUMIFS('Federal Data'!Y2:Y501,'Federal Data'!$G2:$G501,"General Commerce",'Federal Data'!$D2:$D501,"Nongrant")</f>
        <v>1494836</v>
      </c>
      <c r="AM76" s="101">
        <f>'State and Local P&amp;L (detailed)'!$O$50</f>
        <v>-8420356</v>
      </c>
      <c r="AN76" s="101">
        <f>SUM(AL76:AM76)</f>
        <v>-6925520</v>
      </c>
      <c r="AO76" s="94">
        <f>SUMIFS('Federal Data'!Z2:Z501,'Federal Data'!$G2:$G501,"General Commerce",'Federal Data'!$D2:$D501,"Nongrant")</f>
        <v>1735192</v>
      </c>
      <c r="AP76" s="101">
        <f>'State and Local P&amp;L (detailed)'!$P$50</f>
        <v>-9473334</v>
      </c>
      <c r="AQ76" s="101">
        <f>SUM(AO76:AP76)</f>
        <v>-7738142</v>
      </c>
      <c r="AR76" s="94">
        <f>SUMIFS('Federal Data'!AA2:AA501,'Federal Data'!$G2:$G501,"General Commerce",'Federal Data'!$D2:$D501,"Nongrant")</f>
        <v>1372314</v>
      </c>
      <c r="AS76" s="101">
        <f>'State and Local P&amp;L (detailed)'!$Q$50</f>
        <v>-10429043</v>
      </c>
      <c r="AT76" s="101">
        <f>SUM(AR76:AS76)</f>
        <v>-9056729</v>
      </c>
      <c r="AU76" s="94">
        <f>SUMIFS('Federal Data'!AB2:AB501,'Federal Data'!$G2:$G501,"General Commerce",'Federal Data'!$D2:$D501,"Nongrant")</f>
        <v>1254000</v>
      </c>
      <c r="AV76" s="101">
        <f>'State and Local P&amp;L (detailed)'!$R$50</f>
        <v>-11468727</v>
      </c>
      <c r="AW76" s="101">
        <f>SUM(AU76:AV76)</f>
        <v>-10214727</v>
      </c>
      <c r="AX76" s="94">
        <f>SUMIFS('Federal Data'!AC2:AC501,'Federal Data'!$G2:$G501,"General Commerce",'Federal Data'!$D2:$D501,"Nongrant")</f>
        <v>1579000</v>
      </c>
      <c r="AY76" s="101">
        <f>'State and Local P&amp;L (detailed)'!$S$50</f>
        <v>-12469662</v>
      </c>
      <c r="AZ76" s="101">
        <f>SUM(AX76:AY76)</f>
        <v>-10890662</v>
      </c>
      <c r="BA76" s="94">
        <f>SUMIFS('Federal Data'!AD2:AD501,'Federal Data'!$G2:$G501,"General Commerce",'Federal Data'!$D2:$D501,"Nongrant")</f>
        <v>1182000</v>
      </c>
      <c r="BB76" s="101">
        <f>'State and Local P&amp;L (detailed)'!$T$50</f>
        <v>-12829256</v>
      </c>
      <c r="BC76" s="101">
        <f>SUM(BA76:BB76)</f>
        <v>-11647256</v>
      </c>
      <c r="BD76" s="94">
        <f>SUMIFS('Federal Data'!AE2:AE501,'Federal Data'!$G2:$G501,"General Commerce",'Federal Data'!$D2:$D501,"Nongrant")</f>
        <v>1049000</v>
      </c>
      <c r="BE76" s="101">
        <f>'State and Local P&amp;L (detailed)'!$U$50</f>
        <v>-12913971</v>
      </c>
      <c r="BF76" s="101">
        <f>SUM(BD76:BE76)</f>
        <v>-11864971</v>
      </c>
      <c r="BG76" s="94">
        <f>SUMIFS('Federal Data'!AF2:AF501,'Federal Data'!$G2:$G501,"General Commerce",'Federal Data'!$D2:$D501,"Nongrant")</f>
        <v>1467000</v>
      </c>
      <c r="BH76" s="101">
        <f>'State and Local P&amp;L (detailed)'!$V$50</f>
        <v>-13077708</v>
      </c>
      <c r="BI76" s="101">
        <f>SUM(BG76:BH76)</f>
        <v>-11610708</v>
      </c>
      <c r="BJ76" s="94">
        <f>SUMIFS('Federal Data'!AG2:AG501,'Federal Data'!$G2:$G501,"General Commerce",'Federal Data'!$D2:$D501,"Nongrant")</f>
        <v>4923000</v>
      </c>
      <c r="BK76" s="101">
        <f>'State and Local P&amp;L (detailed)'!$W$50</f>
        <v>-12934837</v>
      </c>
      <c r="BL76" s="101">
        <f>SUM(BJ76:BK76)</f>
        <v>-8011837</v>
      </c>
      <c r="BM76" s="94">
        <f>SUMIFS('Federal Data'!AH2:AH501,'Federal Data'!$G2:$G501,"General Commerce",'Federal Data'!$D2:$D501,"Nongrant")</f>
        <v>1679000</v>
      </c>
      <c r="BN76" s="101">
        <f>'State and Local P&amp;L (detailed)'!$X$50</f>
        <v>-12866441</v>
      </c>
      <c r="BO76" s="101">
        <f>SUM(BM76:BN76)</f>
        <v>-11187441</v>
      </c>
      <c r="BP76" s="94">
        <f>SUMIFS('Federal Data'!AI2:AI501,'Federal Data'!$G2:$G501,"General Commerce",'Federal Data'!$D2:$D501,"Nongrant")</f>
        <v>2030000</v>
      </c>
      <c r="BQ76" s="101">
        <f>'State and Local P&amp;L (detailed)'!$Y$50</f>
        <v>-14093200</v>
      </c>
      <c r="BR76" s="101">
        <f>SUM(BP76:BQ76)</f>
        <v>-12063200</v>
      </c>
      <c r="BS76" s="94">
        <f>SUMIFS('Federal Data'!AJ2:AJ501,'Federal Data'!$G2:$G501,"General Commerce",'Federal Data'!$D2:$D501,"Nongrant")</f>
        <v>3012000</v>
      </c>
      <c r="BT76" s="101">
        <f>'State and Local P&amp;L (detailed)'!$Z$50</f>
        <v>-15282028</v>
      </c>
      <c r="BU76" s="101">
        <f>SUM(BS76:BT76)</f>
        <v>-12270028</v>
      </c>
      <c r="BV76" s="94">
        <f>SUMIFS('Federal Data'!AK2:AK501,'Federal Data'!$G2:$G501,"General Commerce",'Federal Data'!$D2:$D501,"Nongrant")</f>
        <v>4759000</v>
      </c>
      <c r="BW76" s="101">
        <f>'State and Local P&amp;L (detailed)'!$AA$50</f>
        <v>-16621084</v>
      </c>
      <c r="BX76" s="101">
        <f>SUM(BV76:BW76)</f>
        <v>-11862084</v>
      </c>
      <c r="BY76" s="94">
        <f>SUMIFS('Federal Data'!AL2:AL501,'Federal Data'!$G2:$G501,"General Commerce",'Federal Data'!$D2:$D501,"Nongrant")</f>
        <v>3743000</v>
      </c>
      <c r="BZ76" s="101">
        <f>'State and Local P&amp;L (detailed)'!$AB$50</f>
        <v>-13708905</v>
      </c>
      <c r="CA76" s="101">
        <f>SUM(BY76:BZ76)</f>
        <v>-9965905</v>
      </c>
      <c r="CB76" s="94">
        <f>SUMIFS('Federal Data'!AM2:AM501,'Federal Data'!$G2:$G501,"General Commerce",'Federal Data'!$D2:$D501,"Nongrant")</f>
        <v>2273000</v>
      </c>
      <c r="CC76" s="101">
        <f>'State and Local P&amp;L (detailed)'!$AC$50</f>
        <v>-14409840</v>
      </c>
      <c r="CD76" s="101">
        <f>SUM(CB76:CC76)</f>
        <v>-12136840</v>
      </c>
      <c r="CE76" s="94">
        <f>SUMIFS('Federal Data'!AN2:AN501,'Federal Data'!$G2:$G501,"General Commerce",'Federal Data'!$D2:$D501,"Nongrant")</f>
        <v>2506000</v>
      </c>
      <c r="CF76" s="101">
        <f>'State and Local P&amp;L (detailed)'!$AD$50</f>
        <v>-20365175</v>
      </c>
      <c r="CG76" s="101">
        <f>SUM(CE76:CF76)</f>
        <v>-17859175</v>
      </c>
      <c r="CH76" s="94">
        <f>SUMIFS('Federal Data'!AO2:AO501,'Federal Data'!$G2:$G501,"General Commerce",'Federal Data'!$D2:$D501,"Nongrant")</f>
        <v>3136000</v>
      </c>
      <c r="CI76" s="101">
        <f>'State and Local P&amp;L (detailed)'!$AE$50</f>
        <v>-22262718</v>
      </c>
      <c r="CJ76" s="101">
        <f>SUM(CH76:CI76)</f>
        <v>-19126718</v>
      </c>
      <c r="CK76" s="94">
        <f>SUMIFS('Federal Data'!AP2:AP501,'Federal Data'!$G2:$G501,"General Commerce",'Federal Data'!$D2:$D501,"Nongrant")</f>
        <v>5789000</v>
      </c>
      <c r="CL76" s="101">
        <f>'State and Local P&amp;L (detailed)'!$AF$50</f>
        <v>-20652997</v>
      </c>
      <c r="CM76" s="101">
        <f>SUM(CK76:CL76)</f>
        <v>-14863997</v>
      </c>
      <c r="CN76" s="94">
        <f>SUMIFS('Federal Data'!AQ2:AQ501,'Federal Data'!$G2:$G501,"General Commerce",'Federal Data'!$D2:$D501,"Nongrant")</f>
        <v>13811000</v>
      </c>
      <c r="CO76" s="101">
        <f>'State and Local P&amp;L (detailed)'!$AG$50</f>
        <v>-21439724</v>
      </c>
      <c r="CP76" s="101">
        <f>SUM(CN76:CO76)</f>
        <v>-7628724</v>
      </c>
      <c r="CQ76" s="94">
        <f>SUMIFS('Federal Data'!AR2:AR501,'Federal Data'!$G2:$G501,"General Commerce",'Federal Data'!$D2:$D501,"Nongrant")</f>
        <v>8795000</v>
      </c>
      <c r="CR76" s="101">
        <f>'State and Local P&amp;L (detailed)'!$AH$50</f>
        <v>-22006363</v>
      </c>
      <c r="CS76" s="101">
        <f>SUM(CQ76:CR76)</f>
        <v>-13211363</v>
      </c>
      <c r="CT76" s="94">
        <f>SUMIFS('Federal Data'!AS2:AS501,'Federal Data'!$G2:$G501,"General Commerce",'Federal Data'!$D2:$D501,"Nongrant")</f>
        <v>5272000</v>
      </c>
      <c r="CU76" s="101">
        <f>'State and Local P&amp;L (detailed)'!$AI$50</f>
        <v>-23145358</v>
      </c>
      <c r="CV76" s="101">
        <f>SUM(CT76:CU76)</f>
        <v>-17873358</v>
      </c>
      <c r="CW76" s="94">
        <f>SUMIFS('Federal Data'!AT2:AT501,'Federal Data'!$G2:$G501,"General Commerce",'Federal Data'!$D2:$D501,"Nongrant")</f>
        <v>2890000</v>
      </c>
      <c r="CX76" s="101">
        <f>'State and Local P&amp;L (detailed)'!$AJ$50</f>
        <v>-24075303</v>
      </c>
      <c r="CY76" s="101">
        <f>SUM(CW76:CX76)</f>
        <v>-21185303</v>
      </c>
      <c r="CZ76" s="94">
        <f>SUMIFS('Federal Data'!AU2:AU501,'Federal Data'!$G2:$G501,"General Commerce",'Federal Data'!$D2:$D501,"Nongrant")</f>
        <v>2592000</v>
      </c>
      <c r="DA76" s="101">
        <f>'State and Local P&amp;L (detailed)'!$AK$50</f>
        <v>-24410085</v>
      </c>
      <c r="DB76" s="101">
        <f>SUM(CZ76:DA76)</f>
        <v>-21818085</v>
      </c>
      <c r="DC76" s="37">
        <f>SUMIFS('Federal Data'!AV2:AV501,'Federal Data'!$G2:$G501,"General Commerce",'Federal Data'!$D2:$D501,"Nongrant")</f>
        <v>2004000</v>
      </c>
      <c r="DD76" s="85">
        <f>'State and Local P&amp;L (detailed)'!$AL$50</f>
        <v>0</v>
      </c>
      <c r="DE76" s="85">
        <f>SUM(DC76:DD76)</f>
        <v>2004000</v>
      </c>
    </row>
    <row r="77" spans="1:109" outlineLevel="3">
      <c r="A77" s="31" t="s">
        <v>282</v>
      </c>
      <c r="B77" s="101" t="s">
        <v>487</v>
      </c>
      <c r="C77" s="101">
        <f>'State and Local P&amp;L (detailed)'!$C$51</f>
        <v>-609147</v>
      </c>
      <c r="D77" s="101" t="s">
        <v>487</v>
      </c>
      <c r="E77" s="101" t="s">
        <v>487</v>
      </c>
      <c r="F77" s="101">
        <f>'State and Local P&amp;L (detailed)'!$D$51</f>
        <v>-552265</v>
      </c>
      <c r="G77" s="101" t="s">
        <v>487</v>
      </c>
      <c r="H77" s="101" t="s">
        <v>487</v>
      </c>
      <c r="I77" s="101">
        <f>'State and Local P&amp;L (detailed)'!$E$51</f>
        <v>-501232</v>
      </c>
      <c r="J77" s="101" t="s">
        <v>487</v>
      </c>
      <c r="K77" s="101" t="s">
        <v>487</v>
      </c>
      <c r="L77" s="101">
        <f>'State and Local P&amp;L (detailed)'!$F$51</f>
        <v>-494696</v>
      </c>
      <c r="M77" s="101" t="s">
        <v>487</v>
      </c>
      <c r="N77" s="101" t="s">
        <v>487</v>
      </c>
      <c r="O77" s="101">
        <f>'State and Local P&amp;L (detailed)'!$G$51</f>
        <v>-498802</v>
      </c>
      <c r="P77" s="101" t="s">
        <v>487</v>
      </c>
      <c r="Q77" s="101" t="s">
        <v>487</v>
      </c>
      <c r="R77" s="101">
        <f>'State and Local P&amp;L (detailed)'!$H$51</f>
        <v>-412536</v>
      </c>
      <c r="S77" s="101" t="s">
        <v>487</v>
      </c>
      <c r="T77" s="101" t="s">
        <v>487</v>
      </c>
      <c r="U77" s="101">
        <f>'State and Local P&amp;L (detailed)'!$I$51</f>
        <v>-445981</v>
      </c>
      <c r="V77" s="101" t="s">
        <v>487</v>
      </c>
      <c r="W77" s="101" t="s">
        <v>487</v>
      </c>
      <c r="X77" s="101">
        <f>'State and Local P&amp;L (detailed)'!$J$51</f>
        <v>-422666</v>
      </c>
      <c r="Y77" s="101" t="s">
        <v>487</v>
      </c>
      <c r="Z77" s="101" t="s">
        <v>487</v>
      </c>
      <c r="AA77" s="101">
        <f>'State and Local P&amp;L (detailed)'!$K$51</f>
        <v>-452898</v>
      </c>
      <c r="AB77" s="101" t="s">
        <v>487</v>
      </c>
      <c r="AC77" s="101" t="s">
        <v>487</v>
      </c>
      <c r="AD77" s="101">
        <f>'State and Local P&amp;L (detailed)'!$L$51</f>
        <v>-443669</v>
      </c>
      <c r="AE77" s="101" t="s">
        <v>487</v>
      </c>
      <c r="AF77" s="101" t="s">
        <v>487</v>
      </c>
      <c r="AG77" s="101">
        <f>'State and Local P&amp;L (detailed)'!$M$51</f>
        <v>-514759</v>
      </c>
      <c r="AH77" s="101" t="s">
        <v>487</v>
      </c>
      <c r="AI77" s="101" t="s">
        <v>487</v>
      </c>
      <c r="AJ77" s="101">
        <f>'State and Local P&amp;L (detailed)'!$N$51</f>
        <v>-566462</v>
      </c>
      <c r="AK77" s="101" t="s">
        <v>487</v>
      </c>
      <c r="AL77" s="101" t="s">
        <v>487</v>
      </c>
      <c r="AM77" s="101">
        <f>'State and Local P&amp;L (detailed)'!$O$51</f>
        <v>-541830</v>
      </c>
      <c r="AN77" s="101" t="s">
        <v>487</v>
      </c>
      <c r="AO77" s="101" t="s">
        <v>487</v>
      </c>
      <c r="AP77" s="101">
        <f>'State and Local P&amp;L (detailed)'!$P$51</f>
        <v>-579776</v>
      </c>
      <c r="AQ77" s="101" t="s">
        <v>487</v>
      </c>
      <c r="AR77" s="101" t="s">
        <v>487</v>
      </c>
      <c r="AS77" s="101">
        <f>'State and Local P&amp;L (detailed)'!$Q$51</f>
        <v>-621920</v>
      </c>
      <c r="AT77" s="101" t="s">
        <v>487</v>
      </c>
      <c r="AU77" s="101" t="s">
        <v>487</v>
      </c>
      <c r="AV77" s="101">
        <f>'State and Local P&amp;L (detailed)'!$R$51</f>
        <v>-616976</v>
      </c>
      <c r="AW77" s="101" t="s">
        <v>487</v>
      </c>
      <c r="AX77" s="101" t="s">
        <v>487</v>
      </c>
      <c r="AY77" s="101">
        <f>'State and Local P&amp;L (detailed)'!$S$51</f>
        <v>-633520</v>
      </c>
      <c r="AZ77" s="101" t="s">
        <v>487</v>
      </c>
      <c r="BA77" s="101" t="s">
        <v>487</v>
      </c>
      <c r="BB77" s="101">
        <f>'State and Local P&amp;L (detailed)'!$T$51</f>
        <v>-659134</v>
      </c>
      <c r="BC77" s="101" t="s">
        <v>487</v>
      </c>
      <c r="BD77" s="101" t="s">
        <v>487</v>
      </c>
      <c r="BE77" s="101">
        <f>'State and Local P&amp;L (detailed)'!$U$51</f>
        <v>-761322</v>
      </c>
      <c r="BF77" s="101" t="s">
        <v>487</v>
      </c>
      <c r="BG77" s="101" t="s">
        <v>487</v>
      </c>
      <c r="BH77" s="101">
        <f>'State and Local P&amp;L (detailed)'!$V$51</f>
        <v>-698142</v>
      </c>
      <c r="BI77" s="101" t="s">
        <v>487</v>
      </c>
      <c r="BJ77" s="101" t="s">
        <v>487</v>
      </c>
      <c r="BK77" s="101">
        <f>'State and Local P&amp;L (detailed)'!$W$51</f>
        <v>-790982</v>
      </c>
      <c r="BL77" s="101" t="s">
        <v>487</v>
      </c>
      <c r="BM77" s="101" t="s">
        <v>487</v>
      </c>
      <c r="BN77" s="101">
        <f>'State and Local P&amp;L (detailed)'!$X$51</f>
        <v>-886172</v>
      </c>
      <c r="BO77" s="101" t="s">
        <v>487</v>
      </c>
      <c r="BP77" s="101" t="s">
        <v>487</v>
      </c>
      <c r="BQ77" s="101">
        <f>'State and Local P&amp;L (detailed)'!$Y$51</f>
        <v>-882285</v>
      </c>
      <c r="BR77" s="101" t="s">
        <v>487</v>
      </c>
      <c r="BS77" s="101" t="s">
        <v>487</v>
      </c>
      <c r="BT77" s="101">
        <f>'State and Local P&amp;L (detailed)'!$Z$51</f>
        <v>-936255</v>
      </c>
      <c r="BU77" s="101" t="s">
        <v>487</v>
      </c>
      <c r="BV77" s="101" t="s">
        <v>487</v>
      </c>
      <c r="BW77" s="101">
        <f>'State and Local P&amp;L (detailed)'!$AA$51</f>
        <v>-1099705</v>
      </c>
      <c r="BX77" s="101" t="s">
        <v>487</v>
      </c>
      <c r="BY77" s="101" t="s">
        <v>487</v>
      </c>
      <c r="BZ77" s="101">
        <f>'State and Local P&amp;L (detailed)'!$AB$51</f>
        <v>-1105067</v>
      </c>
      <c r="CA77" s="101" t="s">
        <v>487</v>
      </c>
      <c r="CB77" s="101" t="s">
        <v>487</v>
      </c>
      <c r="CC77" s="101">
        <f>'State and Local P&amp;L (detailed)'!$AC$51</f>
        <v>-1213166</v>
      </c>
      <c r="CD77" s="101" t="s">
        <v>487</v>
      </c>
      <c r="CE77" s="101" t="s">
        <v>487</v>
      </c>
      <c r="CF77" s="101">
        <f>'State and Local P&amp;L (detailed)'!$AD$51</f>
        <v>-1220428</v>
      </c>
      <c r="CG77" s="101" t="s">
        <v>487</v>
      </c>
      <c r="CH77" s="101" t="s">
        <v>487</v>
      </c>
      <c r="CI77" s="101">
        <f>'State and Local P&amp;L (detailed)'!$AE$51</f>
        <v>-1311677</v>
      </c>
      <c r="CJ77" s="101" t="s">
        <v>487</v>
      </c>
      <c r="CK77" s="101" t="s">
        <v>487</v>
      </c>
      <c r="CL77" s="101">
        <f>'State and Local P&amp;L (detailed)'!$AF$51</f>
        <v>-1298926</v>
      </c>
      <c r="CM77" s="101" t="s">
        <v>487</v>
      </c>
      <c r="CN77" s="101" t="s">
        <v>487</v>
      </c>
      <c r="CO77" s="101">
        <f>'State and Local P&amp;L (detailed)'!$AG$51</f>
        <v>-1357638</v>
      </c>
      <c r="CP77" s="101" t="s">
        <v>487</v>
      </c>
      <c r="CQ77" s="101" t="s">
        <v>487</v>
      </c>
      <c r="CR77" s="101">
        <f>'State and Local P&amp;L (detailed)'!$AH$51</f>
        <v>-1376209</v>
      </c>
      <c r="CS77" s="101" t="s">
        <v>487</v>
      </c>
      <c r="CT77" s="101" t="s">
        <v>487</v>
      </c>
      <c r="CU77" s="101">
        <f>'State and Local P&amp;L (detailed)'!$AI$51</f>
        <v>-1650804</v>
      </c>
      <c r="CV77" s="101" t="s">
        <v>487</v>
      </c>
      <c r="CW77" s="101" t="s">
        <v>487</v>
      </c>
      <c r="CX77" s="101">
        <f>'State and Local P&amp;L (detailed)'!$AJ$51</f>
        <v>-1842862</v>
      </c>
      <c r="CY77" s="101" t="s">
        <v>487</v>
      </c>
      <c r="CZ77" s="101" t="s">
        <v>487</v>
      </c>
      <c r="DA77" s="101">
        <f>'State and Local P&amp;L (detailed)'!$AK$51</f>
        <v>-1619002</v>
      </c>
      <c r="DB77" s="101" t="s">
        <v>487</v>
      </c>
      <c r="DC77" s="85" t="s">
        <v>487</v>
      </c>
      <c r="DD77" s="85">
        <f>'State and Local P&amp;L (detailed)'!$AL$51</f>
        <v>0</v>
      </c>
      <c r="DE77" s="85" t="s">
        <v>487</v>
      </c>
    </row>
    <row r="78" spans="1:109" outlineLevel="3">
      <c r="A78" s="31" t="s">
        <v>283</v>
      </c>
      <c r="B78" s="101" t="s">
        <v>487</v>
      </c>
      <c r="C78" s="101">
        <f>'State and Local P&amp;L (detailed)'!$C$52</f>
        <v>-1029796</v>
      </c>
      <c r="D78" s="101" t="s">
        <v>487</v>
      </c>
      <c r="E78" s="101" t="s">
        <v>487</v>
      </c>
      <c r="F78" s="101">
        <f>'State and Local P&amp;L (detailed)'!$D$52</f>
        <v>-1216762</v>
      </c>
      <c r="G78" s="101" t="s">
        <v>487</v>
      </c>
      <c r="H78" s="101" t="s">
        <v>487</v>
      </c>
      <c r="I78" s="101">
        <f>'State and Local P&amp;L (detailed)'!$E$52</f>
        <v>-1630330</v>
      </c>
      <c r="J78" s="101" t="s">
        <v>487</v>
      </c>
      <c r="K78" s="101" t="s">
        <v>487</v>
      </c>
      <c r="L78" s="101">
        <f>'State and Local P&amp;L (detailed)'!$F$52</f>
        <v>-2027139</v>
      </c>
      <c r="M78" s="101" t="s">
        <v>487</v>
      </c>
      <c r="N78" s="101" t="s">
        <v>487</v>
      </c>
      <c r="O78" s="101">
        <f>'State and Local P&amp;L (detailed)'!$G$52</f>
        <v>-2684522</v>
      </c>
      <c r="P78" s="101" t="s">
        <v>487</v>
      </c>
      <c r="Q78" s="101" t="s">
        <v>487</v>
      </c>
      <c r="R78" s="101">
        <f>'State and Local P&amp;L (detailed)'!$H$52</f>
        <v>-3523411</v>
      </c>
      <c r="S78" s="101" t="s">
        <v>487</v>
      </c>
      <c r="T78" s="101" t="s">
        <v>487</v>
      </c>
      <c r="U78" s="101">
        <f>'State and Local P&amp;L (detailed)'!$I$52</f>
        <v>-4690624</v>
      </c>
      <c r="V78" s="101" t="s">
        <v>487</v>
      </c>
      <c r="W78" s="101" t="s">
        <v>487</v>
      </c>
      <c r="X78" s="101">
        <f>'State and Local P&amp;L (detailed)'!$J$52</f>
        <v>-4842790</v>
      </c>
      <c r="Y78" s="101" t="s">
        <v>487</v>
      </c>
      <c r="Z78" s="101" t="s">
        <v>487</v>
      </c>
      <c r="AA78" s="101">
        <f>'State and Local P&amp;L (detailed)'!$K$52</f>
        <v>-5654352</v>
      </c>
      <c r="AB78" s="101" t="s">
        <v>487</v>
      </c>
      <c r="AC78" s="101" t="s">
        <v>487</v>
      </c>
      <c r="AD78" s="101">
        <f>'State and Local P&amp;L (detailed)'!$L$52</f>
        <v>-7059265</v>
      </c>
      <c r="AE78" s="101" t="s">
        <v>487</v>
      </c>
      <c r="AF78" s="101" t="s">
        <v>487</v>
      </c>
      <c r="AG78" s="101">
        <f>'State and Local P&amp;L (detailed)'!$M$52</f>
        <v>-7485308</v>
      </c>
      <c r="AH78" s="101" t="s">
        <v>487</v>
      </c>
      <c r="AI78" s="101" t="s">
        <v>487</v>
      </c>
      <c r="AJ78" s="101">
        <f>'State and Local P&amp;L (detailed)'!$N$52</f>
        <v>-7664880</v>
      </c>
      <c r="AK78" s="101" t="s">
        <v>487</v>
      </c>
      <c r="AL78" s="101" t="s">
        <v>487</v>
      </c>
      <c r="AM78" s="101">
        <f>'State and Local P&amp;L (detailed)'!$O$52</f>
        <v>-7844161</v>
      </c>
      <c r="AN78" s="101" t="s">
        <v>487</v>
      </c>
      <c r="AO78" s="101" t="s">
        <v>487</v>
      </c>
      <c r="AP78" s="101">
        <f>'State and Local P&amp;L (detailed)'!$P$52</f>
        <v>-8826523</v>
      </c>
      <c r="AQ78" s="101" t="s">
        <v>487</v>
      </c>
      <c r="AR78" s="101" t="s">
        <v>487</v>
      </c>
      <c r="AS78" s="101">
        <f>'State and Local P&amp;L (detailed)'!$Q$52</f>
        <v>-9794293</v>
      </c>
      <c r="AT78" s="101" t="s">
        <v>487</v>
      </c>
      <c r="AU78" s="101" t="s">
        <v>487</v>
      </c>
      <c r="AV78" s="101">
        <f>'State and Local P&amp;L (detailed)'!$R$52</f>
        <v>-10809971</v>
      </c>
      <c r="AW78" s="101" t="s">
        <v>487</v>
      </c>
      <c r="AX78" s="101" t="s">
        <v>487</v>
      </c>
      <c r="AY78" s="101">
        <f>'State and Local P&amp;L (detailed)'!$S$52</f>
        <v>-11811550</v>
      </c>
      <c r="AZ78" s="101" t="s">
        <v>487</v>
      </c>
      <c r="BA78" s="101" t="s">
        <v>487</v>
      </c>
      <c r="BB78" s="101">
        <f>'State and Local P&amp;L (detailed)'!$T$52</f>
        <v>-12100219</v>
      </c>
      <c r="BC78" s="101" t="s">
        <v>487</v>
      </c>
      <c r="BD78" s="101" t="s">
        <v>487</v>
      </c>
      <c r="BE78" s="101">
        <f>'State and Local P&amp;L (detailed)'!$U$52</f>
        <v>-12095577</v>
      </c>
      <c r="BF78" s="101" t="s">
        <v>487</v>
      </c>
      <c r="BG78" s="101" t="s">
        <v>487</v>
      </c>
      <c r="BH78" s="101">
        <f>'State and Local P&amp;L (detailed)'!$V$52</f>
        <v>-12324788</v>
      </c>
      <c r="BI78" s="101" t="s">
        <v>487</v>
      </c>
      <c r="BJ78" s="101" t="s">
        <v>487</v>
      </c>
      <c r="BK78" s="101">
        <f>'State and Local P&amp;L (detailed)'!$W$52</f>
        <v>-12156586</v>
      </c>
      <c r="BL78" s="101" t="s">
        <v>487</v>
      </c>
      <c r="BM78" s="101" t="s">
        <v>487</v>
      </c>
      <c r="BN78" s="101">
        <f>'State and Local P&amp;L (detailed)'!$X$52</f>
        <v>-12022163</v>
      </c>
      <c r="BO78" s="101" t="s">
        <v>487</v>
      </c>
      <c r="BP78" s="101" t="s">
        <v>487</v>
      </c>
      <c r="BQ78" s="101">
        <f>'State and Local P&amp;L (detailed)'!$Y$52</f>
        <v>-13263260</v>
      </c>
      <c r="BR78" s="101" t="s">
        <v>487</v>
      </c>
      <c r="BS78" s="101" t="s">
        <v>487</v>
      </c>
      <c r="BT78" s="101">
        <f>'State and Local P&amp;L (detailed)'!$Z$52</f>
        <v>-13853904</v>
      </c>
      <c r="BU78" s="101" t="s">
        <v>487</v>
      </c>
      <c r="BV78" s="101" t="s">
        <v>487</v>
      </c>
      <c r="BW78" s="101">
        <f>'State and Local P&amp;L (detailed)'!$AA$52</f>
        <v>-15099262</v>
      </c>
      <c r="BX78" s="101" t="s">
        <v>487</v>
      </c>
      <c r="BY78" s="101" t="s">
        <v>487</v>
      </c>
      <c r="BZ78" s="101">
        <f>'State and Local P&amp;L (detailed)'!$AB$52</f>
        <v>-15675487</v>
      </c>
      <c r="CA78" s="101" t="s">
        <v>487</v>
      </c>
      <c r="CB78" s="101" t="s">
        <v>487</v>
      </c>
      <c r="CC78" s="101">
        <f>'State and Local P&amp;L (detailed)'!$AC$52</f>
        <v>-16995089</v>
      </c>
      <c r="CD78" s="101" t="s">
        <v>487</v>
      </c>
      <c r="CE78" s="101" t="s">
        <v>487</v>
      </c>
      <c r="CF78" s="101">
        <f>'State and Local P&amp;L (detailed)'!$AD$52</f>
        <v>-17749751</v>
      </c>
      <c r="CG78" s="101" t="s">
        <v>487</v>
      </c>
      <c r="CH78" s="101" t="s">
        <v>487</v>
      </c>
      <c r="CI78" s="101">
        <f>'State and Local P&amp;L (detailed)'!$AE$52</f>
        <v>-18252970</v>
      </c>
      <c r="CJ78" s="101" t="s">
        <v>487</v>
      </c>
      <c r="CK78" s="101" t="s">
        <v>487</v>
      </c>
      <c r="CL78" s="101">
        <f>'State and Local P&amp;L (detailed)'!$AF$52</f>
        <v>-17741160</v>
      </c>
      <c r="CM78" s="101" t="s">
        <v>487</v>
      </c>
      <c r="CN78" s="101" t="s">
        <v>487</v>
      </c>
      <c r="CO78" s="101">
        <f>'State and Local P&amp;L (detailed)'!$AG$52</f>
        <v>-17815384</v>
      </c>
      <c r="CP78" s="101" t="s">
        <v>487</v>
      </c>
      <c r="CQ78" s="101" t="s">
        <v>487</v>
      </c>
      <c r="CR78" s="101">
        <f>'State and Local P&amp;L (detailed)'!$AH$52</f>
        <v>-18227379</v>
      </c>
      <c r="CS78" s="101" t="s">
        <v>487</v>
      </c>
      <c r="CT78" s="101" t="s">
        <v>487</v>
      </c>
      <c r="CU78" s="101">
        <f>'State and Local P&amp;L (detailed)'!$AI$52</f>
        <v>-19736863</v>
      </c>
      <c r="CV78" s="101" t="s">
        <v>487</v>
      </c>
      <c r="CW78" s="101" t="s">
        <v>487</v>
      </c>
      <c r="CX78" s="101">
        <f>'State and Local P&amp;L (detailed)'!$AJ$52</f>
        <v>-20418338</v>
      </c>
      <c r="CY78" s="101" t="s">
        <v>487</v>
      </c>
      <c r="CZ78" s="101" t="s">
        <v>487</v>
      </c>
      <c r="DA78" s="101">
        <f>'State and Local P&amp;L (detailed)'!$AK$52</f>
        <v>-20987366</v>
      </c>
      <c r="DB78" s="101" t="s">
        <v>487</v>
      </c>
      <c r="DC78" s="85" t="s">
        <v>487</v>
      </c>
      <c r="DD78" s="85">
        <f>'State and Local P&amp;L (detailed)'!$AL$52</f>
        <v>0</v>
      </c>
      <c r="DE78" s="85" t="s">
        <v>487</v>
      </c>
    </row>
    <row r="79" spans="1:109" outlineLevel="3">
      <c r="A79" s="31" t="s">
        <v>290</v>
      </c>
      <c r="B79" s="101" t="s">
        <v>487</v>
      </c>
      <c r="C79" s="101">
        <f>'State and Local P&amp;L (detailed)'!$C$53</f>
        <v>-1312</v>
      </c>
      <c r="D79" s="101" t="s">
        <v>487</v>
      </c>
      <c r="E79" s="101" t="s">
        <v>487</v>
      </c>
      <c r="F79" s="101">
        <f>'State and Local P&amp;L (detailed)'!$D$53</f>
        <v>483</v>
      </c>
      <c r="G79" s="101" t="s">
        <v>487</v>
      </c>
      <c r="H79" s="101" t="s">
        <v>487</v>
      </c>
      <c r="I79" s="101">
        <f>'State and Local P&amp;L (detailed)'!$E$53</f>
        <v>-7693</v>
      </c>
      <c r="J79" s="101" t="s">
        <v>487</v>
      </c>
      <c r="K79" s="101" t="s">
        <v>487</v>
      </c>
      <c r="L79" s="101">
        <f>'State and Local P&amp;L (detailed)'!$F$53</f>
        <v>11350</v>
      </c>
      <c r="M79" s="101" t="s">
        <v>487</v>
      </c>
      <c r="N79" s="101" t="s">
        <v>487</v>
      </c>
      <c r="O79" s="101">
        <f>'State and Local P&amp;L (detailed)'!$G$53</f>
        <v>-9696</v>
      </c>
      <c r="P79" s="101" t="s">
        <v>487</v>
      </c>
      <c r="Q79" s="101" t="s">
        <v>487</v>
      </c>
      <c r="R79" s="101">
        <f>'State and Local P&amp;L (detailed)'!$H$53</f>
        <v>-19281</v>
      </c>
      <c r="S79" s="101" t="s">
        <v>487</v>
      </c>
      <c r="T79" s="101" t="s">
        <v>487</v>
      </c>
      <c r="U79" s="101">
        <f>'State and Local P&amp;L (detailed)'!$I$53</f>
        <v>-22227</v>
      </c>
      <c r="V79" s="101" t="s">
        <v>487</v>
      </c>
      <c r="W79" s="101" t="s">
        <v>487</v>
      </c>
      <c r="X79" s="101">
        <f>'State and Local P&amp;L (detailed)'!$J$53</f>
        <v>-4615</v>
      </c>
      <c r="Y79" s="101" t="s">
        <v>487</v>
      </c>
      <c r="Z79" s="101" t="s">
        <v>487</v>
      </c>
      <c r="AA79" s="101">
        <f>'State and Local P&amp;L (detailed)'!$K$53</f>
        <v>25806</v>
      </c>
      <c r="AB79" s="101" t="s">
        <v>487</v>
      </c>
      <c r="AC79" s="101" t="s">
        <v>487</v>
      </c>
      <c r="AD79" s="101">
        <f>'State and Local P&amp;L (detailed)'!$L$53</f>
        <v>6102</v>
      </c>
      <c r="AE79" s="101" t="s">
        <v>487</v>
      </c>
      <c r="AF79" s="101" t="s">
        <v>487</v>
      </c>
      <c r="AG79" s="101">
        <f>'State and Local P&amp;L (detailed)'!$M$53</f>
        <v>-4054</v>
      </c>
      <c r="AH79" s="101" t="s">
        <v>487</v>
      </c>
      <c r="AI79" s="101" t="s">
        <v>487</v>
      </c>
      <c r="AJ79" s="101">
        <f>'State and Local P&amp;L (detailed)'!$N$53</f>
        <v>-14499</v>
      </c>
      <c r="AK79" s="101" t="s">
        <v>487</v>
      </c>
      <c r="AL79" s="101" t="s">
        <v>487</v>
      </c>
      <c r="AM79" s="101">
        <f>'State and Local P&amp;L (detailed)'!$O$53</f>
        <v>-34365</v>
      </c>
      <c r="AN79" s="101" t="s">
        <v>487</v>
      </c>
      <c r="AO79" s="101" t="s">
        <v>487</v>
      </c>
      <c r="AP79" s="101">
        <f>'State and Local P&amp;L (detailed)'!$P$53</f>
        <v>-67035</v>
      </c>
      <c r="AQ79" s="101" t="s">
        <v>487</v>
      </c>
      <c r="AR79" s="101" t="s">
        <v>487</v>
      </c>
      <c r="AS79" s="101">
        <f>'State and Local P&amp;L (detailed)'!$Q$53</f>
        <v>-12830</v>
      </c>
      <c r="AT79" s="101" t="s">
        <v>487</v>
      </c>
      <c r="AU79" s="101" t="s">
        <v>487</v>
      </c>
      <c r="AV79" s="101">
        <f>'State and Local P&amp;L (detailed)'!$R$53</f>
        <v>-41780</v>
      </c>
      <c r="AW79" s="101" t="s">
        <v>487</v>
      </c>
      <c r="AX79" s="101" t="s">
        <v>487</v>
      </c>
      <c r="AY79" s="101">
        <f>'State and Local P&amp;L (detailed)'!$S$53</f>
        <v>-24592</v>
      </c>
      <c r="AZ79" s="101" t="s">
        <v>487</v>
      </c>
      <c r="BA79" s="101" t="s">
        <v>487</v>
      </c>
      <c r="BB79" s="101">
        <f>'State and Local P&amp;L (detailed)'!$T$53</f>
        <v>-69903</v>
      </c>
      <c r="BC79" s="101" t="s">
        <v>487</v>
      </c>
      <c r="BD79" s="101" t="s">
        <v>487</v>
      </c>
      <c r="BE79" s="101">
        <f>'State and Local P&amp;L (detailed)'!$U$53</f>
        <v>-57072</v>
      </c>
      <c r="BF79" s="101" t="s">
        <v>487</v>
      </c>
      <c r="BG79" s="101" t="s">
        <v>487</v>
      </c>
      <c r="BH79" s="101">
        <f>'State and Local P&amp;L (detailed)'!$V$53</f>
        <v>-54778</v>
      </c>
      <c r="BI79" s="101" t="s">
        <v>487</v>
      </c>
      <c r="BJ79" s="101" t="s">
        <v>487</v>
      </c>
      <c r="BK79" s="101">
        <f>'State and Local P&amp;L (detailed)'!$W$53</f>
        <v>12731</v>
      </c>
      <c r="BL79" s="101" t="s">
        <v>487</v>
      </c>
      <c r="BM79" s="101" t="s">
        <v>487</v>
      </c>
      <c r="BN79" s="101">
        <f>'State and Local P&amp;L (detailed)'!$X$53</f>
        <v>41894</v>
      </c>
      <c r="BO79" s="101" t="s">
        <v>487</v>
      </c>
      <c r="BP79" s="101" t="s">
        <v>487</v>
      </c>
      <c r="BQ79" s="101">
        <f>'State and Local P&amp;L (detailed)'!$Y$53</f>
        <v>52345</v>
      </c>
      <c r="BR79" s="101" t="s">
        <v>487</v>
      </c>
      <c r="BS79" s="101" t="s">
        <v>487</v>
      </c>
      <c r="BT79" s="101">
        <f>'State and Local P&amp;L (detailed)'!$Z$53</f>
        <v>-491869</v>
      </c>
      <c r="BU79" s="101" t="s">
        <v>487</v>
      </c>
      <c r="BV79" s="101" t="s">
        <v>487</v>
      </c>
      <c r="BW79" s="101">
        <f>'State and Local P&amp;L (detailed)'!$AA$53</f>
        <v>-422117</v>
      </c>
      <c r="BX79" s="101" t="s">
        <v>487</v>
      </c>
      <c r="BY79" s="101" t="s">
        <v>487</v>
      </c>
      <c r="BZ79" s="101">
        <f>'State and Local P&amp;L (detailed)'!$AB$53</f>
        <v>3071649</v>
      </c>
      <c r="CA79" s="101" t="s">
        <v>487</v>
      </c>
      <c r="CB79" s="101" t="s">
        <v>487</v>
      </c>
      <c r="CC79" s="101">
        <f>'State and Local P&amp;L (detailed)'!$AC$53</f>
        <v>3798415</v>
      </c>
      <c r="CD79" s="101" t="s">
        <v>487</v>
      </c>
      <c r="CE79" s="101" t="s">
        <v>487</v>
      </c>
      <c r="CF79" s="101">
        <f>'State and Local P&amp;L (detailed)'!$AD$53</f>
        <v>-1394996</v>
      </c>
      <c r="CG79" s="101" t="s">
        <v>487</v>
      </c>
      <c r="CH79" s="101" t="s">
        <v>487</v>
      </c>
      <c r="CI79" s="101">
        <f>'State and Local P&amp;L (detailed)'!$AE$53</f>
        <v>-2698071</v>
      </c>
      <c r="CJ79" s="101" t="s">
        <v>487</v>
      </c>
      <c r="CK79" s="101" t="s">
        <v>487</v>
      </c>
      <c r="CL79" s="101">
        <f>'State and Local P&amp;L (detailed)'!$AF$53</f>
        <v>-1612911</v>
      </c>
      <c r="CM79" s="101" t="s">
        <v>487</v>
      </c>
      <c r="CN79" s="101" t="s">
        <v>487</v>
      </c>
      <c r="CO79" s="101">
        <f>'State and Local P&amp;L (detailed)'!$AG$53</f>
        <v>-2266702</v>
      </c>
      <c r="CP79" s="101" t="s">
        <v>487</v>
      </c>
      <c r="CQ79" s="101" t="s">
        <v>487</v>
      </c>
      <c r="CR79" s="101">
        <f>'State and Local P&amp;L (detailed)'!$AH$53</f>
        <v>-2402775</v>
      </c>
      <c r="CS79" s="101" t="s">
        <v>487</v>
      </c>
      <c r="CT79" s="101" t="s">
        <v>487</v>
      </c>
      <c r="CU79" s="101">
        <f>'State and Local P&amp;L (detailed)'!$AI$53</f>
        <v>-1757691</v>
      </c>
      <c r="CV79" s="101" t="s">
        <v>487</v>
      </c>
      <c r="CW79" s="101" t="s">
        <v>487</v>
      </c>
      <c r="CX79" s="101">
        <f>'State and Local P&amp;L (detailed)'!$AJ$53</f>
        <v>-1814103</v>
      </c>
      <c r="CY79" s="101" t="s">
        <v>487</v>
      </c>
      <c r="CZ79" s="101" t="s">
        <v>487</v>
      </c>
      <c r="DA79" s="101">
        <f>'State and Local P&amp;L (detailed)'!$AK$53</f>
        <v>-1803717</v>
      </c>
      <c r="DB79" s="101" t="s">
        <v>487</v>
      </c>
      <c r="DC79" s="85" t="s">
        <v>487</v>
      </c>
      <c r="DD79" s="85">
        <f>'State and Local P&amp;L (detailed)'!$AL$53</f>
        <v>0</v>
      </c>
      <c r="DE79" s="85" t="s">
        <v>487</v>
      </c>
    </row>
    <row r="80" spans="1:109" outlineLevel="2">
      <c r="A80" s="29" t="s">
        <v>66</v>
      </c>
      <c r="B80" s="94">
        <f>SUMIFS('Federal Data'!M2:M501,'Federal Data'!$G2:$G501,"Banking and Finance",'Federal Data'!$D2:$D501,"Nongrant")</f>
        <v>-258658</v>
      </c>
      <c r="C80" s="101" t="s">
        <v>487</v>
      </c>
      <c r="D80" s="101">
        <f t="shared" ref="D80:D95" si="148">SUM(B80:C80)</f>
        <v>-258658</v>
      </c>
      <c r="E80" s="94">
        <f>SUMIFS('Federal Data'!N2:N501,'Federal Data'!$G2:$G501,"Banking and Finance",'Federal Data'!$D2:$D501,"Nongrant")</f>
        <v>-1220755</v>
      </c>
      <c r="F80" s="101" t="s">
        <v>487</v>
      </c>
      <c r="G80" s="101">
        <f t="shared" ref="G80:G95" si="149">SUM(E80:F80)</f>
        <v>-1220755</v>
      </c>
      <c r="H80" s="94">
        <f>SUMIFS('Federal Data'!O2:O501,'Federal Data'!$G2:$G501,"Banking and Finance",'Federal Data'!$D2:$D501,"Nongrant")</f>
        <v>-1948729</v>
      </c>
      <c r="I80" s="101" t="s">
        <v>487</v>
      </c>
      <c r="J80" s="101">
        <f t="shared" ref="J80:J95" si="150">SUM(H80:I80)</f>
        <v>-1948729</v>
      </c>
      <c r="K80" s="94">
        <f>SUMIFS('Federal Data'!P2:P501,'Federal Data'!$G2:$G501,"Banking and Finance",'Federal Data'!$D2:$D501,"Nongrant")</f>
        <v>-1542021</v>
      </c>
      <c r="L80" s="101" t="s">
        <v>487</v>
      </c>
      <c r="M80" s="101">
        <f t="shared" ref="M80:M95" si="151">SUM(K80:L80)</f>
        <v>-1542021</v>
      </c>
      <c r="N80" s="94">
        <f>SUMIFS('Federal Data'!Q2:Q501,'Federal Data'!$G2:$G501,"Banking and Finance",'Federal Data'!$D2:$D501,"Nongrant")</f>
        <v>-590554</v>
      </c>
      <c r="O80" s="101" t="s">
        <v>487</v>
      </c>
      <c r="P80" s="101">
        <f t="shared" ref="P80:P95" si="152">SUM(N80:O80)</f>
        <v>-590554</v>
      </c>
      <c r="Q80" s="94">
        <f>SUMIFS('Federal Data'!R2:R501,'Federal Data'!$G2:$G501,"Banking and Finance",'Federal Data'!$D2:$D501,"Nongrant")</f>
        <v>-2169768</v>
      </c>
      <c r="R80" s="101" t="s">
        <v>487</v>
      </c>
      <c r="S80" s="101">
        <f t="shared" ref="S80:S95" si="153">SUM(Q80:R80)</f>
        <v>-2169768</v>
      </c>
      <c r="T80" s="94">
        <f>SUMIFS('Federal Data'!S2:S501,'Federal Data'!$G2:$G501,"Banking and Finance",'Federal Data'!$D2:$D501,"Nongrant")</f>
        <v>1422164</v>
      </c>
      <c r="U80" s="101" t="s">
        <v>487</v>
      </c>
      <c r="V80" s="101">
        <f t="shared" ref="V80:V95" si="154">SUM(T80:U80)</f>
        <v>1422164</v>
      </c>
      <c r="W80" s="94">
        <f>SUMIFS('Federal Data'!T2:T501,'Federal Data'!$G2:$G501,"Banking and Finance",'Federal Data'!$D2:$D501,"Nongrant")</f>
        <v>3135405</v>
      </c>
      <c r="X80" s="101" t="s">
        <v>487</v>
      </c>
      <c r="Y80" s="101">
        <f t="shared" ref="Y80:Y95" si="155">SUM(W80:X80)</f>
        <v>3135405</v>
      </c>
      <c r="Z80" s="94">
        <f>SUMIFS('Federal Data'!U2:U501,'Federal Data'!$G2:$G501,"Banking and Finance",'Federal Data'!$D2:$D501,"Nongrant")</f>
        <v>10051919</v>
      </c>
      <c r="AA80" s="101" t="s">
        <v>487</v>
      </c>
      <c r="AB80" s="101">
        <f t="shared" ref="AB80:AB95" si="156">SUM(Z80:AA80)</f>
        <v>10051919</v>
      </c>
      <c r="AC80" s="94">
        <f>SUMIFS('Federal Data'!V2:V501,'Federal Data'!$G2:$G501,"Banking and Finance",'Federal Data'!$D2:$D501,"Nongrant")</f>
        <v>22030787</v>
      </c>
      <c r="AD80" s="101" t="s">
        <v>487</v>
      </c>
      <c r="AE80" s="101">
        <f t="shared" ref="AE80:AE95" si="157">SUM(AC80:AD80)</f>
        <v>22030787</v>
      </c>
      <c r="AF80" s="94">
        <f>SUMIFS('Federal Data'!W2:W501,'Federal Data'!$G2:$G501,"Banking and Finance",'Federal Data'!$D2:$D501,"Nongrant")</f>
        <v>57921792</v>
      </c>
      <c r="AG80" s="101" t="s">
        <v>487</v>
      </c>
      <c r="AH80" s="101">
        <f t="shared" ref="AH80:AH95" si="158">SUM(AF80:AG80)</f>
        <v>57921792</v>
      </c>
      <c r="AI80" s="94">
        <f>SUMIFS('Federal Data'!X2:X501,'Federal Data'!$G2:$G501,"Banking and Finance",'Federal Data'!$D2:$D501,"Nongrant")</f>
        <v>66277369</v>
      </c>
      <c r="AJ80" s="101" t="s">
        <v>487</v>
      </c>
      <c r="AK80" s="101">
        <f t="shared" ref="AK80:AK95" si="159">SUM(AI80:AJ80)</f>
        <v>66277369</v>
      </c>
      <c r="AL80" s="94">
        <f>SUMIFS('Federal Data'!Y2:Y501,'Federal Data'!$G2:$G501,"Banking and Finance",'Federal Data'!$D2:$D501,"Nongrant")</f>
        <v>2559177</v>
      </c>
      <c r="AM80" s="101" t="s">
        <v>487</v>
      </c>
      <c r="AN80" s="101">
        <f t="shared" ref="AN80:AN95" si="160">SUM(AL80:AM80)</f>
        <v>2559177</v>
      </c>
      <c r="AO80" s="94">
        <f>SUMIFS('Federal Data'!Z2:Z501,'Federal Data'!$G2:$G501,"Banking and Finance",'Federal Data'!$D2:$D501,"Nongrant")</f>
        <v>-27908193</v>
      </c>
      <c r="AP80" s="101" t="s">
        <v>487</v>
      </c>
      <c r="AQ80" s="101">
        <f t="shared" ref="AQ80:AQ95" si="161">SUM(AO80:AP80)</f>
        <v>-27908193</v>
      </c>
      <c r="AR80" s="94">
        <f>SUMIFS('Federal Data'!AA2:AA501,'Federal Data'!$G2:$G501,"Banking and Finance",'Federal Data'!$D2:$D501,"Nongrant")</f>
        <v>-7522106</v>
      </c>
      <c r="AS80" s="101" t="s">
        <v>487</v>
      </c>
      <c r="AT80" s="101">
        <f t="shared" ref="AT80:AT95" si="162">SUM(AR80:AS80)</f>
        <v>-7522106</v>
      </c>
      <c r="AU80" s="94">
        <f>SUMIFS('Federal Data'!AB2:AB501,'Federal Data'!$G2:$G501,"Banking and Finance",'Federal Data'!$D2:$D501,"Nongrant")</f>
        <v>-17775000</v>
      </c>
      <c r="AV80" s="101" t="s">
        <v>487</v>
      </c>
      <c r="AW80" s="101">
        <f t="shared" ref="AW80:AW95" si="163">SUM(AU80:AV80)</f>
        <v>-17775000</v>
      </c>
      <c r="AX80" s="94">
        <f>SUMIFS('Federal Data'!AC2:AC501,'Federal Data'!$G2:$G501,"Banking and Finance",'Federal Data'!$D2:$D501,"Nongrant")</f>
        <v>-8342000</v>
      </c>
      <c r="AY80" s="101" t="s">
        <v>487</v>
      </c>
      <c r="AZ80" s="101">
        <f t="shared" ref="AZ80:AZ95" si="164">SUM(AX80:AY80)</f>
        <v>-8342000</v>
      </c>
      <c r="BA80" s="94">
        <f>SUMIFS('Federal Data'!AD2:AD501,'Federal Data'!$G2:$G501,"Banking and Finance",'Federal Data'!$D2:$D501,"Nongrant")</f>
        <v>-14330000</v>
      </c>
      <c r="BB80" s="101" t="s">
        <v>487</v>
      </c>
      <c r="BC80" s="101">
        <f t="shared" ref="BC80:BC95" si="165">SUM(BA80:BB80)</f>
        <v>-14330000</v>
      </c>
      <c r="BD80" s="94">
        <f>SUMIFS('Federal Data'!AE2:AE501,'Federal Data'!$G2:$G501,"Banking and Finance",'Federal Data'!$D2:$D501,"Nongrant")</f>
        <v>-4310000</v>
      </c>
      <c r="BE80" s="101" t="s">
        <v>487</v>
      </c>
      <c r="BF80" s="101">
        <f t="shared" ref="BF80:BF95" si="166">SUM(BD80:BE80)</f>
        <v>-4310000</v>
      </c>
      <c r="BG80" s="94">
        <f>SUMIFS('Federal Data'!AF2:AF501,'Federal Data'!$G2:$G501,"Banking and Finance",'Federal Data'!$D2:$D501,"Nongrant")</f>
        <v>-5219000</v>
      </c>
      <c r="BH80" s="101" t="s">
        <v>487</v>
      </c>
      <c r="BI80" s="101">
        <f t="shared" ref="BI80:BI95" si="167">SUM(BG80:BH80)</f>
        <v>-5219000</v>
      </c>
      <c r="BJ80" s="94">
        <f>SUMIFS('Federal Data'!AG2:AG501,'Federal Data'!$G2:$G501,"Banking and Finance",'Federal Data'!$D2:$D501,"Nongrant")</f>
        <v>-2988000</v>
      </c>
      <c r="BK80" s="101" t="s">
        <v>487</v>
      </c>
      <c r="BL80" s="101">
        <f t="shared" ref="BL80:BL95" si="168">SUM(BJ80:BK80)</f>
        <v>-2988000</v>
      </c>
      <c r="BM80" s="94">
        <f>SUMIFS('Federal Data'!AH2:AH501,'Federal Data'!$G2:$G501,"Banking and Finance",'Federal Data'!$D2:$D501,"Nongrant")</f>
        <v>-1502000</v>
      </c>
      <c r="BN80" s="101" t="s">
        <v>487</v>
      </c>
      <c r="BO80" s="101">
        <f t="shared" ref="BO80:BO95" si="169">SUM(BM80:BN80)</f>
        <v>-1502000</v>
      </c>
      <c r="BP80" s="94">
        <f>SUMIFS('Federal Data'!AI2:AI501,'Federal Data'!$G2:$G501,"Banking and Finance",'Federal Data'!$D2:$D501,"Nongrant")</f>
        <v>-952000</v>
      </c>
      <c r="BQ80" s="101" t="s">
        <v>487</v>
      </c>
      <c r="BR80" s="101">
        <f t="shared" ref="BR80:BR95" si="170">SUM(BP80:BQ80)</f>
        <v>-952000</v>
      </c>
      <c r="BS80" s="94">
        <f>SUMIFS('Federal Data'!AJ2:AJ501,'Federal Data'!$G2:$G501,"Banking and Finance",'Federal Data'!$D2:$D501,"Nongrant")</f>
        <v>-1344000</v>
      </c>
      <c r="BT80" s="101" t="s">
        <v>487</v>
      </c>
      <c r="BU80" s="101">
        <f t="shared" ref="BU80:BU95" si="171">SUM(BS80:BT80)</f>
        <v>-1344000</v>
      </c>
      <c r="BV80" s="94">
        <f>SUMIFS('Federal Data'!AK2:AK501,'Federal Data'!$G2:$G501,"Banking and Finance",'Federal Data'!$D2:$D501,"Nongrant")</f>
        <v>-1877000</v>
      </c>
      <c r="BW80" s="101" t="s">
        <v>487</v>
      </c>
      <c r="BX80" s="101">
        <f t="shared" ref="BX80:BX95" si="172">SUM(BV80:BW80)</f>
        <v>-1877000</v>
      </c>
      <c r="BY80" s="94">
        <f>SUMIFS('Federal Data'!AL2:AL501,'Federal Data'!$G2:$G501,"Banking and Finance",'Federal Data'!$D2:$D501,"Nongrant")</f>
        <v>-1270000</v>
      </c>
      <c r="BZ80" s="101" t="s">
        <v>487</v>
      </c>
      <c r="CA80" s="101">
        <f t="shared" ref="CA80:CA95" si="173">SUM(BY80:BZ80)</f>
        <v>-1270000</v>
      </c>
      <c r="CB80" s="94">
        <f>SUMIFS('Federal Data'!AM2:AM501,'Federal Data'!$G2:$G501,"Banking and Finance",'Federal Data'!$D2:$D501,"Nongrant")</f>
        <v>-1006000</v>
      </c>
      <c r="CC80" s="101" t="s">
        <v>487</v>
      </c>
      <c r="CD80" s="101">
        <f t="shared" ref="CD80:CD95" si="174">SUM(CB80:CC80)</f>
        <v>-1006000</v>
      </c>
      <c r="CE80" s="94">
        <f>SUMIFS('Federal Data'!AN2:AN501,'Federal Data'!$G2:$G501,"Banking and Finance",'Federal Data'!$D2:$D501,"Nongrant")</f>
        <v>-1389000</v>
      </c>
      <c r="CF80" s="101" t="s">
        <v>487</v>
      </c>
      <c r="CG80" s="101">
        <f t="shared" ref="CG80:CG95" si="175">SUM(CE80:CF80)</f>
        <v>-1389000</v>
      </c>
      <c r="CH80" s="94">
        <f>SUMIFS('Federal Data'!AO2:AO501,'Federal Data'!$G2:$G501,"Banking and Finance",'Federal Data'!$D2:$D501,"Nongrant")</f>
        <v>18827000</v>
      </c>
      <c r="CI80" s="101" t="s">
        <v>487</v>
      </c>
      <c r="CJ80" s="101">
        <f t="shared" ref="CJ80:CJ95" si="176">SUM(CH80:CI80)</f>
        <v>18827000</v>
      </c>
      <c r="CK80" s="94">
        <f>SUMIFS('Federal Data'!AP2:AP501,'Federal Data'!$G2:$G501,"Banking and Finance",'Federal Data'!$D2:$D501,"Nongrant")</f>
        <v>172792000</v>
      </c>
      <c r="CL80" s="101" t="s">
        <v>487</v>
      </c>
      <c r="CM80" s="101">
        <f t="shared" ref="CM80:CM95" si="177">SUM(CK80:CL80)</f>
        <v>172792000</v>
      </c>
      <c r="CN80" s="94">
        <f>SUMIFS('Federal Data'!AQ2:AQ501,'Federal Data'!$G2:$G501,"Banking and Finance",'Federal Data'!$D2:$D501,"Nongrant")</f>
        <v>-142029000</v>
      </c>
      <c r="CO80" s="101" t="s">
        <v>487</v>
      </c>
      <c r="CP80" s="101">
        <f t="shared" ref="CP80:CP95" si="178">SUM(CN80:CO80)</f>
        <v>-142029000</v>
      </c>
      <c r="CQ80" s="94">
        <f>SUMIFS('Federal Data'!AR2:AR501,'Federal Data'!$G2:$G501,"Banking and Finance",'Federal Data'!$D2:$D501,"Nongrant")</f>
        <v>-47390000</v>
      </c>
      <c r="CR80" s="101" t="s">
        <v>487</v>
      </c>
      <c r="CS80" s="101">
        <f t="shared" ref="CS80:CS95" si="179">SUM(CQ80:CR80)</f>
        <v>-47390000</v>
      </c>
      <c r="CT80" s="94">
        <f>SUMIFS('Federal Data'!AS2:AS501,'Federal Data'!$G2:$G501,"Banking and Finance",'Federal Data'!$D2:$D501,"Nongrant")</f>
        <v>28221000</v>
      </c>
      <c r="CU80" s="101" t="s">
        <v>487</v>
      </c>
      <c r="CV80" s="101">
        <f t="shared" ref="CV80:CV95" si="180">SUM(CT80:CU80)</f>
        <v>28221000</v>
      </c>
      <c r="CW80" s="94">
        <f>SUMIFS('Federal Data'!AT2:AT501,'Federal Data'!$G2:$G501,"Banking and Finance",'Federal Data'!$D2:$D501,"Nongrant")</f>
        <v>-7811000</v>
      </c>
      <c r="CX80" s="101" t="s">
        <v>487</v>
      </c>
      <c r="CY80" s="101">
        <f t="shared" ref="CY80:CY95" si="181">SUM(CW80:CX80)</f>
        <v>-7811000</v>
      </c>
      <c r="CZ80" s="94">
        <f>SUMIFS('Federal Data'!AU2:AU501,'Federal Data'!$G2:$G501,"Banking and Finance",'Federal Data'!$D2:$D501,"Nongrant")</f>
        <v>-21359000</v>
      </c>
      <c r="DA80" s="101" t="s">
        <v>487</v>
      </c>
      <c r="DB80" s="101">
        <f t="shared" ref="DB80:DB95" si="182">SUM(CZ80:DA80)</f>
        <v>-21359000</v>
      </c>
      <c r="DC80" s="37">
        <f>SUMIFS('Federal Data'!AV2:AV501,'Federal Data'!$G2:$G501,"Banking and Finance",'Federal Data'!$D2:$D501,"Nongrant")</f>
        <v>-13790000</v>
      </c>
      <c r="DD80" s="85" t="s">
        <v>487</v>
      </c>
      <c r="DE80" s="85">
        <f t="shared" ref="DE80:DE95" si="183">SUM(DC80:DD80)</f>
        <v>-13790000</v>
      </c>
    </row>
    <row r="81" spans="1:109" outlineLevel="3">
      <c r="A81" s="31" t="s">
        <v>100</v>
      </c>
      <c r="B81" s="94">
        <f>SUMIFS('Federal Data'!M2:M501,'Federal Data'!$H2:$H501,"Deposit Insurance",'Federal Data'!$D2:$D501,"Nongrant")</f>
        <v>-284839</v>
      </c>
      <c r="C81" s="101" t="s">
        <v>487</v>
      </c>
      <c r="D81" s="101">
        <f t="shared" si="148"/>
        <v>-284839</v>
      </c>
      <c r="E81" s="94">
        <f>SUMIFS('Federal Data'!N2:N501,'Federal Data'!$H2:$H501,"Deposit Insurance",'Federal Data'!$D2:$D501,"Nongrant")</f>
        <v>-1371379</v>
      </c>
      <c r="F81" s="101" t="s">
        <v>487</v>
      </c>
      <c r="G81" s="101">
        <f t="shared" si="149"/>
        <v>-1371379</v>
      </c>
      <c r="H81" s="94">
        <f>SUMIFS('Federal Data'!O2:O501,'Federal Data'!$H2:$H501,"Deposit Insurance",'Federal Data'!$D2:$D501,"Nongrant")</f>
        <v>-2056070</v>
      </c>
      <c r="I81" s="101" t="s">
        <v>487</v>
      </c>
      <c r="J81" s="101">
        <f t="shared" si="150"/>
        <v>-2056070</v>
      </c>
      <c r="K81" s="94">
        <f>SUMIFS('Federal Data'!P2:P501,'Federal Data'!$H2:$H501,"Deposit Insurance",'Federal Data'!$D2:$D501,"Nongrant")</f>
        <v>-1252988</v>
      </c>
      <c r="L81" s="101" t="s">
        <v>487</v>
      </c>
      <c r="M81" s="101">
        <f t="shared" si="151"/>
        <v>-1252988</v>
      </c>
      <c r="N81" s="94">
        <f>SUMIFS('Federal Data'!Q2:Q501,'Federal Data'!$H2:$H501,"Deposit Insurance",'Federal Data'!$D2:$D501,"Nongrant")</f>
        <v>-615850</v>
      </c>
      <c r="O81" s="101" t="s">
        <v>487</v>
      </c>
      <c r="P81" s="101">
        <f t="shared" si="152"/>
        <v>-615850</v>
      </c>
      <c r="Q81" s="94">
        <f>SUMIFS('Federal Data'!R2:R501,'Federal Data'!$H2:$H501,"Deposit Insurance",'Federal Data'!$D2:$D501,"Nongrant")</f>
        <v>-2197646</v>
      </c>
      <c r="R81" s="101" t="s">
        <v>487</v>
      </c>
      <c r="S81" s="101">
        <f t="shared" si="153"/>
        <v>-2197646</v>
      </c>
      <c r="T81" s="94">
        <f>SUMIFS('Federal Data'!S2:S501,'Federal Data'!$H2:$H501,"Deposit Insurance",'Federal Data'!$D2:$D501,"Nongrant")</f>
        <v>1394289</v>
      </c>
      <c r="U81" s="101" t="s">
        <v>487</v>
      </c>
      <c r="V81" s="101">
        <f t="shared" si="154"/>
        <v>1394289</v>
      </c>
      <c r="W81" s="94">
        <f>SUMIFS('Federal Data'!T2:T501,'Federal Data'!$H2:$H501,"Deposit Insurance",'Federal Data'!$D2:$D501,"Nongrant")</f>
        <v>3106386</v>
      </c>
      <c r="X81" s="101" t="s">
        <v>487</v>
      </c>
      <c r="Y81" s="101">
        <f t="shared" si="155"/>
        <v>3106386</v>
      </c>
      <c r="Z81" s="94">
        <f>SUMIFS('Federal Data'!U2:U501,'Federal Data'!$H2:$H501,"Deposit Insurance",'Federal Data'!$D2:$D501,"Nongrant")</f>
        <v>10019627</v>
      </c>
      <c r="AA81" s="101" t="s">
        <v>487</v>
      </c>
      <c r="AB81" s="101">
        <f t="shared" si="156"/>
        <v>10019627</v>
      </c>
      <c r="AC81" s="94">
        <f>SUMIFS('Federal Data'!V2:V501,'Federal Data'!$H2:$H501,"Deposit Insurance",'Federal Data'!$D2:$D501,"Nongrant")</f>
        <v>21996374</v>
      </c>
      <c r="AD81" s="101" t="s">
        <v>487</v>
      </c>
      <c r="AE81" s="101">
        <f t="shared" si="157"/>
        <v>21996374</v>
      </c>
      <c r="AF81" s="94">
        <f>SUMIFS('Federal Data'!W2:W501,'Federal Data'!$H2:$H501,"Deposit Insurance",'Federal Data'!$D2:$D501,"Nongrant")</f>
        <v>57891134</v>
      </c>
      <c r="AG81" s="101" t="s">
        <v>487</v>
      </c>
      <c r="AH81" s="101">
        <f t="shared" si="158"/>
        <v>57891134</v>
      </c>
      <c r="AI81" s="94">
        <f>SUMIFS('Federal Data'!X2:X501,'Federal Data'!$H2:$H501,"Deposit Insurance",'Federal Data'!$D2:$D501,"Nongrant")</f>
        <v>66232100</v>
      </c>
      <c r="AJ81" s="101" t="s">
        <v>487</v>
      </c>
      <c r="AK81" s="101">
        <f t="shared" si="159"/>
        <v>66232100</v>
      </c>
      <c r="AL81" s="94">
        <f>SUMIFS('Federal Data'!Y2:Y501,'Federal Data'!$H2:$H501,"Deposit Insurance",'Federal Data'!$D2:$D501,"Nongrant")</f>
        <v>2511325</v>
      </c>
      <c r="AM81" s="101" t="s">
        <v>487</v>
      </c>
      <c r="AN81" s="101">
        <f t="shared" si="160"/>
        <v>2511325</v>
      </c>
      <c r="AO81" s="94">
        <f>SUMIFS('Federal Data'!Z2:Z501,'Federal Data'!$H2:$H501,"Deposit Insurance",'Federal Data'!$D2:$D501,"Nongrant")</f>
        <v>-27957306</v>
      </c>
      <c r="AP81" s="101" t="s">
        <v>487</v>
      </c>
      <c r="AQ81" s="101">
        <f t="shared" si="161"/>
        <v>-27957306</v>
      </c>
      <c r="AR81" s="94">
        <f>SUMIFS('Federal Data'!AA2:AA501,'Federal Data'!$H2:$H501,"Deposit Insurance",'Federal Data'!$D2:$D501,"Nongrant")</f>
        <v>-7569674</v>
      </c>
      <c r="AS81" s="101" t="s">
        <v>487</v>
      </c>
      <c r="AT81" s="101">
        <f t="shared" si="162"/>
        <v>-7569674</v>
      </c>
      <c r="AU81" s="94">
        <f>SUMIFS('Federal Data'!AB2:AB501,'Federal Data'!$H2:$H501,"Deposit Insurance",'Federal Data'!$D2:$D501,"Nongrant")</f>
        <v>-17827000</v>
      </c>
      <c r="AV81" s="101" t="s">
        <v>487</v>
      </c>
      <c r="AW81" s="101">
        <f t="shared" si="163"/>
        <v>-17827000</v>
      </c>
      <c r="AX81" s="94">
        <f>SUMIFS('Federal Data'!AC2:AC501,'Federal Data'!$H2:$H501,"Deposit Insurance",'Federal Data'!$D2:$D501,"Nongrant")</f>
        <v>-8394000</v>
      </c>
      <c r="AY81" s="101" t="s">
        <v>487</v>
      </c>
      <c r="AZ81" s="101">
        <f t="shared" si="164"/>
        <v>-8394000</v>
      </c>
      <c r="BA81" s="94">
        <f>SUMIFS('Federal Data'!AD2:AD501,'Federal Data'!$H2:$H501,"Deposit Insurance",'Federal Data'!$D2:$D501,"Nongrant")</f>
        <v>-14384000</v>
      </c>
      <c r="BB81" s="101" t="s">
        <v>487</v>
      </c>
      <c r="BC81" s="101">
        <f t="shared" si="165"/>
        <v>-14384000</v>
      </c>
      <c r="BD81" s="94">
        <f>SUMIFS('Federal Data'!AE2:AE501,'Federal Data'!$H2:$H501,"Deposit Insurance",'Federal Data'!$D2:$D501,"Nongrant")</f>
        <v>-4371000</v>
      </c>
      <c r="BE81" s="101" t="s">
        <v>487</v>
      </c>
      <c r="BF81" s="101">
        <f t="shared" si="166"/>
        <v>-4371000</v>
      </c>
      <c r="BG81" s="94">
        <f>SUMIFS('Federal Data'!AF2:AF501,'Federal Data'!$H2:$H501,"Deposit Insurance",'Federal Data'!$D2:$D501,"Nongrant")</f>
        <v>-5280000</v>
      </c>
      <c r="BH81" s="101" t="s">
        <v>487</v>
      </c>
      <c r="BI81" s="101">
        <f t="shared" si="167"/>
        <v>-5280000</v>
      </c>
      <c r="BJ81" s="94">
        <f>SUMIFS('Federal Data'!AG2:AG501,'Federal Data'!$H2:$H501,"Deposit Insurance",'Federal Data'!$D2:$D501,"Nongrant")</f>
        <v>-3053000</v>
      </c>
      <c r="BK81" s="101" t="s">
        <v>487</v>
      </c>
      <c r="BL81" s="101">
        <f t="shared" si="168"/>
        <v>-3053000</v>
      </c>
      <c r="BM81" s="94">
        <f>SUMIFS('Federal Data'!AH2:AH501,'Federal Data'!$H2:$H501,"Deposit Insurance",'Federal Data'!$D2:$D501,"Nongrant")</f>
        <v>-1569000</v>
      </c>
      <c r="BN81" s="101" t="s">
        <v>487</v>
      </c>
      <c r="BO81" s="101">
        <f t="shared" si="169"/>
        <v>-1569000</v>
      </c>
      <c r="BP81" s="94">
        <f>SUMIFS('Federal Data'!AI2:AI501,'Federal Data'!$H2:$H501,"Deposit Insurance",'Federal Data'!$D2:$D501,"Nongrant")</f>
        <v>-1026000</v>
      </c>
      <c r="BQ81" s="101" t="s">
        <v>487</v>
      </c>
      <c r="BR81" s="101">
        <f t="shared" si="170"/>
        <v>-1026000</v>
      </c>
      <c r="BS81" s="94">
        <f>SUMIFS('Federal Data'!AJ2:AJ501,'Federal Data'!$H2:$H501,"Deposit Insurance",'Federal Data'!$D2:$D501,"Nongrant")</f>
        <v>-1430000</v>
      </c>
      <c r="BT81" s="101" t="s">
        <v>487</v>
      </c>
      <c r="BU81" s="101">
        <f t="shared" si="171"/>
        <v>-1430000</v>
      </c>
      <c r="BV81" s="94">
        <f>SUMIFS('Federal Data'!AK2:AK501,'Federal Data'!$H2:$H501,"Deposit Insurance",'Federal Data'!$D2:$D501,"Nongrant")</f>
        <v>-1976000</v>
      </c>
      <c r="BW81" s="101" t="s">
        <v>487</v>
      </c>
      <c r="BX81" s="101">
        <f t="shared" si="172"/>
        <v>-1976000</v>
      </c>
      <c r="BY81" s="94">
        <f>SUMIFS('Federal Data'!AL2:AL501,'Federal Data'!$H2:$H501,"Deposit Insurance",'Federal Data'!$D2:$D501,"Nongrant")</f>
        <v>-1371000</v>
      </c>
      <c r="BZ81" s="101" t="s">
        <v>487</v>
      </c>
      <c r="CA81" s="101">
        <f t="shared" si="173"/>
        <v>-1371000</v>
      </c>
      <c r="CB81" s="94">
        <f>SUMIFS('Federal Data'!AM2:AM501,'Federal Data'!$H2:$H501,"Deposit Insurance",'Federal Data'!$D2:$D501,"Nongrant")</f>
        <v>-1110000</v>
      </c>
      <c r="CC81" s="101" t="s">
        <v>487</v>
      </c>
      <c r="CD81" s="101">
        <f t="shared" si="174"/>
        <v>-1110000</v>
      </c>
      <c r="CE81" s="94">
        <f>SUMIFS('Federal Data'!AN2:AN501,'Federal Data'!$H2:$H501,"Deposit Insurance",'Federal Data'!$D2:$D501,"Nongrant")</f>
        <v>-1492000</v>
      </c>
      <c r="CF81" s="101" t="s">
        <v>487</v>
      </c>
      <c r="CG81" s="101">
        <f t="shared" si="175"/>
        <v>-1492000</v>
      </c>
      <c r="CH81" s="94">
        <f>SUMIFS('Federal Data'!AO2:AO501,'Federal Data'!$H2:$H501,"Deposit Insurance",'Federal Data'!$D2:$D501,"Nongrant")</f>
        <v>18760000</v>
      </c>
      <c r="CI81" s="101" t="s">
        <v>487</v>
      </c>
      <c r="CJ81" s="101">
        <f t="shared" si="176"/>
        <v>18760000</v>
      </c>
      <c r="CK81" s="94">
        <f>SUMIFS('Federal Data'!AP2:AP501,'Federal Data'!$H2:$H501,"Deposit Insurance",'Federal Data'!$D2:$D501,"Nongrant")</f>
        <v>22573000</v>
      </c>
      <c r="CL81" s="101" t="s">
        <v>487</v>
      </c>
      <c r="CM81" s="101">
        <f t="shared" si="177"/>
        <v>22573000</v>
      </c>
      <c r="CN81" s="94">
        <f>SUMIFS('Federal Data'!AQ2:AQ501,'Federal Data'!$H2:$H501,"Deposit Insurance",'Federal Data'!$D2:$D501,"Nongrant")</f>
        <v>-32033000</v>
      </c>
      <c r="CO81" s="101" t="s">
        <v>487</v>
      </c>
      <c r="CP81" s="101">
        <f t="shared" si="178"/>
        <v>-32033000</v>
      </c>
      <c r="CQ81" s="94">
        <f>SUMIFS('Federal Data'!AR2:AR501,'Federal Data'!$H2:$H501,"Deposit Insurance",'Federal Data'!$D2:$D501,"Nongrant")</f>
        <v>-8697000</v>
      </c>
      <c r="CR81" s="101" t="s">
        <v>487</v>
      </c>
      <c r="CS81" s="101">
        <f t="shared" si="179"/>
        <v>-8697000</v>
      </c>
      <c r="CT81" s="94">
        <f>SUMIFS('Federal Data'!AS2:AS501,'Federal Data'!$H2:$H501,"Deposit Insurance",'Federal Data'!$D2:$D501,"Nongrant")</f>
        <v>6666000</v>
      </c>
      <c r="CU81" s="101" t="s">
        <v>487</v>
      </c>
      <c r="CV81" s="101">
        <f t="shared" si="180"/>
        <v>6666000</v>
      </c>
      <c r="CW81" s="94">
        <f>SUMIFS('Federal Data'!AT2:AT501,'Federal Data'!$H2:$H501,"Deposit Insurance",'Federal Data'!$D2:$D501,"Nongrant")</f>
        <v>4292000</v>
      </c>
      <c r="CX81" s="101" t="s">
        <v>487</v>
      </c>
      <c r="CY81" s="101">
        <f t="shared" si="181"/>
        <v>4292000</v>
      </c>
      <c r="CZ81" s="94">
        <f>SUMIFS('Federal Data'!AU2:AU501,'Federal Data'!$H2:$H501,"Deposit Insurance",'Federal Data'!$D2:$D501,"Nongrant")</f>
        <v>-13823000</v>
      </c>
      <c r="DA81" s="101" t="s">
        <v>487</v>
      </c>
      <c r="DB81" s="101">
        <f t="shared" si="182"/>
        <v>-13823000</v>
      </c>
      <c r="DC81" s="37">
        <f>SUMIFS('Federal Data'!AV2:AV501,'Federal Data'!$H2:$H501,"Deposit Insurance",'Federal Data'!$D2:$D501,"Nongrant")</f>
        <v>-12812000</v>
      </c>
      <c r="DD81" s="85" t="s">
        <v>487</v>
      </c>
      <c r="DE81" s="85">
        <f t="shared" si="183"/>
        <v>-12812000</v>
      </c>
    </row>
    <row r="82" spans="1:109" outlineLevel="3">
      <c r="A82" s="31" t="s">
        <v>249</v>
      </c>
      <c r="B82" s="94">
        <f>SUMIFS('Federal Data'!M2:M501,'Federal Data'!$H2:$H501,"Other Banking and Finance",'Federal Data'!$D2:$D501,"Nongrant")</f>
        <v>26181</v>
      </c>
      <c r="C82" s="101" t="s">
        <v>487</v>
      </c>
      <c r="D82" s="101">
        <f t="shared" si="148"/>
        <v>26181</v>
      </c>
      <c r="E82" s="94">
        <f>SUMIFS('Federal Data'!N2:N501,'Federal Data'!$H2:$H501,"Other Banking and Finance",'Federal Data'!$D2:$D501,"Nongrant")</f>
        <v>150624</v>
      </c>
      <c r="F82" s="101" t="s">
        <v>487</v>
      </c>
      <c r="G82" s="101">
        <f t="shared" si="149"/>
        <v>150624</v>
      </c>
      <c r="H82" s="94">
        <f>SUMIFS('Federal Data'!O2:O501,'Federal Data'!$H2:$H501,"Other Banking and Finance",'Federal Data'!$D2:$D501,"Nongrant")</f>
        <v>107341</v>
      </c>
      <c r="I82" s="101" t="s">
        <v>487</v>
      </c>
      <c r="J82" s="101">
        <f t="shared" si="150"/>
        <v>107341</v>
      </c>
      <c r="K82" s="94">
        <f>SUMIFS('Federal Data'!P2:P501,'Federal Data'!$H2:$H501,"Other Banking and Finance",'Federal Data'!$D2:$D501,"Nongrant")</f>
        <v>-289033</v>
      </c>
      <c r="L82" s="101" t="s">
        <v>487</v>
      </c>
      <c r="M82" s="101">
        <f t="shared" si="151"/>
        <v>-289033</v>
      </c>
      <c r="N82" s="94">
        <f>SUMIFS('Federal Data'!Q2:Q501,'Federal Data'!$H2:$H501,"Other Banking and Finance",'Federal Data'!$D2:$D501,"Nongrant")</f>
        <v>25296</v>
      </c>
      <c r="O82" s="101" t="s">
        <v>487</v>
      </c>
      <c r="P82" s="101">
        <f t="shared" si="152"/>
        <v>25296</v>
      </c>
      <c r="Q82" s="94">
        <f>SUMIFS('Federal Data'!R2:R501,'Federal Data'!$H2:$H501,"Other Banking and Finance",'Federal Data'!$D2:$D501,"Nongrant")</f>
        <v>27878</v>
      </c>
      <c r="R82" s="101" t="s">
        <v>487</v>
      </c>
      <c r="S82" s="101">
        <f t="shared" si="153"/>
        <v>27878</v>
      </c>
      <c r="T82" s="94">
        <f>SUMIFS('Federal Data'!S2:S501,'Federal Data'!$H2:$H501,"Other Banking and Finance",'Federal Data'!$D2:$D501,"Nongrant")</f>
        <v>27875</v>
      </c>
      <c r="U82" s="101" t="s">
        <v>487</v>
      </c>
      <c r="V82" s="101">
        <f t="shared" si="154"/>
        <v>27875</v>
      </c>
      <c r="W82" s="94">
        <f>SUMIFS('Federal Data'!T2:T501,'Federal Data'!$H2:$H501,"Other Banking and Finance",'Federal Data'!$D2:$D501,"Nongrant")</f>
        <v>29019</v>
      </c>
      <c r="X82" s="101" t="s">
        <v>487</v>
      </c>
      <c r="Y82" s="101">
        <f t="shared" si="155"/>
        <v>29019</v>
      </c>
      <c r="Z82" s="94">
        <f>SUMIFS('Federal Data'!U2:U501,'Federal Data'!$H2:$H501,"Other Banking and Finance",'Federal Data'!$D2:$D501,"Nongrant")</f>
        <v>32292</v>
      </c>
      <c r="AA82" s="101" t="s">
        <v>487</v>
      </c>
      <c r="AB82" s="101">
        <f t="shared" si="156"/>
        <v>32292</v>
      </c>
      <c r="AC82" s="94">
        <f>SUMIFS('Federal Data'!V2:V501,'Federal Data'!$H2:$H501,"Other Banking and Finance",'Federal Data'!$D2:$D501,"Nongrant")</f>
        <v>34413</v>
      </c>
      <c r="AD82" s="101" t="s">
        <v>487</v>
      </c>
      <c r="AE82" s="101">
        <f t="shared" si="157"/>
        <v>34413</v>
      </c>
      <c r="AF82" s="94">
        <f>SUMIFS('Federal Data'!W2:W501,'Federal Data'!$H2:$H501,"Other Banking and Finance",'Federal Data'!$D2:$D501,"Nongrant")</f>
        <v>30658</v>
      </c>
      <c r="AG82" s="101" t="s">
        <v>487</v>
      </c>
      <c r="AH82" s="101">
        <f t="shared" si="158"/>
        <v>30658</v>
      </c>
      <c r="AI82" s="94">
        <f>SUMIFS('Federal Data'!X2:X501,'Federal Data'!$H2:$H501,"Other Banking and Finance",'Federal Data'!$D2:$D501,"Nongrant")</f>
        <v>45269</v>
      </c>
      <c r="AJ82" s="101" t="s">
        <v>487</v>
      </c>
      <c r="AK82" s="101">
        <f t="shared" si="159"/>
        <v>45269</v>
      </c>
      <c r="AL82" s="94">
        <f>SUMIFS('Federal Data'!Y2:Y501,'Federal Data'!$H2:$H501,"Other Banking and Finance",'Federal Data'!$D2:$D501,"Nongrant")</f>
        <v>47852</v>
      </c>
      <c r="AM82" s="101" t="s">
        <v>487</v>
      </c>
      <c r="AN82" s="101">
        <f t="shared" si="160"/>
        <v>47852</v>
      </c>
      <c r="AO82" s="94">
        <f>SUMIFS('Federal Data'!Z2:Z501,'Federal Data'!$H2:$H501,"Other Banking and Finance",'Federal Data'!$D2:$D501,"Nongrant")</f>
        <v>49113</v>
      </c>
      <c r="AP82" s="101" t="s">
        <v>487</v>
      </c>
      <c r="AQ82" s="101">
        <f t="shared" si="161"/>
        <v>49113</v>
      </c>
      <c r="AR82" s="94">
        <f>SUMIFS('Federal Data'!AA2:AA501,'Federal Data'!$H2:$H501,"Other Banking and Finance",'Federal Data'!$D2:$D501,"Nongrant")</f>
        <v>47568</v>
      </c>
      <c r="AS82" s="101" t="s">
        <v>487</v>
      </c>
      <c r="AT82" s="101">
        <f t="shared" si="162"/>
        <v>47568</v>
      </c>
      <c r="AU82" s="94">
        <f>SUMIFS('Federal Data'!AB2:AB501,'Federal Data'!$H2:$H501,"Other Banking and Finance",'Federal Data'!$D2:$D501,"Nongrant")</f>
        <v>52000</v>
      </c>
      <c r="AV82" s="101" t="s">
        <v>487</v>
      </c>
      <c r="AW82" s="101">
        <f t="shared" si="163"/>
        <v>52000</v>
      </c>
      <c r="AX82" s="94">
        <f>SUMIFS('Federal Data'!AC2:AC501,'Federal Data'!$H2:$H501,"Other Banking and Finance",'Federal Data'!$D2:$D501,"Nongrant")</f>
        <v>52000</v>
      </c>
      <c r="AY82" s="101" t="s">
        <v>487</v>
      </c>
      <c r="AZ82" s="101">
        <f t="shared" si="164"/>
        <v>52000</v>
      </c>
      <c r="BA82" s="94">
        <f>SUMIFS('Federal Data'!AD2:AD501,'Federal Data'!$H2:$H501,"Other Banking and Finance",'Federal Data'!$D2:$D501,"Nongrant")</f>
        <v>54000</v>
      </c>
      <c r="BB82" s="101" t="s">
        <v>487</v>
      </c>
      <c r="BC82" s="101">
        <f t="shared" si="165"/>
        <v>54000</v>
      </c>
      <c r="BD82" s="94">
        <f>SUMIFS('Federal Data'!AE2:AE501,'Federal Data'!$H2:$H501,"Other Banking and Finance",'Federal Data'!$D2:$D501,"Nongrant")</f>
        <v>61000</v>
      </c>
      <c r="BE82" s="101" t="s">
        <v>487</v>
      </c>
      <c r="BF82" s="101">
        <f t="shared" si="166"/>
        <v>61000</v>
      </c>
      <c r="BG82" s="94">
        <f>SUMIFS('Federal Data'!AF2:AF501,'Federal Data'!$H2:$H501,"Other Banking and Finance",'Federal Data'!$D2:$D501,"Nongrant")</f>
        <v>61000</v>
      </c>
      <c r="BH82" s="101" t="s">
        <v>487</v>
      </c>
      <c r="BI82" s="101">
        <f t="shared" si="167"/>
        <v>61000</v>
      </c>
      <c r="BJ82" s="94">
        <f>SUMIFS('Federal Data'!AG2:AG501,'Federal Data'!$H2:$H501,"Other Banking and Finance",'Federal Data'!$D2:$D501,"Nongrant")</f>
        <v>65000</v>
      </c>
      <c r="BK82" s="101" t="s">
        <v>487</v>
      </c>
      <c r="BL82" s="101">
        <f t="shared" si="168"/>
        <v>65000</v>
      </c>
      <c r="BM82" s="94">
        <f>SUMIFS('Federal Data'!AH2:AH501,'Federal Data'!$H2:$H501,"Other Banking and Finance",'Federal Data'!$D2:$D501,"Nongrant")</f>
        <v>67000</v>
      </c>
      <c r="BN82" s="101" t="s">
        <v>487</v>
      </c>
      <c r="BO82" s="101">
        <f t="shared" si="169"/>
        <v>67000</v>
      </c>
      <c r="BP82" s="94">
        <f>SUMIFS('Federal Data'!AI2:AI501,'Federal Data'!$H2:$H501,"Other Banking and Finance",'Federal Data'!$D2:$D501,"Nongrant")</f>
        <v>74000</v>
      </c>
      <c r="BQ82" s="101" t="s">
        <v>487</v>
      </c>
      <c r="BR82" s="101">
        <f t="shared" si="170"/>
        <v>74000</v>
      </c>
      <c r="BS82" s="94">
        <f>SUMIFS('Federal Data'!AJ2:AJ501,'Federal Data'!$H2:$H501,"Other Banking and Finance",'Federal Data'!$D2:$D501,"Nongrant")</f>
        <v>86000</v>
      </c>
      <c r="BT82" s="101" t="s">
        <v>487</v>
      </c>
      <c r="BU82" s="101">
        <f t="shared" si="171"/>
        <v>86000</v>
      </c>
      <c r="BV82" s="94">
        <f>SUMIFS('Federal Data'!AK2:AK501,'Federal Data'!$H2:$H501,"Other Banking and Finance",'Federal Data'!$D2:$D501,"Nongrant")</f>
        <v>99000</v>
      </c>
      <c r="BW82" s="101" t="s">
        <v>487</v>
      </c>
      <c r="BX82" s="101">
        <f t="shared" si="172"/>
        <v>99000</v>
      </c>
      <c r="BY82" s="94">
        <f>SUMIFS('Federal Data'!AL2:AL501,'Federal Data'!$H2:$H501,"Other Banking and Finance",'Federal Data'!$D2:$D501,"Nongrant")</f>
        <v>101000</v>
      </c>
      <c r="BZ82" s="101" t="s">
        <v>487</v>
      </c>
      <c r="CA82" s="101">
        <f t="shared" si="173"/>
        <v>101000</v>
      </c>
      <c r="CB82" s="94">
        <f>SUMIFS('Federal Data'!AM2:AM501,'Federal Data'!$H2:$H501,"Other Banking and Finance",'Federal Data'!$D2:$D501,"Nongrant")</f>
        <v>104000</v>
      </c>
      <c r="CC82" s="101" t="s">
        <v>487</v>
      </c>
      <c r="CD82" s="101">
        <f t="shared" si="174"/>
        <v>104000</v>
      </c>
      <c r="CE82" s="94">
        <f>SUMIFS('Federal Data'!AN2:AN501,'Federal Data'!$H2:$H501,"Other Banking and Finance",'Federal Data'!$D2:$D501,"Nongrant")</f>
        <v>103000</v>
      </c>
      <c r="CF82" s="101" t="s">
        <v>487</v>
      </c>
      <c r="CG82" s="101">
        <f t="shared" si="175"/>
        <v>103000</v>
      </c>
      <c r="CH82" s="94">
        <f>SUMIFS('Federal Data'!AO2:AO501,'Federal Data'!$H2:$H501,"Other Banking and Finance",'Federal Data'!$D2:$D501,"Nongrant")</f>
        <v>67000</v>
      </c>
      <c r="CI82" s="101" t="s">
        <v>487</v>
      </c>
      <c r="CJ82" s="101">
        <f t="shared" si="176"/>
        <v>67000</v>
      </c>
      <c r="CK82" s="94">
        <f>SUMIFS('Federal Data'!AP2:AP501,'Federal Data'!$H2:$H501,"Other Banking and Finance",'Federal Data'!$D2:$D501,"Nongrant")</f>
        <v>150219000</v>
      </c>
      <c r="CL82" s="101" t="s">
        <v>487</v>
      </c>
      <c r="CM82" s="101">
        <f t="shared" si="177"/>
        <v>150219000</v>
      </c>
      <c r="CN82" s="94">
        <f>SUMIFS('Federal Data'!AQ2:AQ501,'Federal Data'!$H2:$H501,"Other Banking and Finance",'Federal Data'!$D2:$D501,"Nongrant")</f>
        <v>-109996000</v>
      </c>
      <c r="CO82" s="101" t="s">
        <v>487</v>
      </c>
      <c r="CP82" s="101">
        <f t="shared" si="178"/>
        <v>-109996000</v>
      </c>
      <c r="CQ82" s="94">
        <f>SUMIFS('Federal Data'!AR2:AR501,'Federal Data'!$H2:$H501,"Other Banking and Finance",'Federal Data'!$D2:$D501,"Nongrant")</f>
        <v>-38693000</v>
      </c>
      <c r="CR82" s="101" t="s">
        <v>487</v>
      </c>
      <c r="CS82" s="101">
        <f t="shared" si="179"/>
        <v>-38693000</v>
      </c>
      <c r="CT82" s="94">
        <f>SUMIFS('Federal Data'!AS2:AS501,'Federal Data'!$H2:$H501,"Other Banking and Finance",'Federal Data'!$D2:$D501,"Nongrant")</f>
        <v>21555000</v>
      </c>
      <c r="CU82" s="101" t="s">
        <v>487</v>
      </c>
      <c r="CV82" s="101">
        <f t="shared" si="180"/>
        <v>21555000</v>
      </c>
      <c r="CW82" s="94">
        <f>SUMIFS('Federal Data'!AT2:AT501,'Federal Data'!$H2:$H501,"Other Banking and Finance",'Federal Data'!$D2:$D501,"Nongrant")</f>
        <v>-12103000</v>
      </c>
      <c r="CX82" s="101" t="s">
        <v>487</v>
      </c>
      <c r="CY82" s="101">
        <f t="shared" si="181"/>
        <v>-12103000</v>
      </c>
      <c r="CZ82" s="94">
        <f>SUMIFS('Federal Data'!AU2:AU501,'Federal Data'!$H2:$H501,"Other Banking and Finance",'Federal Data'!$D2:$D501,"Nongrant")</f>
        <v>-7536000</v>
      </c>
      <c r="DA82" s="101" t="s">
        <v>487</v>
      </c>
      <c r="DB82" s="101">
        <f t="shared" si="182"/>
        <v>-7536000</v>
      </c>
      <c r="DC82" s="37">
        <f>SUMIFS('Federal Data'!AV2:AV501,'Federal Data'!$H2:$H501,"Other Banking and Finance",'Federal Data'!$D2:$D501,"Nongrant")</f>
        <v>-978000</v>
      </c>
      <c r="DD82" s="85" t="s">
        <v>487</v>
      </c>
      <c r="DE82" s="85">
        <f t="shared" si="183"/>
        <v>-978000</v>
      </c>
    </row>
    <row r="83" spans="1:109" outlineLevel="3">
      <c r="A83" s="32" t="s">
        <v>294</v>
      </c>
      <c r="B83" s="94">
        <v>1388</v>
      </c>
      <c r="C83" s="101" t="s">
        <v>487</v>
      </c>
      <c r="D83" s="101">
        <f t="shared" si="148"/>
        <v>1388</v>
      </c>
      <c r="E83" s="94">
        <v>1388</v>
      </c>
      <c r="F83" s="101" t="s">
        <v>487</v>
      </c>
      <c r="G83" s="101">
        <f t="shared" si="149"/>
        <v>1388</v>
      </c>
      <c r="H83" s="94">
        <v>1388</v>
      </c>
      <c r="I83" s="101" t="s">
        <v>487</v>
      </c>
      <c r="J83" s="101">
        <f t="shared" si="150"/>
        <v>1388</v>
      </c>
      <c r="K83" s="94">
        <v>1388</v>
      </c>
      <c r="L83" s="101" t="s">
        <v>487</v>
      </c>
      <c r="M83" s="101">
        <f t="shared" si="151"/>
        <v>1388</v>
      </c>
      <c r="N83" s="94">
        <v>1388</v>
      </c>
      <c r="O83" s="101" t="s">
        <v>487</v>
      </c>
      <c r="P83" s="101">
        <f t="shared" si="152"/>
        <v>1388</v>
      </c>
      <c r="Q83" s="94">
        <v>1388</v>
      </c>
      <c r="R83" s="101" t="s">
        <v>487</v>
      </c>
      <c r="S83" s="101">
        <f t="shared" si="153"/>
        <v>1388</v>
      </c>
      <c r="T83" s="94">
        <v>1388</v>
      </c>
      <c r="U83" s="101" t="s">
        <v>487</v>
      </c>
      <c r="V83" s="101">
        <f t="shared" si="154"/>
        <v>1388</v>
      </c>
      <c r="W83" s="94">
        <v>1388</v>
      </c>
      <c r="X83" s="101" t="s">
        <v>487</v>
      </c>
      <c r="Y83" s="101">
        <f t="shared" si="155"/>
        <v>1388</v>
      </c>
      <c r="Z83" s="94">
        <v>1388</v>
      </c>
      <c r="AA83" s="101" t="s">
        <v>487</v>
      </c>
      <c r="AB83" s="101">
        <f t="shared" si="156"/>
        <v>1388</v>
      </c>
      <c r="AC83" s="94">
        <v>1388</v>
      </c>
      <c r="AD83" s="101" t="s">
        <v>487</v>
      </c>
      <c r="AE83" s="101">
        <f t="shared" si="157"/>
        <v>1388</v>
      </c>
      <c r="AF83" s="94">
        <v>1388</v>
      </c>
      <c r="AG83" s="101" t="s">
        <v>487</v>
      </c>
      <c r="AH83" s="101">
        <f t="shared" si="158"/>
        <v>1388</v>
      </c>
      <c r="AI83" s="94">
        <v>1388</v>
      </c>
      <c r="AJ83" s="101" t="s">
        <v>487</v>
      </c>
      <c r="AK83" s="101">
        <f t="shared" si="159"/>
        <v>1388</v>
      </c>
      <c r="AL83" s="94">
        <v>1388</v>
      </c>
      <c r="AM83" s="101" t="s">
        <v>487</v>
      </c>
      <c r="AN83" s="101">
        <f t="shared" si="160"/>
        <v>1388</v>
      </c>
      <c r="AO83" s="94">
        <v>1388</v>
      </c>
      <c r="AP83" s="101" t="s">
        <v>487</v>
      </c>
      <c r="AQ83" s="101">
        <f t="shared" si="161"/>
        <v>1388</v>
      </c>
      <c r="AR83" s="94">
        <v>1388</v>
      </c>
      <c r="AS83" s="101" t="s">
        <v>487</v>
      </c>
      <c r="AT83" s="101">
        <f t="shared" si="162"/>
        <v>1388</v>
      </c>
      <c r="AU83" s="94">
        <v>1388</v>
      </c>
      <c r="AV83" s="101" t="s">
        <v>487</v>
      </c>
      <c r="AW83" s="101">
        <f t="shared" si="163"/>
        <v>1388</v>
      </c>
      <c r="AX83" s="94">
        <v>1388</v>
      </c>
      <c r="AY83" s="101" t="s">
        <v>487</v>
      </c>
      <c r="AZ83" s="101">
        <f t="shared" si="164"/>
        <v>1388</v>
      </c>
      <c r="BA83" s="94">
        <v>1388</v>
      </c>
      <c r="BB83" s="101" t="s">
        <v>487</v>
      </c>
      <c r="BC83" s="101">
        <f t="shared" si="165"/>
        <v>1388</v>
      </c>
      <c r="BD83" s="94">
        <v>1388</v>
      </c>
      <c r="BE83" s="101" t="s">
        <v>487</v>
      </c>
      <c r="BF83" s="101">
        <f t="shared" si="166"/>
        <v>1388</v>
      </c>
      <c r="BG83" s="94">
        <v>1388</v>
      </c>
      <c r="BH83" s="101" t="s">
        <v>487</v>
      </c>
      <c r="BI83" s="101">
        <f t="shared" si="167"/>
        <v>1388</v>
      </c>
      <c r="BJ83" s="94">
        <v>1388</v>
      </c>
      <c r="BK83" s="101" t="s">
        <v>487</v>
      </c>
      <c r="BL83" s="101">
        <f t="shared" si="168"/>
        <v>1388</v>
      </c>
      <c r="BM83" s="94">
        <v>1388</v>
      </c>
      <c r="BN83" s="101" t="s">
        <v>487</v>
      </c>
      <c r="BO83" s="101">
        <f t="shared" si="169"/>
        <v>1388</v>
      </c>
      <c r="BP83" s="94">
        <v>1388</v>
      </c>
      <c r="BQ83" s="101" t="s">
        <v>487</v>
      </c>
      <c r="BR83" s="101">
        <f t="shared" si="170"/>
        <v>1388</v>
      </c>
      <c r="BS83" s="94">
        <v>1388</v>
      </c>
      <c r="BT83" s="101" t="s">
        <v>487</v>
      </c>
      <c r="BU83" s="101">
        <f t="shared" si="171"/>
        <v>1388</v>
      </c>
      <c r="BV83" s="94">
        <v>1388</v>
      </c>
      <c r="BW83" s="101" t="s">
        <v>487</v>
      </c>
      <c r="BX83" s="101">
        <f t="shared" si="172"/>
        <v>1388</v>
      </c>
      <c r="BY83" s="94">
        <v>1388</v>
      </c>
      <c r="BZ83" s="101" t="s">
        <v>487</v>
      </c>
      <c r="CA83" s="101">
        <f t="shared" si="173"/>
        <v>1388</v>
      </c>
      <c r="CB83" s="94">
        <v>1388</v>
      </c>
      <c r="CC83" s="101" t="s">
        <v>487</v>
      </c>
      <c r="CD83" s="101">
        <f t="shared" si="174"/>
        <v>1388</v>
      </c>
      <c r="CE83" s="94">
        <v>1388</v>
      </c>
      <c r="CF83" s="101" t="s">
        <v>487</v>
      </c>
      <c r="CG83" s="101">
        <f t="shared" si="175"/>
        <v>1388</v>
      </c>
      <c r="CH83" s="94">
        <v>1388</v>
      </c>
      <c r="CI83" s="101" t="s">
        <v>487</v>
      </c>
      <c r="CJ83" s="101">
        <f t="shared" si="176"/>
        <v>1388</v>
      </c>
      <c r="CK83" s="94">
        <v>1388</v>
      </c>
      <c r="CL83" s="101" t="s">
        <v>487</v>
      </c>
      <c r="CM83" s="101">
        <f t="shared" si="177"/>
        <v>1388</v>
      </c>
      <c r="CN83" s="94">
        <v>1388</v>
      </c>
      <c r="CO83" s="101" t="s">
        <v>487</v>
      </c>
      <c r="CP83" s="101">
        <f t="shared" si="178"/>
        <v>1388</v>
      </c>
      <c r="CQ83" s="94">
        <v>1388</v>
      </c>
      <c r="CR83" s="101" t="s">
        <v>487</v>
      </c>
      <c r="CS83" s="101">
        <f t="shared" si="179"/>
        <v>1388</v>
      </c>
      <c r="CT83" s="94">
        <v>1388</v>
      </c>
      <c r="CU83" s="101" t="s">
        <v>487</v>
      </c>
      <c r="CV83" s="101">
        <f t="shared" si="180"/>
        <v>1388</v>
      </c>
      <c r="CW83" s="94">
        <v>1388</v>
      </c>
      <c r="CX83" s="101" t="s">
        <v>487</v>
      </c>
      <c r="CY83" s="101">
        <f t="shared" si="181"/>
        <v>1388</v>
      </c>
      <c r="CZ83" s="94">
        <v>1388</v>
      </c>
      <c r="DA83" s="101" t="s">
        <v>487</v>
      </c>
      <c r="DB83" s="101">
        <f t="shared" si="182"/>
        <v>1388</v>
      </c>
      <c r="DC83" s="37">
        <v>1389</v>
      </c>
      <c r="DD83" s="85" t="s">
        <v>487</v>
      </c>
      <c r="DE83" s="85">
        <f t="shared" si="183"/>
        <v>1389</v>
      </c>
    </row>
    <row r="84" spans="1:109" outlineLevel="2">
      <c r="A84" s="29" t="s">
        <v>304</v>
      </c>
      <c r="B84" s="94">
        <f>SUMIFS('Federal Data'!M2:M501,'Federal Data'!$G2:$G501,"General Science and Basic Research",'Federal Data'!$D2:$D501,"Nongrant")</f>
        <v>1380579</v>
      </c>
      <c r="C84" s="101" t="s">
        <v>487</v>
      </c>
      <c r="D84" s="101">
        <f t="shared" si="148"/>
        <v>1380579</v>
      </c>
      <c r="E84" s="94">
        <f>SUMIFS('Federal Data'!N2:N501,'Federal Data'!$G2:$G501,"General Science and Basic Research",'Federal Data'!$D2:$D501,"Nongrant")</f>
        <v>1476169</v>
      </c>
      <c r="F84" s="101" t="s">
        <v>487</v>
      </c>
      <c r="G84" s="101">
        <f t="shared" si="149"/>
        <v>1476169</v>
      </c>
      <c r="H84" s="94">
        <f>SUMIFS('Federal Data'!O2:O501,'Federal Data'!$G2:$G501,"General Science and Basic Research",'Federal Data'!$D2:$D501,"Nongrant")</f>
        <v>1606282</v>
      </c>
      <c r="I84" s="101" t="s">
        <v>487</v>
      </c>
      <c r="J84" s="101">
        <f t="shared" si="150"/>
        <v>1606282</v>
      </c>
      <c r="K84" s="94">
        <f>SUMIFS('Federal Data'!P2:P501,'Federal Data'!$G2:$G501,"General Science and Basic Research",'Federal Data'!$D2:$D501,"Nongrant")</f>
        <v>1643742</v>
      </c>
      <c r="L84" s="101" t="s">
        <v>487</v>
      </c>
      <c r="M84" s="101">
        <f t="shared" si="151"/>
        <v>1643742</v>
      </c>
      <c r="N84" s="94">
        <f>SUMIFS('Federal Data'!Q2:Q501,'Federal Data'!$G2:$G501,"General Science and Basic Research",'Federal Data'!$D2:$D501,"Nongrant")</f>
        <v>1842331</v>
      </c>
      <c r="O84" s="101" t="s">
        <v>487</v>
      </c>
      <c r="P84" s="101">
        <f t="shared" si="152"/>
        <v>1842331</v>
      </c>
      <c r="Q84" s="94">
        <f>SUMIFS('Federal Data'!R2:R501,'Federal Data'!$G2:$G501,"General Science and Basic Research",'Federal Data'!$D2:$D501,"Nongrant")</f>
        <v>2014926</v>
      </c>
      <c r="R84" s="101" t="s">
        <v>487</v>
      </c>
      <c r="S84" s="101">
        <f t="shared" si="153"/>
        <v>2014926</v>
      </c>
      <c r="T84" s="94">
        <f>SUMIFS('Federal Data'!S2:S501,'Federal Data'!$G2:$G501,"General Science and Basic Research",'Federal Data'!$D2:$D501,"Nongrant")</f>
        <v>2206671</v>
      </c>
      <c r="U84" s="101" t="s">
        <v>487</v>
      </c>
      <c r="V84" s="101">
        <f t="shared" si="154"/>
        <v>2206671</v>
      </c>
      <c r="W84" s="94">
        <f>SUMIFS('Federal Data'!T2:T501,'Federal Data'!$G2:$G501,"General Science and Basic Research",'Federal Data'!$D2:$D501,"Nongrant")</f>
        <v>2243217</v>
      </c>
      <c r="X84" s="101" t="s">
        <v>487</v>
      </c>
      <c r="Y84" s="101">
        <f t="shared" si="155"/>
        <v>2243217</v>
      </c>
      <c r="Z84" s="94">
        <f>SUMIFS('Federal Data'!U2:U501,'Federal Data'!$G2:$G501,"General Science and Basic Research",'Federal Data'!$D2:$D501,"Nongrant")</f>
        <v>2406659</v>
      </c>
      <c r="AA84" s="101" t="s">
        <v>487</v>
      </c>
      <c r="AB84" s="101">
        <f t="shared" si="156"/>
        <v>2406659</v>
      </c>
      <c r="AC84" s="94">
        <f>SUMIFS('Federal Data'!V2:V501,'Federal Data'!$G2:$G501,"General Science and Basic Research",'Federal Data'!$D2:$D501,"Nongrant")</f>
        <v>2625718</v>
      </c>
      <c r="AD84" s="101" t="s">
        <v>487</v>
      </c>
      <c r="AE84" s="101">
        <f t="shared" si="157"/>
        <v>2625718</v>
      </c>
      <c r="AF84" s="94">
        <f>SUMIFS('Federal Data'!W2:W501,'Federal Data'!$G2:$G501,"General Science and Basic Research",'Federal Data'!$D2:$D501,"Nongrant")</f>
        <v>2817691</v>
      </c>
      <c r="AG84" s="101" t="s">
        <v>487</v>
      </c>
      <c r="AH84" s="101">
        <f t="shared" si="158"/>
        <v>2817691</v>
      </c>
      <c r="AI84" s="94">
        <f>SUMIFS('Federal Data'!X2:X501,'Federal Data'!$G2:$G501,"General Science and Basic Research",'Federal Data'!$D2:$D501,"Nongrant")</f>
        <v>3135511</v>
      </c>
      <c r="AJ84" s="101" t="s">
        <v>487</v>
      </c>
      <c r="AK84" s="101">
        <f t="shared" si="159"/>
        <v>3135511</v>
      </c>
      <c r="AL84" s="94">
        <f>SUMIFS('Federal Data'!Y2:Y501,'Federal Data'!$G2:$G501,"General Science and Basic Research",'Federal Data'!$D2:$D501,"Nongrant")</f>
        <v>3551208</v>
      </c>
      <c r="AM84" s="101" t="s">
        <v>487</v>
      </c>
      <c r="AN84" s="101">
        <f t="shared" si="160"/>
        <v>3551208</v>
      </c>
      <c r="AO84" s="94">
        <f>SUMIFS('Federal Data'!Z2:Z501,'Federal Data'!$G2:$G501,"General Science and Basic Research",'Federal Data'!$D2:$D501,"Nongrant")</f>
        <v>3913850</v>
      </c>
      <c r="AP84" s="101" t="s">
        <v>487</v>
      </c>
      <c r="AQ84" s="101">
        <f t="shared" si="161"/>
        <v>3913850</v>
      </c>
      <c r="AR84" s="94">
        <f>SUMIFS('Federal Data'!AA2:AA501,'Federal Data'!$G2:$G501,"General Science and Basic Research",'Federal Data'!$D2:$D501,"Nongrant")</f>
        <v>3825411</v>
      </c>
      <c r="AS84" s="101" t="s">
        <v>487</v>
      </c>
      <c r="AT84" s="101">
        <f t="shared" si="162"/>
        <v>3825411</v>
      </c>
      <c r="AU84" s="94">
        <f>SUMIFS('Federal Data'!AB2:AB501,'Federal Data'!$G2:$G501,"General Science and Basic Research",'Federal Data'!$D2:$D501,"Nongrant")</f>
        <v>4099000</v>
      </c>
      <c r="AV84" s="101" t="s">
        <v>487</v>
      </c>
      <c r="AW84" s="101">
        <f t="shared" si="163"/>
        <v>4099000</v>
      </c>
      <c r="AX84" s="94">
        <f>SUMIFS('Federal Data'!AC2:AC501,'Federal Data'!$G2:$G501,"General Science and Basic Research",'Federal Data'!$D2:$D501,"Nongrant")</f>
        <v>3991000</v>
      </c>
      <c r="AY84" s="101" t="s">
        <v>487</v>
      </c>
      <c r="AZ84" s="101">
        <f t="shared" si="164"/>
        <v>3991000</v>
      </c>
      <c r="BA84" s="94">
        <f>SUMIFS('Federal Data'!AD2:AD501,'Federal Data'!$G2:$G501,"General Science and Basic Research",'Federal Data'!$D2:$D501,"Nongrant")</f>
        <v>4080000</v>
      </c>
      <c r="BB84" s="101" t="s">
        <v>487</v>
      </c>
      <c r="BC84" s="101">
        <f t="shared" si="165"/>
        <v>4080000</v>
      </c>
      <c r="BD84" s="94">
        <f>SUMIFS('Federal Data'!AE2:AE501,'Federal Data'!$G2:$G501,"General Science and Basic Research",'Federal Data'!$D2:$D501,"Nongrant")</f>
        <v>5306000</v>
      </c>
      <c r="BE84" s="101" t="s">
        <v>487</v>
      </c>
      <c r="BF84" s="101">
        <f t="shared" si="166"/>
        <v>5306000</v>
      </c>
      <c r="BG84" s="94">
        <f>SUMIFS('Federal Data'!AF2:AF501,'Federal Data'!$G2:$G501,"General Science and Basic Research",'Federal Data'!$D2:$D501,"Nongrant")</f>
        <v>5638000</v>
      </c>
      <c r="BH84" s="101" t="s">
        <v>487</v>
      </c>
      <c r="BI84" s="101">
        <f t="shared" si="167"/>
        <v>5638000</v>
      </c>
      <c r="BJ84" s="94">
        <f>SUMIFS('Federal Data'!AG2:AG501,'Federal Data'!$G2:$G501,"General Science and Basic Research",'Federal Data'!$D2:$D501,"Nongrant")</f>
        <v>6167000</v>
      </c>
      <c r="BK84" s="101" t="s">
        <v>487</v>
      </c>
      <c r="BL84" s="101">
        <f t="shared" si="168"/>
        <v>6167000</v>
      </c>
      <c r="BM84" s="94">
        <f>SUMIFS('Federal Data'!AH2:AH501,'Federal Data'!$G2:$G501,"General Science and Basic Research",'Federal Data'!$D2:$D501,"Nongrant")</f>
        <v>6520000</v>
      </c>
      <c r="BN84" s="101" t="s">
        <v>487</v>
      </c>
      <c r="BO84" s="101">
        <f t="shared" si="169"/>
        <v>6520000</v>
      </c>
      <c r="BP84" s="94">
        <f>SUMIFS('Federal Data'!AI2:AI501,'Federal Data'!$G2:$G501,"General Science and Basic Research",'Federal Data'!$D2:$D501,"Nongrant")</f>
        <v>7261000</v>
      </c>
      <c r="BQ84" s="101" t="s">
        <v>487</v>
      </c>
      <c r="BR84" s="101">
        <f t="shared" si="170"/>
        <v>7261000</v>
      </c>
      <c r="BS84" s="94">
        <f>SUMIFS('Federal Data'!AJ2:AJ501,'Federal Data'!$G2:$G501,"General Science and Basic Research",'Federal Data'!$D2:$D501,"Nongrant")</f>
        <v>7951000</v>
      </c>
      <c r="BT84" s="101" t="s">
        <v>487</v>
      </c>
      <c r="BU84" s="101">
        <f t="shared" si="171"/>
        <v>7951000</v>
      </c>
      <c r="BV84" s="94">
        <f>SUMIFS('Federal Data'!AK2:AK501,'Federal Data'!$G2:$G501,"General Science and Basic Research",'Federal Data'!$D2:$D501,"Nongrant")</f>
        <v>8392000</v>
      </c>
      <c r="BW84" s="101" t="s">
        <v>487</v>
      </c>
      <c r="BX84" s="101">
        <f t="shared" si="172"/>
        <v>8392000</v>
      </c>
      <c r="BY84" s="94">
        <f>SUMIFS('Federal Data'!AL2:AL501,'Federal Data'!$G2:$G501,"General Science and Basic Research",'Federal Data'!$D2:$D501,"Nongrant")</f>
        <v>8819000</v>
      </c>
      <c r="BZ84" s="101" t="s">
        <v>487</v>
      </c>
      <c r="CA84" s="101">
        <f t="shared" si="173"/>
        <v>8819000</v>
      </c>
      <c r="CB84" s="94">
        <f>SUMIFS('Federal Data'!AM2:AM501,'Federal Data'!$G2:$G501,"General Science and Basic Research",'Federal Data'!$D2:$D501,"Nongrant")</f>
        <v>9093000</v>
      </c>
      <c r="CC84" s="101" t="s">
        <v>487</v>
      </c>
      <c r="CD84" s="101">
        <f t="shared" si="174"/>
        <v>9093000</v>
      </c>
      <c r="CE84" s="94">
        <f>SUMIFS('Federal Data'!AN2:AN501,'Federal Data'!$G2:$G501,"General Science and Basic Research",'Federal Data'!$D2:$D501,"Nongrant")</f>
        <v>9149000</v>
      </c>
      <c r="CF84" s="101" t="s">
        <v>487</v>
      </c>
      <c r="CG84" s="101">
        <f t="shared" si="175"/>
        <v>9149000</v>
      </c>
      <c r="CH84" s="94">
        <f>SUMIFS('Federal Data'!AO2:AO501,'Federal Data'!$G2:$G501,"General Science and Basic Research",'Federal Data'!$D2:$D501,"Nongrant")</f>
        <v>9573000</v>
      </c>
      <c r="CI84" s="101" t="s">
        <v>487</v>
      </c>
      <c r="CJ84" s="101">
        <f t="shared" si="176"/>
        <v>9573000</v>
      </c>
      <c r="CK84" s="94">
        <f>SUMIFS('Federal Data'!AP2:AP501,'Federal Data'!$G2:$G501,"General Science and Basic Research",'Federal Data'!$D2:$D501,"Nongrant")</f>
        <v>10020000</v>
      </c>
      <c r="CL84" s="101" t="s">
        <v>487</v>
      </c>
      <c r="CM84" s="101">
        <f t="shared" si="177"/>
        <v>10020000</v>
      </c>
      <c r="CN84" s="94">
        <f>SUMIFS('Federal Data'!AQ2:AQ501,'Federal Data'!$G2:$G501,"General Science and Basic Research",'Federal Data'!$D2:$D501,"Nongrant")</f>
        <v>11730000</v>
      </c>
      <c r="CO84" s="101" t="s">
        <v>487</v>
      </c>
      <c r="CP84" s="101">
        <f t="shared" si="178"/>
        <v>11730000</v>
      </c>
      <c r="CQ84" s="94">
        <f>SUMIFS('Federal Data'!AR2:AR501,'Federal Data'!$G2:$G501,"General Science and Basic Research",'Federal Data'!$D2:$D501,"Nongrant")</f>
        <v>12434000</v>
      </c>
      <c r="CR84" s="101" t="s">
        <v>487</v>
      </c>
      <c r="CS84" s="101">
        <f t="shared" si="179"/>
        <v>12434000</v>
      </c>
      <c r="CT84" s="94">
        <f>SUMIFS('Federal Data'!AS2:AS501,'Federal Data'!$G2:$G501,"General Science and Basic Research",'Federal Data'!$D2:$D501,"Nongrant")</f>
        <v>12458000</v>
      </c>
      <c r="CU84" s="101" t="s">
        <v>487</v>
      </c>
      <c r="CV84" s="101">
        <f t="shared" si="180"/>
        <v>12458000</v>
      </c>
      <c r="CW84" s="94">
        <f>SUMIFS('Federal Data'!AT2:AT501,'Federal Data'!$G2:$G501,"General Science and Basic Research",'Federal Data'!$D2:$D501,"Nongrant")</f>
        <v>12479000</v>
      </c>
      <c r="CX84" s="101" t="s">
        <v>487</v>
      </c>
      <c r="CY84" s="101">
        <f t="shared" si="181"/>
        <v>12479000</v>
      </c>
      <c r="CZ84" s="94">
        <f>SUMIFS('Federal Data'!AU2:AU501,'Federal Data'!$G2:$G501,"General Science and Basic Research",'Federal Data'!$D2:$D501,"Nongrant")</f>
        <v>12011000</v>
      </c>
      <c r="DA84" s="101" t="s">
        <v>487</v>
      </c>
      <c r="DB84" s="101">
        <f t="shared" si="182"/>
        <v>12011000</v>
      </c>
      <c r="DC84" s="37">
        <f>SUMIFS('Federal Data'!AV2:AV501,'Federal Data'!$G2:$G501,"General Science and Basic Research",'Federal Data'!$D2:$D501,"Nongrant")</f>
        <v>11719000</v>
      </c>
      <c r="DD84" s="85" t="s">
        <v>487</v>
      </c>
      <c r="DE84" s="85">
        <f t="shared" si="183"/>
        <v>11719000</v>
      </c>
    </row>
    <row r="85" spans="1:109" outlineLevel="2">
      <c r="A85" s="29" t="s">
        <v>67</v>
      </c>
      <c r="B85" s="94">
        <f>SUMIFS('Federal Data'!M2:M501,'Federal Data'!$G2:$G501,"Space",'Federal Data'!$D2:$D501,"Nongrant")</f>
        <v>4450912</v>
      </c>
      <c r="C85" s="101" t="s">
        <v>487</v>
      </c>
      <c r="D85" s="101">
        <f t="shared" si="148"/>
        <v>4450912</v>
      </c>
      <c r="E85" s="94">
        <f>SUMIFS('Federal Data'!N2:N501,'Federal Data'!$G2:$G501,"Space",'Federal Data'!$D2:$D501,"Nongrant")</f>
        <v>4992317</v>
      </c>
      <c r="F85" s="101" t="s">
        <v>487</v>
      </c>
      <c r="G85" s="101">
        <f t="shared" si="149"/>
        <v>4992317</v>
      </c>
      <c r="H85" s="94">
        <f>SUMIFS('Federal Data'!O2:O501,'Federal Data'!$G2:$G501,"Space",'Federal Data'!$D2:$D501,"Nongrant")</f>
        <v>5592912</v>
      </c>
      <c r="I85" s="101" t="s">
        <v>487</v>
      </c>
      <c r="J85" s="101">
        <f t="shared" si="150"/>
        <v>5592912</v>
      </c>
      <c r="K85" s="94">
        <f>SUMIFS('Federal Data'!P2:P501,'Federal Data'!$G2:$G501,"Space",'Federal Data'!$D2:$D501,"Nongrant")</f>
        <v>6290357</v>
      </c>
      <c r="L85" s="101" t="s">
        <v>487</v>
      </c>
      <c r="M85" s="101">
        <f t="shared" si="151"/>
        <v>6290357</v>
      </c>
      <c r="N85" s="94">
        <f>SUMIFS('Federal Data'!Q2:Q501,'Federal Data'!$G2:$G501,"Space",'Federal Data'!$D2:$D501,"Nongrant")</f>
        <v>6468745</v>
      </c>
      <c r="O85" s="101" t="s">
        <v>487</v>
      </c>
      <c r="P85" s="101">
        <f t="shared" si="152"/>
        <v>6468745</v>
      </c>
      <c r="Q85" s="94">
        <f>SUMIFS('Federal Data'!R2:R501,'Federal Data'!$G2:$G501,"Space",'Federal Data'!$D2:$D501,"Nongrant")</f>
        <v>6607435</v>
      </c>
      <c r="R85" s="101" t="s">
        <v>487</v>
      </c>
      <c r="S85" s="101">
        <f t="shared" si="153"/>
        <v>6607435</v>
      </c>
      <c r="T85" s="94">
        <f>SUMIFS('Federal Data'!S2:S501,'Federal Data'!$G2:$G501,"Space",'Federal Data'!$D2:$D501,"Nongrant")</f>
        <v>6755601</v>
      </c>
      <c r="U85" s="101" t="s">
        <v>487</v>
      </c>
      <c r="V85" s="101">
        <f t="shared" si="154"/>
        <v>6755601</v>
      </c>
      <c r="W85" s="94">
        <f>SUMIFS('Federal Data'!T2:T501,'Federal Data'!$G2:$G501,"Space",'Federal Data'!$D2:$D501,"Nongrant")</f>
        <v>6956517</v>
      </c>
      <c r="X85" s="101" t="s">
        <v>487</v>
      </c>
      <c r="Y85" s="101">
        <f t="shared" si="155"/>
        <v>6956517</v>
      </c>
      <c r="Z85" s="94">
        <f>SUMIFS('Federal Data'!U2:U501,'Federal Data'!$G2:$G501,"Space",'Federal Data'!$D2:$D501,"Nongrant")</f>
        <v>8412979</v>
      </c>
      <c r="AA85" s="101" t="s">
        <v>487</v>
      </c>
      <c r="AB85" s="101">
        <f t="shared" si="156"/>
        <v>8412979</v>
      </c>
      <c r="AC85" s="94">
        <f>SUMIFS('Federal Data'!V2:V501,'Federal Data'!$G2:$G501,"Space",'Federal Data'!$D2:$D501,"Nongrant")</f>
        <v>10195668</v>
      </c>
      <c r="AD85" s="101" t="s">
        <v>487</v>
      </c>
      <c r="AE85" s="101">
        <f t="shared" si="157"/>
        <v>10195668</v>
      </c>
      <c r="AF85" s="94">
        <f>SUMIFS('Federal Data'!W2:W501,'Federal Data'!$G2:$G501,"Space",'Federal Data'!$D2:$D501,"Nongrant")</f>
        <v>11608591</v>
      </c>
      <c r="AG85" s="101" t="s">
        <v>487</v>
      </c>
      <c r="AH85" s="101">
        <f t="shared" si="158"/>
        <v>11608591</v>
      </c>
      <c r="AI85" s="94">
        <f>SUMIFS('Federal Data'!X2:X501,'Federal Data'!$G2:$G501,"Space",'Federal Data'!$D2:$D501,"Nongrant")</f>
        <v>12956683</v>
      </c>
      <c r="AJ85" s="101" t="s">
        <v>487</v>
      </c>
      <c r="AK85" s="101">
        <f t="shared" si="159"/>
        <v>12956683</v>
      </c>
      <c r="AL85" s="94">
        <f>SUMIFS('Federal Data'!Y2:Y501,'Federal Data'!$G2:$G501,"Space",'Federal Data'!$D2:$D501,"Nongrant")</f>
        <v>12837895</v>
      </c>
      <c r="AM85" s="101" t="s">
        <v>487</v>
      </c>
      <c r="AN85" s="101">
        <f t="shared" si="160"/>
        <v>12837895</v>
      </c>
      <c r="AO85" s="94">
        <f>SUMIFS('Federal Data'!Z2:Z501,'Federal Data'!$G2:$G501,"Space",'Federal Data'!$D2:$D501,"Nongrant")</f>
        <v>13092224</v>
      </c>
      <c r="AP85" s="101" t="s">
        <v>487</v>
      </c>
      <c r="AQ85" s="101">
        <f t="shared" si="161"/>
        <v>13092224</v>
      </c>
      <c r="AR85" s="94">
        <f>SUMIFS('Federal Data'!AA2:AA501,'Federal Data'!$G2:$G501,"Space",'Federal Data'!$D2:$D501,"Nongrant")</f>
        <v>12363207</v>
      </c>
      <c r="AS85" s="101" t="s">
        <v>487</v>
      </c>
      <c r="AT85" s="101">
        <f t="shared" si="162"/>
        <v>12363207</v>
      </c>
      <c r="AU85" s="94">
        <f>SUMIFS('Federal Data'!AB2:AB501,'Federal Data'!$G2:$G501,"Space",'Federal Data'!$D2:$D501,"Nongrant")</f>
        <v>12593000</v>
      </c>
      <c r="AV85" s="101" t="s">
        <v>487</v>
      </c>
      <c r="AW85" s="101">
        <f t="shared" si="163"/>
        <v>12593000</v>
      </c>
      <c r="AX85" s="94">
        <f>SUMIFS('Federal Data'!AC2:AC501,'Federal Data'!$G2:$G501,"Space",'Federal Data'!$D2:$D501,"Nongrant")</f>
        <v>12693000</v>
      </c>
      <c r="AY85" s="101" t="s">
        <v>487</v>
      </c>
      <c r="AZ85" s="101">
        <f t="shared" si="164"/>
        <v>12693000</v>
      </c>
      <c r="BA85" s="94">
        <f>SUMIFS('Federal Data'!AD2:AD501,'Federal Data'!$G2:$G501,"Space",'Federal Data'!$D2:$D501,"Nongrant")</f>
        <v>13056000</v>
      </c>
      <c r="BB85" s="101" t="s">
        <v>487</v>
      </c>
      <c r="BC85" s="101">
        <f t="shared" si="165"/>
        <v>13056000</v>
      </c>
      <c r="BD85" s="94">
        <f>SUMIFS('Federal Data'!AE2:AE501,'Federal Data'!$G2:$G501,"Space",'Federal Data'!$D2:$D501,"Nongrant")</f>
        <v>12866000</v>
      </c>
      <c r="BE85" s="101" t="s">
        <v>487</v>
      </c>
      <c r="BF85" s="101">
        <f t="shared" si="166"/>
        <v>12866000</v>
      </c>
      <c r="BG85" s="94">
        <f>SUMIFS('Federal Data'!AF2:AF501,'Federal Data'!$G2:$G501,"Space",'Federal Data'!$D2:$D501,"Nongrant")</f>
        <v>12446000</v>
      </c>
      <c r="BH85" s="101" t="s">
        <v>487</v>
      </c>
      <c r="BI85" s="101">
        <f t="shared" si="167"/>
        <v>12446000</v>
      </c>
      <c r="BJ85" s="94">
        <f>SUMIFS('Federal Data'!AG2:AG501,'Federal Data'!$G2:$G501,"Space",'Federal Data'!$D2:$D501,"Nongrant")</f>
        <v>12427000</v>
      </c>
      <c r="BK85" s="101" t="s">
        <v>487</v>
      </c>
      <c r="BL85" s="101">
        <f t="shared" si="168"/>
        <v>12427000</v>
      </c>
      <c r="BM85" s="94">
        <f>SUMIFS('Federal Data'!AH2:AH501,'Federal Data'!$G2:$G501,"Space",'Federal Data'!$D2:$D501,"Nongrant")</f>
        <v>13233000</v>
      </c>
      <c r="BN85" s="101" t="s">
        <v>487</v>
      </c>
      <c r="BO85" s="101">
        <f t="shared" si="169"/>
        <v>13233000</v>
      </c>
      <c r="BP85" s="94">
        <f>SUMIFS('Federal Data'!AI2:AI501,'Federal Data'!$G2:$G501,"Space",'Federal Data'!$D2:$D501,"Nongrant")</f>
        <v>13473000</v>
      </c>
      <c r="BQ85" s="101" t="s">
        <v>487</v>
      </c>
      <c r="BR85" s="101">
        <f t="shared" si="170"/>
        <v>13473000</v>
      </c>
      <c r="BS85" s="94">
        <f>SUMIFS('Federal Data'!AJ2:AJ501,'Federal Data'!$G2:$G501,"Space",'Federal Data'!$D2:$D501,"Nongrant")</f>
        <v>12880000</v>
      </c>
      <c r="BT85" s="101" t="s">
        <v>487</v>
      </c>
      <c r="BU85" s="101">
        <f t="shared" si="171"/>
        <v>12880000</v>
      </c>
      <c r="BV85" s="94">
        <f>SUMIFS('Federal Data'!AK2:AK501,'Federal Data'!$G2:$G501,"Space",'Federal Data'!$D2:$D501,"Nongrant")</f>
        <v>14637000</v>
      </c>
      <c r="BW85" s="101" t="s">
        <v>487</v>
      </c>
      <c r="BX85" s="101">
        <f t="shared" si="172"/>
        <v>14637000</v>
      </c>
      <c r="BY85" s="94">
        <f>SUMIFS('Federal Data'!AL2:AL501,'Federal Data'!$G2:$G501,"Space",'Federal Data'!$D2:$D501,"Nongrant")</f>
        <v>14778000</v>
      </c>
      <c r="BZ85" s="101" t="s">
        <v>487</v>
      </c>
      <c r="CA85" s="101">
        <f t="shared" si="173"/>
        <v>14778000</v>
      </c>
      <c r="CB85" s="94">
        <f>SUMIFS('Federal Data'!AM2:AM501,'Federal Data'!$G2:$G501,"Space",'Federal Data'!$D2:$D501,"Nongrant")</f>
        <v>14491000</v>
      </c>
      <c r="CC85" s="101" t="s">
        <v>487</v>
      </c>
      <c r="CD85" s="101">
        <f t="shared" si="174"/>
        <v>14491000</v>
      </c>
      <c r="CE85" s="94">
        <f>SUMIFS('Federal Data'!AN2:AN501,'Federal Data'!$G2:$G501,"Space",'Federal Data'!$D2:$D501,"Nongrant")</f>
        <v>15258000</v>
      </c>
      <c r="CF85" s="101" t="s">
        <v>487</v>
      </c>
      <c r="CG85" s="101">
        <f t="shared" si="175"/>
        <v>15258000</v>
      </c>
      <c r="CH85" s="94">
        <f>SUMIFS('Federal Data'!AO2:AO501,'Federal Data'!$G2:$G501,"Space",'Federal Data'!$D2:$D501,"Nongrant")</f>
        <v>17200000</v>
      </c>
      <c r="CI85" s="101" t="s">
        <v>487</v>
      </c>
      <c r="CJ85" s="101">
        <f t="shared" si="176"/>
        <v>17200000</v>
      </c>
      <c r="CK85" s="94">
        <f>SUMIFS('Federal Data'!AP2:AP501,'Federal Data'!$G2:$G501,"Space",'Federal Data'!$D2:$D501,"Nongrant")</f>
        <v>18397000</v>
      </c>
      <c r="CL85" s="101" t="s">
        <v>487</v>
      </c>
      <c r="CM85" s="101">
        <f t="shared" si="177"/>
        <v>18397000</v>
      </c>
      <c r="CN85" s="94">
        <f>SUMIFS('Federal Data'!AQ2:AQ501,'Federal Data'!$G2:$G501,"Space",'Federal Data'!$D2:$D501,"Nongrant")</f>
        <v>18370000</v>
      </c>
      <c r="CO85" s="101" t="s">
        <v>487</v>
      </c>
      <c r="CP85" s="101">
        <f t="shared" si="178"/>
        <v>18370000</v>
      </c>
      <c r="CQ85" s="94">
        <f>SUMIFS('Federal Data'!AR2:AR501,'Federal Data'!$G2:$G501,"Space",'Federal Data'!$D2:$D501,"Nongrant")</f>
        <v>17032000</v>
      </c>
      <c r="CR85" s="101" t="s">
        <v>487</v>
      </c>
      <c r="CS85" s="101">
        <f t="shared" si="179"/>
        <v>17032000</v>
      </c>
      <c r="CT85" s="94">
        <f>SUMIFS('Federal Data'!AS2:AS501,'Federal Data'!$G2:$G501,"Space",'Federal Data'!$D2:$D501,"Nongrant")</f>
        <v>16602000</v>
      </c>
      <c r="CU85" s="101" t="s">
        <v>487</v>
      </c>
      <c r="CV85" s="101">
        <f t="shared" si="180"/>
        <v>16602000</v>
      </c>
      <c r="CW85" s="94">
        <f>SUMIFS('Federal Data'!AT2:AT501,'Federal Data'!$G2:$G501,"Space",'Federal Data'!$D2:$D501,"Nongrant")</f>
        <v>16429000</v>
      </c>
      <c r="CX85" s="101" t="s">
        <v>487</v>
      </c>
      <c r="CY85" s="101">
        <f t="shared" si="181"/>
        <v>16429000</v>
      </c>
      <c r="CZ85" s="94">
        <f>SUMIFS('Federal Data'!AU2:AU501,'Federal Data'!$G2:$G501,"Space",'Federal Data'!$D2:$D501,"Nongrant")</f>
        <v>16559000</v>
      </c>
      <c r="DA85" s="101" t="s">
        <v>487</v>
      </c>
      <c r="DB85" s="101">
        <f t="shared" si="182"/>
        <v>16559000</v>
      </c>
      <c r="DC85" s="37">
        <f>SUMIFS('Federal Data'!AV2:AV501,'Federal Data'!$G2:$G501,"Space",'Federal Data'!$D2:$D501,"Nongrant")</f>
        <v>17693000</v>
      </c>
      <c r="DD85" s="85" t="s">
        <v>487</v>
      </c>
      <c r="DE85" s="85">
        <f t="shared" si="183"/>
        <v>17693000</v>
      </c>
    </row>
    <row r="86" spans="1:109" outlineLevel="2">
      <c r="A86" s="29" t="s">
        <v>305</v>
      </c>
      <c r="B86" s="94">
        <f>SUMIFS('Federal Data'!M2:M501,'Federal Data'!$G2:$G501,"Technology INfrastructure",'Federal Data'!$D2:$D501,"Nongrant")</f>
        <v>214403</v>
      </c>
      <c r="C86" s="101" t="s">
        <v>487</v>
      </c>
      <c r="D86" s="101">
        <f t="shared" si="148"/>
        <v>214403</v>
      </c>
      <c r="E86" s="94">
        <f>SUMIFS('Federal Data'!N2:N501,'Federal Data'!$G2:$G501,"Technology INfrastructure",'Federal Data'!$D2:$D501,"Nongrant")</f>
        <v>234295</v>
      </c>
      <c r="F86" s="101" t="s">
        <v>487</v>
      </c>
      <c r="G86" s="101">
        <f t="shared" si="149"/>
        <v>234295</v>
      </c>
      <c r="H86" s="94">
        <f>SUMIFS('Federal Data'!O2:O501,'Federal Data'!$G2:$G501,"Technology INfrastructure",'Federal Data'!$D2:$D501,"Nongrant")</f>
        <v>223542</v>
      </c>
      <c r="I86" s="101" t="s">
        <v>487</v>
      </c>
      <c r="J86" s="101">
        <f t="shared" si="150"/>
        <v>223542</v>
      </c>
      <c r="K86" s="94">
        <f>SUMIFS('Federal Data'!P2:P501,'Federal Data'!$G2:$G501,"Technology INfrastructure",'Federal Data'!$D2:$D501,"Nongrant")</f>
        <v>242330</v>
      </c>
      <c r="L86" s="101" t="s">
        <v>487</v>
      </c>
      <c r="M86" s="101">
        <f t="shared" si="151"/>
        <v>242330</v>
      </c>
      <c r="N86" s="94">
        <f>SUMIFS('Federal Data'!Q2:Q501,'Federal Data'!$G2:$G501,"Technology INfrastructure",'Federal Data'!$D2:$D501,"Nongrant")</f>
        <v>287446</v>
      </c>
      <c r="O86" s="101" t="s">
        <v>487</v>
      </c>
      <c r="P86" s="101">
        <f t="shared" si="152"/>
        <v>287446</v>
      </c>
      <c r="Q86" s="94">
        <f>SUMIFS('Federal Data'!R2:R501,'Federal Data'!$G2:$G501,"Technology INfrastructure",'Federal Data'!$D2:$D501,"Nongrant")</f>
        <v>377786</v>
      </c>
      <c r="R86" s="101" t="s">
        <v>487</v>
      </c>
      <c r="S86" s="101">
        <f t="shared" si="153"/>
        <v>377786</v>
      </c>
      <c r="T86" s="94">
        <f>SUMIFS('Federal Data'!S2:S501,'Federal Data'!$G2:$G501,"Technology INfrastructure",'Federal Data'!$D2:$D501,"Nongrant")</f>
        <v>432362</v>
      </c>
      <c r="U86" s="101" t="s">
        <v>487</v>
      </c>
      <c r="V86" s="101">
        <f t="shared" si="154"/>
        <v>432362</v>
      </c>
      <c r="W86" s="94">
        <f>SUMIFS('Federal Data'!T2:T501,'Federal Data'!$G2:$G501,"Technology INfrastructure",'Federal Data'!$D2:$D501,"Nongrant")</f>
        <v>492130</v>
      </c>
      <c r="X86" s="101" t="s">
        <v>487</v>
      </c>
      <c r="Y86" s="101">
        <f t="shared" si="155"/>
        <v>492130</v>
      </c>
      <c r="Z86" s="94">
        <f>SUMIFS('Federal Data'!U2:U501,'Federal Data'!$G2:$G501,"Technology INfrastructure",'Federal Data'!$D2:$D501,"Nongrant")</f>
        <v>577288</v>
      </c>
      <c r="AA86" s="101" t="s">
        <v>487</v>
      </c>
      <c r="AB86" s="101">
        <f t="shared" si="156"/>
        <v>577288</v>
      </c>
      <c r="AC86" s="94">
        <f>SUMIFS('Federal Data'!V2:V501,'Federal Data'!$G2:$G501,"Technology INfrastructure",'Federal Data'!$D2:$D501,"Nongrant")</f>
        <v>753431</v>
      </c>
      <c r="AD86" s="101" t="s">
        <v>487</v>
      </c>
      <c r="AE86" s="101">
        <f t="shared" si="157"/>
        <v>753431</v>
      </c>
      <c r="AF86" s="94">
        <f>SUMIFS('Federal Data'!W2:W501,'Federal Data'!$G2:$G501,"Technology INfrastructure",'Federal Data'!$D2:$D501,"Nongrant")</f>
        <v>942667</v>
      </c>
      <c r="AG86" s="101" t="s">
        <v>487</v>
      </c>
      <c r="AH86" s="101">
        <f t="shared" si="158"/>
        <v>942667</v>
      </c>
      <c r="AI86" s="94">
        <f>SUMIFS('Federal Data'!X2:X501,'Federal Data'!$G2:$G501,"Technology INfrastructure",'Federal Data'!$D2:$D501,"Nongrant")</f>
        <v>1058765</v>
      </c>
      <c r="AJ86" s="101" t="s">
        <v>487</v>
      </c>
      <c r="AK86" s="101">
        <f t="shared" si="159"/>
        <v>1058765</v>
      </c>
      <c r="AL86" s="94">
        <f>SUMIFS('Federal Data'!Y2:Y501,'Federal Data'!$G2:$G501,"Technology INfrastructure",'Federal Data'!$D2:$D501,"Nongrant")</f>
        <v>1143527</v>
      </c>
      <c r="AM86" s="101" t="s">
        <v>487</v>
      </c>
      <c r="AN86" s="101">
        <f t="shared" si="160"/>
        <v>1143527</v>
      </c>
      <c r="AO86" s="94">
        <f>SUMIFS('Federal Data'!Z2:Z501,'Federal Data'!$G2:$G501,"Technology INfrastructure",'Federal Data'!$D2:$D501,"Nongrant")</f>
        <v>1225051</v>
      </c>
      <c r="AP86" s="101" t="s">
        <v>487</v>
      </c>
      <c r="AQ86" s="101">
        <f t="shared" si="161"/>
        <v>1225051</v>
      </c>
      <c r="AR86" s="94">
        <f>SUMIFS('Federal Data'!AA2:AA501,'Federal Data'!$G2:$G501,"Technology INfrastructure",'Federal Data'!$D2:$D501,"Nongrant")</f>
        <v>1133553</v>
      </c>
      <c r="AS86" s="101" t="s">
        <v>487</v>
      </c>
      <c r="AT86" s="101">
        <f t="shared" si="162"/>
        <v>1133553</v>
      </c>
      <c r="AU86" s="94">
        <f>SUMIFS('Federal Data'!AB2:AB501,'Federal Data'!$G2:$G501,"Technology INfrastructure",'Federal Data'!$D2:$D501,"Nongrant")</f>
        <v>1400000</v>
      </c>
      <c r="AV86" s="101" t="s">
        <v>487</v>
      </c>
      <c r="AW86" s="101">
        <f t="shared" si="163"/>
        <v>1400000</v>
      </c>
      <c r="AX86" s="94">
        <f>SUMIFS('Federal Data'!AC2:AC501,'Federal Data'!$G2:$G501,"Technology INfrastructure",'Federal Data'!$D2:$D501,"Nongrant")</f>
        <v>1552000</v>
      </c>
      <c r="AY86" s="101" t="s">
        <v>487</v>
      </c>
      <c r="AZ86" s="101">
        <f t="shared" si="164"/>
        <v>1552000</v>
      </c>
      <c r="BA86" s="94">
        <f>SUMIFS('Federal Data'!AD2:AD501,'Federal Data'!$G2:$G501,"Technology INfrastructure",'Federal Data'!$D2:$D501,"Nongrant")</f>
        <v>2612000</v>
      </c>
      <c r="BB86" s="101" t="s">
        <v>487</v>
      </c>
      <c r="BC86" s="101">
        <f t="shared" si="165"/>
        <v>2612000</v>
      </c>
      <c r="BD86" s="94">
        <f>SUMIFS('Federal Data'!AE2:AE501,'Federal Data'!$G2:$G501,"Technology INfrastructure",'Federal Data'!$D2:$D501,"Nongrant")</f>
        <v>7272000</v>
      </c>
      <c r="BE86" s="101" t="s">
        <v>487</v>
      </c>
      <c r="BF86" s="101">
        <f t="shared" si="166"/>
        <v>7272000</v>
      </c>
      <c r="BG86" s="94">
        <f>SUMIFS('Federal Data'!AF2:AF501,'Federal Data'!$G2:$G501,"Technology INfrastructure",'Federal Data'!$D2:$D501,"Nongrant")</f>
        <v>4520000</v>
      </c>
      <c r="BH86" s="101" t="s">
        <v>487</v>
      </c>
      <c r="BI86" s="101">
        <f t="shared" si="167"/>
        <v>4520000</v>
      </c>
      <c r="BJ86" s="94">
        <f>SUMIFS('Federal Data'!AG2:AG501,'Federal Data'!$G2:$G501,"Technology INfrastructure",'Federal Data'!$D2:$D501,"Nongrant")</f>
        <v>1798000</v>
      </c>
      <c r="BK86" s="101" t="s">
        <v>487</v>
      </c>
      <c r="BL86" s="101">
        <f t="shared" si="168"/>
        <v>1798000</v>
      </c>
      <c r="BM86" s="94">
        <f>SUMIFS('Federal Data'!AH2:AH501,'Federal Data'!$G2:$G501,"Technology INfrastructure",'Federal Data'!$D2:$D501,"Nongrant")</f>
        <v>3429000</v>
      </c>
      <c r="BN86" s="101" t="s">
        <v>487</v>
      </c>
      <c r="BO86" s="101">
        <f t="shared" si="169"/>
        <v>3429000</v>
      </c>
      <c r="BP86" s="94">
        <f>SUMIFS('Federal Data'!AI2:AI501,'Federal Data'!$G2:$G501,"Technology INfrastructure",'Federal Data'!$D2:$D501,"Nongrant")</f>
        <v>4677000</v>
      </c>
      <c r="BQ86" s="101" t="s">
        <v>487</v>
      </c>
      <c r="BR86" s="101">
        <f t="shared" si="170"/>
        <v>4677000</v>
      </c>
      <c r="BS86" s="94">
        <f>SUMIFS('Federal Data'!AJ2:AJ501,'Federal Data'!$G2:$G501,"Technology INfrastructure",'Federal Data'!$D2:$D501,"Nongrant")</f>
        <v>8423000</v>
      </c>
      <c r="BT86" s="101" t="s">
        <v>487</v>
      </c>
      <c r="BU86" s="101">
        <f t="shared" si="171"/>
        <v>8423000</v>
      </c>
      <c r="BV86" s="94">
        <f>SUMIFS('Federal Data'!AK2:AK501,'Federal Data'!$G2:$G501,"Technology INfrastructure",'Federal Data'!$D2:$D501,"Nongrant")</f>
        <v>3493000</v>
      </c>
      <c r="BW86" s="101" t="s">
        <v>487</v>
      </c>
      <c r="BX86" s="101">
        <f t="shared" si="172"/>
        <v>3493000</v>
      </c>
      <c r="BY86" s="94">
        <f>SUMIFS('Federal Data'!AL2:AL501,'Federal Data'!$G2:$G501,"Technology INfrastructure",'Federal Data'!$D2:$D501,"Nongrant")</f>
        <v>6971000</v>
      </c>
      <c r="BZ86" s="101" t="s">
        <v>487</v>
      </c>
      <c r="CA86" s="101">
        <f t="shared" si="173"/>
        <v>6971000</v>
      </c>
      <c r="CB86" s="94">
        <f>SUMIFS('Federal Data'!AM2:AM501,'Federal Data'!$G2:$G501,"Technology INfrastructure",'Federal Data'!$D2:$D501,"Nongrant")</f>
        <v>6334000</v>
      </c>
      <c r="CC86" s="101" t="s">
        <v>487</v>
      </c>
      <c r="CD86" s="101">
        <f t="shared" si="174"/>
        <v>6334000</v>
      </c>
      <c r="CE86" s="94">
        <f>SUMIFS('Federal Data'!AN2:AN501,'Federal Data'!$G2:$G501,"Technology INfrastructure",'Federal Data'!$D2:$D501,"Nongrant")</f>
        <v>6809000</v>
      </c>
      <c r="CF86" s="101" t="s">
        <v>487</v>
      </c>
      <c r="CG86" s="101">
        <f t="shared" si="175"/>
        <v>6809000</v>
      </c>
      <c r="CH86" s="94">
        <f>SUMIFS('Federal Data'!AO2:AO501,'Federal Data'!$G2:$G501,"Technology INfrastructure",'Federal Data'!$D2:$D501,"Nongrant")</f>
        <v>7652000</v>
      </c>
      <c r="CI86" s="101" t="s">
        <v>487</v>
      </c>
      <c r="CJ86" s="101">
        <f t="shared" si="176"/>
        <v>7652000</v>
      </c>
      <c r="CK86" s="94">
        <f>SUMIFS('Federal Data'!AP2:AP501,'Federal Data'!$G2:$G501,"Technology INfrastructure",'Federal Data'!$D2:$D501,"Nongrant")</f>
        <v>8909000</v>
      </c>
      <c r="CL86" s="101" t="s">
        <v>487</v>
      </c>
      <c r="CM86" s="101">
        <f t="shared" si="177"/>
        <v>8909000</v>
      </c>
      <c r="CN86" s="94">
        <f>SUMIFS('Federal Data'!AQ2:AQ501,'Federal Data'!$G2:$G501,"Technology INfrastructure",'Federal Data'!$D2:$D501,"Nongrant")</f>
        <v>8084000</v>
      </c>
      <c r="CO86" s="101" t="s">
        <v>487</v>
      </c>
      <c r="CP86" s="101">
        <f t="shared" si="178"/>
        <v>8084000</v>
      </c>
      <c r="CQ86" s="94">
        <f>SUMIFS('Federal Data'!AR2:AR501,'Federal Data'!$G2:$G501,"Technology INfrastructure",'Federal Data'!$D2:$D501,"Nongrant")</f>
        <v>9137000</v>
      </c>
      <c r="CR86" s="101" t="s">
        <v>487</v>
      </c>
      <c r="CS86" s="101">
        <f t="shared" si="179"/>
        <v>9137000</v>
      </c>
      <c r="CT86" s="94">
        <f>SUMIFS('Federal Data'!AS2:AS501,'Federal Data'!$G2:$G501,"Technology INfrastructure",'Federal Data'!$D2:$D501,"Nongrant")</f>
        <v>10426000</v>
      </c>
      <c r="CU86" s="101" t="s">
        <v>487</v>
      </c>
      <c r="CV86" s="101">
        <f t="shared" si="180"/>
        <v>10426000</v>
      </c>
      <c r="CW86" s="94">
        <f>SUMIFS('Federal Data'!AT2:AT501,'Federal Data'!$G2:$G501,"Technology INfrastructure",'Federal Data'!$D2:$D501,"Nongrant")</f>
        <v>9041000</v>
      </c>
      <c r="CX86" s="101" t="s">
        <v>487</v>
      </c>
      <c r="CY86" s="101">
        <f t="shared" si="181"/>
        <v>9041000</v>
      </c>
      <c r="CZ86" s="94">
        <f>SUMIFS('Federal Data'!AU2:AU501,'Federal Data'!$G2:$G501,"Technology INfrastructure",'Federal Data'!$D2:$D501,"Nongrant")</f>
        <v>8331000</v>
      </c>
      <c r="DA86" s="101" t="s">
        <v>487</v>
      </c>
      <c r="DB86" s="101">
        <f t="shared" si="182"/>
        <v>8331000</v>
      </c>
      <c r="DC86" s="37">
        <f>SUMIFS('Federal Data'!AV2:AV501,'Federal Data'!$G2:$G501,"Technology INfrastructure",'Federal Data'!$D2:$D501,"Nongrant")</f>
        <v>8762000</v>
      </c>
      <c r="DD86" s="85" t="s">
        <v>487</v>
      </c>
      <c r="DE86" s="85">
        <f t="shared" si="183"/>
        <v>8762000</v>
      </c>
    </row>
    <row r="87" spans="1:109" outlineLevel="2">
      <c r="A87" s="29" t="s">
        <v>293</v>
      </c>
      <c r="B87" s="94">
        <f>SUMIFS('Federal Data'!M2:M501,'Federal Data'!$G2:$G501,"Postal Service",'Federal Data'!$D2:$D501,"Nongrant")</f>
        <v>1245551</v>
      </c>
      <c r="C87" s="101" t="s">
        <v>487</v>
      </c>
      <c r="D87" s="101">
        <f t="shared" si="148"/>
        <v>1245551</v>
      </c>
      <c r="E87" s="94">
        <f>SUMIFS('Federal Data'!N2:N501,'Federal Data'!$G2:$G501,"Postal Service",'Federal Data'!$D2:$D501,"Nongrant")</f>
        <v>1431723</v>
      </c>
      <c r="F87" s="101" t="s">
        <v>487</v>
      </c>
      <c r="G87" s="101">
        <f t="shared" si="149"/>
        <v>1431723</v>
      </c>
      <c r="H87" s="94">
        <f>SUMIFS('Federal Data'!O2:O501,'Federal Data'!$G2:$G501,"Postal Service",'Federal Data'!$D2:$D501,"Nongrant")</f>
        <v>154146</v>
      </c>
      <c r="I87" s="101" t="s">
        <v>487</v>
      </c>
      <c r="J87" s="101">
        <f t="shared" si="150"/>
        <v>154146</v>
      </c>
      <c r="K87" s="94">
        <f>SUMIFS('Federal Data'!P2:P501,'Federal Data'!$G2:$G501,"Postal Service",'Federal Data'!$D2:$D501,"Nongrant")</f>
        <v>1111294</v>
      </c>
      <c r="L87" s="101" t="s">
        <v>487</v>
      </c>
      <c r="M87" s="101">
        <f t="shared" si="151"/>
        <v>1111294</v>
      </c>
      <c r="N87" s="94">
        <f>SUMIFS('Federal Data'!Q2:Q501,'Federal Data'!$G2:$G501,"Postal Service",'Federal Data'!$D2:$D501,"Nongrant")</f>
        <v>1238828</v>
      </c>
      <c r="O87" s="101" t="s">
        <v>487</v>
      </c>
      <c r="P87" s="101">
        <f t="shared" si="152"/>
        <v>1238828</v>
      </c>
      <c r="Q87" s="94">
        <f>SUMIFS('Federal Data'!R2:R501,'Federal Data'!$G2:$G501,"Postal Service",'Federal Data'!$D2:$D501,"Nongrant")</f>
        <v>1351100</v>
      </c>
      <c r="R87" s="101" t="s">
        <v>487</v>
      </c>
      <c r="S87" s="101">
        <f t="shared" si="153"/>
        <v>1351100</v>
      </c>
      <c r="T87" s="94">
        <f>SUMIFS('Federal Data'!S2:S501,'Federal Data'!$G2:$G501,"Postal Service",'Federal Data'!$D2:$D501,"Nongrant")</f>
        <v>758085</v>
      </c>
      <c r="U87" s="101" t="s">
        <v>487</v>
      </c>
      <c r="V87" s="101">
        <f t="shared" si="154"/>
        <v>758085</v>
      </c>
      <c r="W87" s="94">
        <f>SUMIFS('Federal Data'!T2:T501,'Federal Data'!$G2:$G501,"Postal Service",'Federal Data'!$D2:$D501,"Nongrant")</f>
        <v>1592629</v>
      </c>
      <c r="X87" s="101" t="s">
        <v>487</v>
      </c>
      <c r="Y87" s="101">
        <f t="shared" si="155"/>
        <v>1592629</v>
      </c>
      <c r="Z87" s="94">
        <f>SUMIFS('Federal Data'!U2:U501,'Federal Data'!$G2:$G501,"Postal Service",'Federal Data'!$D2:$D501,"Nongrant")</f>
        <v>2229465</v>
      </c>
      <c r="AA87" s="101" t="s">
        <v>487</v>
      </c>
      <c r="AB87" s="101">
        <f t="shared" si="156"/>
        <v>2229465</v>
      </c>
      <c r="AC87" s="94">
        <f>SUMIFS('Federal Data'!V2:V501,'Federal Data'!$G2:$G501,"Postal Service",'Federal Data'!$D2:$D501,"Nongrant")</f>
        <v>126798</v>
      </c>
      <c r="AD87" s="101" t="s">
        <v>487</v>
      </c>
      <c r="AE87" s="101">
        <f t="shared" si="157"/>
        <v>126798</v>
      </c>
      <c r="AF87" s="94">
        <f>SUMIFS('Federal Data'!W2:W501,'Federal Data'!$G2:$G501,"Postal Service",'Federal Data'!$D2:$D501,"Nongrant")</f>
        <v>2115676</v>
      </c>
      <c r="AG87" s="101" t="s">
        <v>487</v>
      </c>
      <c r="AH87" s="101">
        <f t="shared" si="158"/>
        <v>2115676</v>
      </c>
      <c r="AI87" s="94">
        <f>SUMIFS('Federal Data'!X2:X501,'Federal Data'!$G2:$G501,"Postal Service",'Federal Data'!$D2:$D501,"Nongrant")</f>
        <v>1827993</v>
      </c>
      <c r="AJ87" s="101" t="s">
        <v>487</v>
      </c>
      <c r="AK87" s="101">
        <f t="shared" si="159"/>
        <v>1827993</v>
      </c>
      <c r="AL87" s="94">
        <f>SUMIFS('Federal Data'!Y2:Y501,'Federal Data'!$G2:$G501,"Postal Service",'Federal Data'!$D2:$D501,"Nongrant")</f>
        <v>1169276</v>
      </c>
      <c r="AM87" s="101" t="s">
        <v>487</v>
      </c>
      <c r="AN87" s="101">
        <f t="shared" si="160"/>
        <v>1169276</v>
      </c>
      <c r="AO87" s="94">
        <f>SUMIFS('Federal Data'!Z2:Z501,'Federal Data'!$G2:$G501,"Postal Service",'Federal Data'!$D2:$D501,"Nongrant")</f>
        <v>1601631</v>
      </c>
      <c r="AP87" s="101" t="s">
        <v>487</v>
      </c>
      <c r="AQ87" s="101">
        <f t="shared" si="161"/>
        <v>1601631</v>
      </c>
      <c r="AR87" s="94">
        <f>SUMIFS('Federal Data'!AA2:AA501,'Federal Data'!$G2:$G501,"Postal Service",'Federal Data'!$D2:$D501,"Nongrant")</f>
        <v>1233139</v>
      </c>
      <c r="AS87" s="101" t="s">
        <v>487</v>
      </c>
      <c r="AT87" s="101">
        <f t="shared" si="162"/>
        <v>1233139</v>
      </c>
      <c r="AU87" s="94">
        <f>SUMIFS('Federal Data'!AB2:AB501,'Federal Data'!$G2:$G501,"Postal Service",'Federal Data'!$D2:$D501,"Nongrant")</f>
        <v>-1839000</v>
      </c>
      <c r="AV87" s="101" t="s">
        <v>487</v>
      </c>
      <c r="AW87" s="101">
        <f t="shared" si="163"/>
        <v>-1839000</v>
      </c>
      <c r="AX87" s="94">
        <f>SUMIFS('Federal Data'!AC2:AC501,'Federal Data'!$G2:$G501,"Postal Service",'Federal Data'!$D2:$D501,"Nongrant")</f>
        <v>-58000</v>
      </c>
      <c r="AY87" s="101" t="s">
        <v>487</v>
      </c>
      <c r="AZ87" s="101">
        <f t="shared" si="164"/>
        <v>-58000</v>
      </c>
      <c r="BA87" s="94">
        <f>SUMIFS('Federal Data'!AD2:AD501,'Federal Data'!$G2:$G501,"Postal Service",'Federal Data'!$D2:$D501,"Nongrant")</f>
        <v>77000</v>
      </c>
      <c r="BB87" s="101" t="s">
        <v>487</v>
      </c>
      <c r="BC87" s="101">
        <f t="shared" si="165"/>
        <v>77000</v>
      </c>
      <c r="BD87" s="94">
        <f>SUMIFS('Federal Data'!AE2:AE501,'Federal Data'!$G2:$G501,"Postal Service",'Federal Data'!$D2:$D501,"Nongrant")</f>
        <v>303000</v>
      </c>
      <c r="BE87" s="101" t="s">
        <v>487</v>
      </c>
      <c r="BF87" s="101">
        <f t="shared" si="166"/>
        <v>303000</v>
      </c>
      <c r="BG87" s="94">
        <f>SUMIFS('Federal Data'!AF2:AF501,'Federal Data'!$G2:$G501,"Postal Service",'Federal Data'!$D2:$D501,"Nongrant")</f>
        <v>1050000</v>
      </c>
      <c r="BH87" s="101" t="s">
        <v>487</v>
      </c>
      <c r="BI87" s="101">
        <f t="shared" si="167"/>
        <v>1050000</v>
      </c>
      <c r="BJ87" s="94">
        <f>SUMIFS('Federal Data'!AG2:AG501,'Federal Data'!$G2:$G501,"Postal Service",'Federal Data'!$D2:$D501,"Nongrant")</f>
        <v>2129000</v>
      </c>
      <c r="BK87" s="101" t="s">
        <v>487</v>
      </c>
      <c r="BL87" s="101">
        <f t="shared" si="168"/>
        <v>2129000</v>
      </c>
      <c r="BM87" s="94">
        <f>SUMIFS('Federal Data'!AH2:AH501,'Federal Data'!$G2:$G501,"Postal Service",'Federal Data'!$D2:$D501,"Nongrant")</f>
        <v>2395000</v>
      </c>
      <c r="BN87" s="101" t="s">
        <v>487</v>
      </c>
      <c r="BO87" s="101">
        <f t="shared" si="169"/>
        <v>2395000</v>
      </c>
      <c r="BP87" s="94">
        <f>SUMIFS('Federal Data'!AI2:AI501,'Federal Data'!$G2:$G501,"Postal Service",'Federal Data'!$D2:$D501,"Nongrant")</f>
        <v>207000</v>
      </c>
      <c r="BQ87" s="101" t="s">
        <v>487</v>
      </c>
      <c r="BR87" s="101">
        <f t="shared" si="170"/>
        <v>207000</v>
      </c>
      <c r="BS87" s="94">
        <f>SUMIFS('Federal Data'!AJ2:AJ501,'Federal Data'!$G2:$G501,"Postal Service",'Federal Data'!$D2:$D501,"Nongrant")</f>
        <v>-5169000</v>
      </c>
      <c r="BT87" s="101" t="s">
        <v>487</v>
      </c>
      <c r="BU87" s="101">
        <f t="shared" si="171"/>
        <v>-5169000</v>
      </c>
      <c r="BV87" s="94">
        <f>SUMIFS('Federal Data'!AK2:AK501,'Federal Data'!$G2:$G501,"Postal Service",'Federal Data'!$D2:$D501,"Nongrant")</f>
        <v>-4070000</v>
      </c>
      <c r="BW87" s="101" t="s">
        <v>487</v>
      </c>
      <c r="BX87" s="101">
        <f t="shared" si="172"/>
        <v>-4070000</v>
      </c>
      <c r="BY87" s="94">
        <f>SUMIFS('Federal Data'!AL2:AL501,'Federal Data'!$G2:$G501,"Postal Service",'Federal Data'!$D2:$D501,"Nongrant")</f>
        <v>-1223000</v>
      </c>
      <c r="BZ87" s="101" t="s">
        <v>487</v>
      </c>
      <c r="CA87" s="101">
        <f t="shared" si="173"/>
        <v>-1223000</v>
      </c>
      <c r="CB87" s="94">
        <f>SUMIFS('Federal Data'!AM2:AM501,'Federal Data'!$G2:$G501,"Postal Service",'Federal Data'!$D2:$D501,"Nongrant")</f>
        <v>-971000</v>
      </c>
      <c r="CC87" s="101" t="s">
        <v>487</v>
      </c>
      <c r="CD87" s="101">
        <f t="shared" si="174"/>
        <v>-971000</v>
      </c>
      <c r="CE87" s="94">
        <f>SUMIFS('Federal Data'!AN2:AN501,'Federal Data'!$G2:$G501,"Postal Service",'Federal Data'!$D2:$D501,"Nongrant")</f>
        <v>5197000</v>
      </c>
      <c r="CF87" s="101" t="s">
        <v>487</v>
      </c>
      <c r="CG87" s="101">
        <f t="shared" si="175"/>
        <v>5197000</v>
      </c>
      <c r="CH87" s="94">
        <f>SUMIFS('Federal Data'!AO2:AO501,'Federal Data'!$G2:$G501,"Postal Service",'Federal Data'!$D2:$D501,"Nongrant")</f>
        <v>2526000</v>
      </c>
      <c r="CI87" s="101" t="s">
        <v>487</v>
      </c>
      <c r="CJ87" s="101">
        <f t="shared" si="176"/>
        <v>2526000</v>
      </c>
      <c r="CK87" s="94">
        <f>SUMIFS('Federal Data'!AP2:AP501,'Federal Data'!$G2:$G501,"Postal Service",'Federal Data'!$D2:$D501,"Nongrant")</f>
        <v>422000</v>
      </c>
      <c r="CL87" s="101" t="s">
        <v>487</v>
      </c>
      <c r="CM87" s="101">
        <f t="shared" si="177"/>
        <v>422000</v>
      </c>
      <c r="CN87" s="94">
        <f>SUMIFS('Federal Data'!AQ2:AQ501,'Federal Data'!$G2:$G501,"Postal Service",'Federal Data'!$D2:$D501,"Nongrant")</f>
        <v>4818000</v>
      </c>
      <c r="CO87" s="101" t="s">
        <v>487</v>
      </c>
      <c r="CP87" s="101">
        <f t="shared" si="178"/>
        <v>4818000</v>
      </c>
      <c r="CQ87" s="94">
        <f>SUMIFS('Federal Data'!AR2:AR501,'Federal Data'!$G2:$G501,"Postal Service",'Federal Data'!$D2:$D501,"Nongrant")</f>
        <v>909000</v>
      </c>
      <c r="CR87" s="101" t="s">
        <v>487</v>
      </c>
      <c r="CS87" s="101">
        <f t="shared" si="179"/>
        <v>909000</v>
      </c>
      <c r="CT87" s="94">
        <f>SUMIFS('Federal Data'!AS2:AS501,'Federal Data'!$G2:$G501,"Postal Service",'Federal Data'!$D2:$D501,"Nongrant")</f>
        <v>2744000</v>
      </c>
      <c r="CU87" s="101" t="s">
        <v>487</v>
      </c>
      <c r="CV87" s="101">
        <f t="shared" si="180"/>
        <v>2744000</v>
      </c>
      <c r="CW87" s="94">
        <f>SUMIFS('Federal Data'!AT2:AT501,'Federal Data'!$G2:$G501,"Postal Service",'Federal Data'!$D2:$D501,"Nongrant")</f>
        <v>-1839000</v>
      </c>
      <c r="CX87" s="101" t="s">
        <v>487</v>
      </c>
      <c r="CY87" s="101">
        <f t="shared" si="181"/>
        <v>-1839000</v>
      </c>
      <c r="CZ87" s="94">
        <f>SUMIFS('Federal Data'!AU2:AU501,'Federal Data'!$G2:$G501,"Postal Service",'Federal Data'!$D2:$D501,"Nongrant")</f>
        <v>-2453000</v>
      </c>
      <c r="DA87" s="101" t="s">
        <v>487</v>
      </c>
      <c r="DB87" s="101">
        <f t="shared" si="182"/>
        <v>-2453000</v>
      </c>
      <c r="DC87" s="37">
        <f>SUMIFS('Federal Data'!AV2:AV501,'Federal Data'!$G2:$G501,"Postal Service",'Federal Data'!$D2:$D501,"Nongrant")</f>
        <v>-1610000</v>
      </c>
      <c r="DD87" s="85" t="s">
        <v>487</v>
      </c>
      <c r="DE87" s="85">
        <f t="shared" si="183"/>
        <v>-1610000</v>
      </c>
    </row>
    <row r="88" spans="1:109" outlineLevel="2">
      <c r="A88" s="29" t="s">
        <v>70</v>
      </c>
      <c r="B88" s="94">
        <f>SUMIFS('Federal Data'!M2:M501,'Federal Data'!$G2:$G501,"Community and Regional Development",'Federal Data'!$D2:$D501,"Nongrant")</f>
        <v>2945421</v>
      </c>
      <c r="C88" s="101" t="s">
        <v>487</v>
      </c>
      <c r="D88" s="101">
        <f t="shared" si="148"/>
        <v>2945421</v>
      </c>
      <c r="E88" s="94">
        <f>SUMIFS('Federal Data'!N2:N501,'Federal Data'!$G2:$G501,"Community and Regional Development",'Federal Data'!$D2:$D501,"Nongrant")</f>
        <v>2870788</v>
      </c>
      <c r="F88" s="101" t="s">
        <v>487</v>
      </c>
      <c r="G88" s="101">
        <f t="shared" si="149"/>
        <v>2870788</v>
      </c>
      <c r="H88" s="94">
        <f>SUMIFS('Federal Data'!O2:O501,'Federal Data'!$G2:$G501,"Community and Regional Development",'Federal Data'!$D2:$D501,"Nongrant")</f>
        <v>2991174</v>
      </c>
      <c r="I88" s="101" t="s">
        <v>487</v>
      </c>
      <c r="J88" s="101">
        <f t="shared" si="150"/>
        <v>2991174</v>
      </c>
      <c r="K88" s="94">
        <f>SUMIFS('Federal Data'!P2:P501,'Federal Data'!$G2:$G501,"Community and Regional Development",'Federal Data'!$D2:$D501,"Nongrant")</f>
        <v>2628995</v>
      </c>
      <c r="L88" s="101" t="s">
        <v>487</v>
      </c>
      <c r="M88" s="101">
        <f t="shared" si="151"/>
        <v>2628995</v>
      </c>
      <c r="N88" s="94">
        <f>SUMIFS('Federal Data'!Q2:Q501,'Federal Data'!$G2:$G501,"Community and Regional Development",'Federal Data'!$D2:$D501,"Nongrant")</f>
        <v>2447387</v>
      </c>
      <c r="O88" s="101" t="s">
        <v>487</v>
      </c>
      <c r="P88" s="101">
        <f t="shared" si="152"/>
        <v>2447387</v>
      </c>
      <c r="Q88" s="94">
        <f>SUMIFS('Federal Data'!R2:R501,'Federal Data'!$G2:$G501,"Community and Regional Development",'Federal Data'!$D2:$D501,"Nongrant")</f>
        <v>2529110</v>
      </c>
      <c r="R88" s="101" t="s">
        <v>487</v>
      </c>
      <c r="S88" s="101">
        <f t="shared" si="153"/>
        <v>2529110</v>
      </c>
      <c r="T88" s="94">
        <f>SUMIFS('Federal Data'!S2:S501,'Federal Data'!$G2:$G501,"Community and Regional Development",'Federal Data'!$D2:$D501,"Nongrant")</f>
        <v>2132617</v>
      </c>
      <c r="U88" s="101" t="s">
        <v>487</v>
      </c>
      <c r="V88" s="101">
        <f t="shared" si="154"/>
        <v>2132617</v>
      </c>
      <c r="W88" s="94">
        <f>SUMIFS('Federal Data'!T2:T501,'Federal Data'!$G2:$G501,"Community and Regional Development",'Federal Data'!$D2:$D501,"Nongrant")</f>
        <v>1132338</v>
      </c>
      <c r="X88" s="101" t="s">
        <v>487</v>
      </c>
      <c r="Y88" s="101">
        <f t="shared" si="155"/>
        <v>1132338</v>
      </c>
      <c r="Z88" s="94">
        <f>SUMIFS('Federal Data'!U2:U501,'Federal Data'!$G2:$G501,"Community and Regional Development",'Federal Data'!$D2:$D501,"Nongrant")</f>
        <v>1332699</v>
      </c>
      <c r="AA88" s="101" t="s">
        <v>487</v>
      </c>
      <c r="AB88" s="101">
        <f t="shared" si="156"/>
        <v>1332699</v>
      </c>
      <c r="AC88" s="94">
        <f>SUMIFS('Federal Data'!V2:V501,'Federal Data'!$G2:$G501,"Community and Regional Development",'Federal Data'!$D2:$D501,"Nongrant")</f>
        <v>1551786</v>
      </c>
      <c r="AD88" s="101" t="s">
        <v>487</v>
      </c>
      <c r="AE88" s="101">
        <f t="shared" si="157"/>
        <v>1551786</v>
      </c>
      <c r="AF88" s="94">
        <f>SUMIFS('Federal Data'!W2:W501,'Federal Data'!$G2:$G501,"Community and Regional Development",'Federal Data'!$D2:$D501,"Nongrant")</f>
        <v>2553954</v>
      </c>
      <c r="AG88" s="101" t="s">
        <v>487</v>
      </c>
      <c r="AH88" s="101">
        <f t="shared" si="158"/>
        <v>2553954</v>
      </c>
      <c r="AI88" s="94">
        <f>SUMIFS('Federal Data'!X2:X501,'Federal Data'!$G2:$G501,"Community and Regional Development",'Federal Data'!$D2:$D501,"Nongrant")</f>
        <v>2403673</v>
      </c>
      <c r="AJ88" s="101" t="s">
        <v>487</v>
      </c>
      <c r="AK88" s="101">
        <f t="shared" si="159"/>
        <v>2403673</v>
      </c>
      <c r="AL88" s="94">
        <f>SUMIFS('Federal Data'!Y2:Y501,'Federal Data'!$G2:$G501,"Community and Regional Development",'Federal Data'!$D2:$D501,"Nongrant")</f>
        <v>1953952</v>
      </c>
      <c r="AM88" s="101" t="s">
        <v>487</v>
      </c>
      <c r="AN88" s="101">
        <f t="shared" si="160"/>
        <v>1953952</v>
      </c>
      <c r="AO88" s="94">
        <f>SUMIFS('Federal Data'!Z2:Z501,'Federal Data'!$G2:$G501,"Community and Regional Development",'Federal Data'!$D2:$D501,"Nongrant")</f>
        <v>2250369</v>
      </c>
      <c r="AP88" s="101" t="s">
        <v>487</v>
      </c>
      <c r="AQ88" s="101">
        <f t="shared" si="161"/>
        <v>2250369</v>
      </c>
      <c r="AR88" s="94">
        <f>SUMIFS('Federal Data'!AA2:AA501,'Federal Data'!$G2:$G501,"Community and Regional Development",'Federal Data'!$D2:$D501,"Nongrant")</f>
        <v>1708969</v>
      </c>
      <c r="AS88" s="101" t="s">
        <v>487</v>
      </c>
      <c r="AT88" s="101">
        <f t="shared" si="162"/>
        <v>1708969</v>
      </c>
      <c r="AU88" s="94">
        <f>SUMIFS('Federal Data'!AB2:AB501,'Federal Data'!$G2:$G501,"Community and Regional Development",'Federal Data'!$D2:$D501,"Nongrant")</f>
        <v>1799000</v>
      </c>
      <c r="AV88" s="101" t="s">
        <v>487</v>
      </c>
      <c r="AW88" s="101">
        <f t="shared" si="163"/>
        <v>1799000</v>
      </c>
      <c r="AX88" s="94">
        <f>SUMIFS('Federal Data'!AC2:AC501,'Federal Data'!$G2:$G501,"Community and Regional Development",'Federal Data'!$D2:$D501,"Nongrant")</f>
        <v>1527000</v>
      </c>
      <c r="AY88" s="101" t="s">
        <v>487</v>
      </c>
      <c r="AZ88" s="101">
        <f t="shared" si="164"/>
        <v>1527000</v>
      </c>
      <c r="BA88" s="94">
        <f>SUMIFS('Federal Data'!AD2:AD501,'Federal Data'!$G2:$G501,"Community and Regional Development",'Federal Data'!$D2:$D501,"Nongrant")</f>
        <v>1579000</v>
      </c>
      <c r="BB88" s="101" t="s">
        <v>487</v>
      </c>
      <c r="BC88" s="101">
        <f t="shared" si="165"/>
        <v>1579000</v>
      </c>
      <c r="BD88" s="94">
        <f>SUMIFS('Federal Data'!AE2:AE501,'Federal Data'!$G2:$G501,"Community and Regional Development",'Federal Data'!$D2:$D501,"Nongrant")</f>
        <v>1641000</v>
      </c>
      <c r="BE88" s="101" t="s">
        <v>487</v>
      </c>
      <c r="BF88" s="101">
        <f t="shared" si="166"/>
        <v>1641000</v>
      </c>
      <c r="BG88" s="94">
        <f>SUMIFS('Federal Data'!AF2:AF501,'Federal Data'!$G2:$G501,"Community and Regional Development",'Federal Data'!$D2:$D501,"Nongrant")</f>
        <v>1325000</v>
      </c>
      <c r="BH88" s="101" t="s">
        <v>487</v>
      </c>
      <c r="BI88" s="101">
        <f t="shared" si="167"/>
        <v>1325000</v>
      </c>
      <c r="BJ88" s="94">
        <f>SUMIFS('Federal Data'!AG2:AG501,'Federal Data'!$G2:$G501,"Community and Regional Development",'Federal Data'!$D2:$D501,"Nongrant")</f>
        <v>1752000</v>
      </c>
      <c r="BK88" s="101" t="s">
        <v>487</v>
      </c>
      <c r="BL88" s="101">
        <f t="shared" si="168"/>
        <v>1752000</v>
      </c>
      <c r="BM88" s="94">
        <f>SUMIFS('Federal Data'!AH2:AH501,'Federal Data'!$G2:$G501,"Community and Regional Development",'Federal Data'!$D2:$D501,"Nongrant")</f>
        <v>1464000</v>
      </c>
      <c r="BN88" s="101" t="s">
        <v>487</v>
      </c>
      <c r="BO88" s="101">
        <f t="shared" si="169"/>
        <v>1464000</v>
      </c>
      <c r="BP88" s="94">
        <f>SUMIFS('Federal Data'!AI2:AI501,'Federal Data'!$G2:$G501,"Community and Regional Development",'Federal Data'!$D2:$D501,"Nongrant")</f>
        <v>1583000</v>
      </c>
      <c r="BQ88" s="101" t="s">
        <v>487</v>
      </c>
      <c r="BR88" s="101">
        <f t="shared" si="170"/>
        <v>1583000</v>
      </c>
      <c r="BS88" s="94">
        <f>SUMIFS('Federal Data'!AJ2:AJ501,'Federal Data'!$G2:$G501,"Community and Regional Development",'Federal Data'!$D2:$D501,"Nongrant")</f>
        <v>1520000</v>
      </c>
      <c r="BT88" s="101" t="s">
        <v>487</v>
      </c>
      <c r="BU88" s="101">
        <f t="shared" si="171"/>
        <v>1520000</v>
      </c>
      <c r="BV88" s="94">
        <f>SUMIFS('Federal Data'!AK2:AK501,'Federal Data'!$G2:$G501,"Community and Regional Development",'Federal Data'!$D2:$D501,"Nongrant")</f>
        <v>1404000</v>
      </c>
      <c r="BW88" s="101" t="s">
        <v>487</v>
      </c>
      <c r="BX88" s="101">
        <f t="shared" si="172"/>
        <v>1404000</v>
      </c>
      <c r="BY88" s="94">
        <f>SUMIFS('Federal Data'!AL2:AL501,'Federal Data'!$G2:$G501,"Community and Regional Development",'Federal Data'!$D2:$D501,"Nongrant")</f>
        <v>1980000</v>
      </c>
      <c r="BZ88" s="101" t="s">
        <v>487</v>
      </c>
      <c r="CA88" s="101">
        <f t="shared" si="173"/>
        <v>1980000</v>
      </c>
      <c r="CB88" s="94">
        <f>SUMIFS('Federal Data'!AM2:AM501,'Federal Data'!$G2:$G501,"Community and Regional Development",'Federal Data'!$D2:$D501,"Nongrant")</f>
        <v>1871000</v>
      </c>
      <c r="CC88" s="101" t="s">
        <v>487</v>
      </c>
      <c r="CD88" s="101">
        <f t="shared" si="174"/>
        <v>1871000</v>
      </c>
      <c r="CE88" s="94">
        <f>SUMIFS('Federal Data'!AN2:AN501,'Federal Data'!$G2:$G501,"Community and Regional Development",'Federal Data'!$D2:$D501,"Nongrant")</f>
        <v>1962000</v>
      </c>
      <c r="CF88" s="101" t="s">
        <v>487</v>
      </c>
      <c r="CG88" s="101">
        <f t="shared" si="175"/>
        <v>1962000</v>
      </c>
      <c r="CH88" s="94">
        <f>SUMIFS('Federal Data'!AO2:AO501,'Federal Data'!$G2:$G501,"Community and Regional Development",'Federal Data'!$D2:$D501,"Nongrant")</f>
        <v>2191000</v>
      </c>
      <c r="CI88" s="101" t="s">
        <v>487</v>
      </c>
      <c r="CJ88" s="101">
        <f t="shared" si="176"/>
        <v>2191000</v>
      </c>
      <c r="CK88" s="94">
        <f>SUMIFS('Federal Data'!AP2:AP501,'Federal Data'!$G2:$G501,"Community and Regional Development",'Federal Data'!$D2:$D501,"Nongrant")</f>
        <v>2640000</v>
      </c>
      <c r="CL88" s="101" t="s">
        <v>487</v>
      </c>
      <c r="CM88" s="101">
        <f t="shared" si="177"/>
        <v>2640000</v>
      </c>
      <c r="CN88" s="94">
        <f>SUMIFS('Federal Data'!AQ2:AQ501,'Federal Data'!$G2:$G501,"Community and Regional Development",'Federal Data'!$D2:$D501,"Nongrant")</f>
        <v>2725000</v>
      </c>
      <c r="CO88" s="101" t="s">
        <v>487</v>
      </c>
      <c r="CP88" s="101">
        <f t="shared" si="178"/>
        <v>2725000</v>
      </c>
      <c r="CQ88" s="94">
        <f>SUMIFS('Federal Data'!AR2:AR501,'Federal Data'!$G2:$G501,"Community and Regional Development",'Federal Data'!$D2:$D501,"Nongrant")</f>
        <v>3176000</v>
      </c>
      <c r="CR88" s="101" t="s">
        <v>487</v>
      </c>
      <c r="CS88" s="101">
        <f t="shared" si="179"/>
        <v>3176000</v>
      </c>
      <c r="CT88" s="94">
        <f>SUMIFS('Federal Data'!AS2:AS501,'Federal Data'!$G2:$G501,"Community and Regional Development",'Federal Data'!$D2:$D501,"Nongrant")</f>
        <v>3141000</v>
      </c>
      <c r="CU88" s="101" t="s">
        <v>487</v>
      </c>
      <c r="CV88" s="101">
        <f t="shared" si="180"/>
        <v>3141000</v>
      </c>
      <c r="CW88" s="94">
        <f>SUMIFS('Federal Data'!AT2:AT501,'Federal Data'!$G2:$G501,"Community and Regional Development",'Federal Data'!$D2:$D501,"Nongrant")</f>
        <v>371000</v>
      </c>
      <c r="CX88" s="101" t="s">
        <v>487</v>
      </c>
      <c r="CY88" s="101">
        <f t="shared" si="181"/>
        <v>371000</v>
      </c>
      <c r="CZ88" s="94">
        <f>SUMIFS('Federal Data'!AU2:AU501,'Federal Data'!$G2:$G501,"Community and Regional Development",'Federal Data'!$D2:$D501,"Nongrant")</f>
        <v>2450000</v>
      </c>
      <c r="DA88" s="101" t="s">
        <v>487</v>
      </c>
      <c r="DB88" s="101">
        <f t="shared" si="182"/>
        <v>2450000</v>
      </c>
      <c r="DC88" s="37">
        <f>SUMIFS('Federal Data'!AV2:AV501,'Federal Data'!$G2:$G501,"Community and Regional Development",'Federal Data'!$D2:$D501,"Nongrant")</f>
        <v>3245000</v>
      </c>
      <c r="DD88" s="85" t="s">
        <v>487</v>
      </c>
      <c r="DE88" s="85">
        <f t="shared" si="183"/>
        <v>3245000</v>
      </c>
    </row>
    <row r="89" spans="1:109" outlineLevel="1">
      <c r="A89" s="28" t="s">
        <v>235</v>
      </c>
      <c r="B89" s="94">
        <f>SUMIFS('Federal Data'!M2:M501,'Federal Data'!$F2:$F501,"Health",'Federal Data'!$D2:$D501,"Nongrant")</f>
        <v>5134624</v>
      </c>
      <c r="C89" s="101">
        <f>'State and Local P&amp;L (detailed)'!$C$54</f>
        <v>13738432</v>
      </c>
      <c r="D89" s="101">
        <f t="shared" si="148"/>
        <v>18873056</v>
      </c>
      <c r="E89" s="94">
        <f>SUMIFS('Federal Data'!N2:N501,'Federal Data'!$F2:$F501,"Health",'Federal Data'!$D2:$D501,"Nongrant")</f>
        <v>5415675</v>
      </c>
      <c r="F89" s="101">
        <f>'State and Local P&amp;L (detailed)'!$D$54</f>
        <v>14378187</v>
      </c>
      <c r="G89" s="101">
        <f t="shared" si="149"/>
        <v>19793862</v>
      </c>
      <c r="H89" s="94">
        <f>SUMIFS('Federal Data'!O2:O501,'Federal Data'!$F2:$F501,"Health",'Federal Data'!$D2:$D501,"Nongrant")</f>
        <v>5945079</v>
      </c>
      <c r="I89" s="101">
        <f>'State and Local P&amp;L (detailed)'!$E$54</f>
        <v>16047607</v>
      </c>
      <c r="J89" s="101">
        <f t="shared" si="150"/>
        <v>21992686</v>
      </c>
      <c r="K89" s="94">
        <f>SUMIFS('Federal Data'!P2:P501,'Federal Data'!$F2:$F501,"Health",'Federal Data'!$D2:$D501,"Nongrant")</f>
        <v>5627461</v>
      </c>
      <c r="L89" s="101">
        <f>'State and Local P&amp;L (detailed)'!$F$54</f>
        <v>18059194</v>
      </c>
      <c r="M89" s="101">
        <f t="shared" si="151"/>
        <v>23686655</v>
      </c>
      <c r="N89" s="94">
        <f>SUMIFS('Federal Data'!Q2:Q501,'Federal Data'!$F2:$F501,"Health",'Federal Data'!$D2:$D501,"Nongrant")</f>
        <v>5347967</v>
      </c>
      <c r="O89" s="101">
        <f>'State and Local P&amp;L (detailed)'!$G$54</f>
        <v>18840388</v>
      </c>
      <c r="P89" s="101">
        <f t="shared" si="152"/>
        <v>24188355</v>
      </c>
      <c r="Q89" s="94">
        <f>SUMIFS('Federal Data'!R2:R501,'Federal Data'!$F2:$F501,"Health",'Federal Data'!$D2:$D501,"Nongrant")</f>
        <v>5848625</v>
      </c>
      <c r="R89" s="101">
        <f>'State and Local P&amp;L (detailed)'!$H$54</f>
        <v>21114799</v>
      </c>
      <c r="S89" s="101">
        <f t="shared" si="153"/>
        <v>26963424</v>
      </c>
      <c r="T89" s="94">
        <f>SUMIFS('Federal Data'!S2:S501,'Federal Data'!$F2:$F501,"Health",'Federal Data'!$D2:$D501,"Nongrant")</f>
        <v>6460121</v>
      </c>
      <c r="U89" s="101">
        <f>'State and Local P&amp;L (detailed)'!$I$54</f>
        <v>23058250</v>
      </c>
      <c r="V89" s="101">
        <f t="shared" si="154"/>
        <v>29518371</v>
      </c>
      <c r="W89" s="94">
        <f>SUMIFS('Federal Data'!T2:T501,'Federal Data'!$F2:$F501,"Health",'Federal Data'!$D2:$D501,"Nongrant")</f>
        <v>6661638</v>
      </c>
      <c r="X89" s="101">
        <f>'State and Local P&amp;L (detailed)'!$J$54</f>
        <v>24520055</v>
      </c>
      <c r="Y89" s="101">
        <f t="shared" si="155"/>
        <v>31181693</v>
      </c>
      <c r="Z89" s="94">
        <f>SUMIFS('Federal Data'!U2:U501,'Federal Data'!$F2:$F501,"Health",'Federal Data'!$D2:$D501,"Nongrant")</f>
        <v>7911802</v>
      </c>
      <c r="AA89" s="101">
        <f>'State and Local P&amp;L (detailed)'!$K$54</f>
        <v>27657942</v>
      </c>
      <c r="AB89" s="101">
        <f t="shared" si="156"/>
        <v>35569744</v>
      </c>
      <c r="AC89" s="94">
        <f>SUMIFS('Federal Data'!V2:V501,'Federal Data'!$F2:$F501,"Health",'Federal Data'!$D2:$D501,"Nongrant")</f>
        <v>8661157</v>
      </c>
      <c r="AD89" s="101">
        <f>'State and Local P&amp;L (detailed)'!$L$54</f>
        <v>29988935</v>
      </c>
      <c r="AE89" s="101">
        <f t="shared" si="157"/>
        <v>38650092</v>
      </c>
      <c r="AF89" s="94">
        <f>SUMIFS('Federal Data'!W2:W501,'Federal Data'!$F2:$F501,"Health",'Federal Data'!$D2:$D501,"Nongrant")</f>
        <v>9595650</v>
      </c>
      <c r="AG89" s="101">
        <f>'State and Local P&amp;L (detailed)'!$M$54</f>
        <v>33571397</v>
      </c>
      <c r="AH89" s="101">
        <f t="shared" si="158"/>
        <v>43167047</v>
      </c>
      <c r="AI89" s="94">
        <f>SUMIFS('Federal Data'!X2:X501,'Federal Data'!$F2:$F501,"Health",'Federal Data'!$D2:$D501,"Nongrant")</f>
        <v>10204458</v>
      </c>
      <c r="AJ89" s="101">
        <f>'State and Local P&amp;L (detailed)'!$N$54</f>
        <v>36022643</v>
      </c>
      <c r="AK89" s="101">
        <f t="shared" si="159"/>
        <v>46227101</v>
      </c>
      <c r="AL89" s="94">
        <f>SUMIFS('Federal Data'!Y2:Y501,'Federal Data'!$F2:$F501,"Health",'Federal Data'!$D2:$D501,"Nongrant")</f>
        <v>11379431</v>
      </c>
      <c r="AM89" s="101">
        <f>'State and Local P&amp;L (detailed)'!$O$54</f>
        <v>34813713</v>
      </c>
      <c r="AN89" s="101">
        <f t="shared" si="160"/>
        <v>46193144</v>
      </c>
      <c r="AO89" s="94">
        <f>SUMIFS('Federal Data'!Z2:Z501,'Federal Data'!$F2:$F501,"Health",'Federal Data'!$D2:$D501,"Nongrant")</f>
        <v>12681861</v>
      </c>
      <c r="AP89" s="101">
        <f>'State and Local P&amp;L (detailed)'!$P$54</f>
        <v>37436673</v>
      </c>
      <c r="AQ89" s="101">
        <f t="shared" si="161"/>
        <v>50118534</v>
      </c>
      <c r="AR89" s="94">
        <f>SUMIFS('Federal Data'!AA2:AA501,'Federal Data'!$F2:$F501,"Health",'Federal Data'!$D2:$D501,"Nongrant")</f>
        <v>13103089</v>
      </c>
      <c r="AS89" s="101">
        <f>'State and Local P&amp;L (detailed)'!$Q$54</f>
        <v>38204857</v>
      </c>
      <c r="AT89" s="101">
        <f t="shared" si="162"/>
        <v>51307946</v>
      </c>
      <c r="AU89" s="94">
        <f>SUMIFS('Federal Data'!AB2:AB501,'Federal Data'!$F2:$F501,"Health",'Federal Data'!$D2:$D501,"Nongrant")</f>
        <v>14158000</v>
      </c>
      <c r="AV89" s="101">
        <f>'State and Local P&amp;L (detailed)'!$R$54</f>
        <v>40557436</v>
      </c>
      <c r="AW89" s="101">
        <f t="shared" si="163"/>
        <v>54715436</v>
      </c>
      <c r="AX89" s="94">
        <f>SUMIFS('Federal Data'!AC2:AC501,'Federal Data'!$F2:$F501,"Health",'Federal Data'!$D2:$D501,"Nongrant")</f>
        <v>13500000</v>
      </c>
      <c r="AY89" s="101">
        <f>'State and Local P&amp;L (detailed)'!$S$54</f>
        <v>41994821</v>
      </c>
      <c r="AZ89" s="101">
        <f t="shared" si="164"/>
        <v>55494821</v>
      </c>
      <c r="BA89" s="94">
        <f>SUMIFS('Federal Data'!AD2:AD501,'Federal Data'!$F2:$F501,"Health",'Federal Data'!$D2:$D501,"Nongrant")</f>
        <v>15935000</v>
      </c>
      <c r="BB89" s="101">
        <f>'State and Local P&amp;L (detailed)'!$T$54</f>
        <v>42431601</v>
      </c>
      <c r="BC89" s="101">
        <f t="shared" si="165"/>
        <v>58366601</v>
      </c>
      <c r="BD89" s="94">
        <f>SUMIFS('Federal Data'!AE2:AE501,'Federal Data'!$F2:$F501,"Health",'Federal Data'!$D2:$D501,"Nongrant")</f>
        <v>16782000</v>
      </c>
      <c r="BE89" s="101">
        <f>'State and Local P&amp;L (detailed)'!$U$54</f>
        <v>46163721</v>
      </c>
      <c r="BF89" s="101">
        <f t="shared" si="166"/>
        <v>62945721</v>
      </c>
      <c r="BG89" s="94">
        <f>SUMIFS('Federal Data'!AF2:AF501,'Federal Data'!$F2:$F501,"Health",'Federal Data'!$D2:$D501,"Nongrant")</f>
        <v>17684000</v>
      </c>
      <c r="BH89" s="101">
        <f>'State and Local P&amp;L (detailed)'!$V$54</f>
        <v>49845757</v>
      </c>
      <c r="BI89" s="101">
        <f t="shared" si="167"/>
        <v>67529757</v>
      </c>
      <c r="BJ89" s="94">
        <f>SUMIFS('Federal Data'!AG2:AG501,'Federal Data'!$F2:$F501,"Health",'Federal Data'!$D2:$D501,"Nongrant")</f>
        <v>19925000</v>
      </c>
      <c r="BK89" s="101">
        <f>'State and Local P&amp;L (detailed)'!$W$54</f>
        <v>55318466</v>
      </c>
      <c r="BL89" s="101">
        <f t="shared" si="168"/>
        <v>75243466</v>
      </c>
      <c r="BM89" s="94">
        <f>SUMIFS('Federal Data'!AH2:AH501,'Federal Data'!$F2:$F501,"Health",'Federal Data'!$D2:$D501,"Nongrant")</f>
        <v>22979000</v>
      </c>
      <c r="BN89" s="101">
        <f>'State and Local P&amp;L (detailed)'!$X$54</f>
        <v>56109890</v>
      </c>
      <c r="BO89" s="101">
        <f t="shared" si="169"/>
        <v>79088890</v>
      </c>
      <c r="BP89" s="94">
        <f>SUMIFS('Federal Data'!AI2:AI501,'Federal Data'!$F2:$F501,"Health",'Federal Data'!$D2:$D501,"Nongrant")</f>
        <v>27208000</v>
      </c>
      <c r="BQ89" s="101">
        <f>'State and Local P&amp;L (detailed)'!$Y$54</f>
        <v>62362103</v>
      </c>
      <c r="BR89" s="101">
        <f t="shared" si="170"/>
        <v>89570103</v>
      </c>
      <c r="BS89" s="94">
        <f>SUMIFS('Federal Data'!AJ2:AJ501,'Federal Data'!$F2:$F501,"Health",'Federal Data'!$D2:$D501,"Nongrant")</f>
        <v>30323000</v>
      </c>
      <c r="BT89" s="101">
        <f>'State and Local P&amp;L (detailed)'!$Z$54</f>
        <v>65303217</v>
      </c>
      <c r="BU89" s="101">
        <f t="shared" si="171"/>
        <v>95626217</v>
      </c>
      <c r="BV89" s="94">
        <f>SUMIFS('Federal Data'!AK2:AK501,'Federal Data'!$F2:$F501,"Health",'Federal Data'!$D2:$D501,"Nongrant")</f>
        <v>33246000</v>
      </c>
      <c r="BW89" s="101">
        <f>'State and Local P&amp;L (detailed)'!$AA$54</f>
        <v>68440739</v>
      </c>
      <c r="BX89" s="101">
        <f t="shared" si="172"/>
        <v>101686739</v>
      </c>
      <c r="BY89" s="94">
        <f>SUMIFS('Federal Data'!AL2:AL501,'Federal Data'!$F2:$F501,"Health",'Federal Data'!$D2:$D501,"Nongrant")</f>
        <v>33949000</v>
      </c>
      <c r="BZ89" s="101">
        <f>'State and Local P&amp;L (detailed)'!$AB$54</f>
        <v>70913677</v>
      </c>
      <c r="CA89" s="101">
        <f t="shared" si="173"/>
        <v>104862677</v>
      </c>
      <c r="CB89" s="94">
        <f>SUMIFS('Federal Data'!AM2:AM501,'Federal Data'!$F2:$F501,"Health",'Federal Data'!$D2:$D501,"Nongrant")</f>
        <v>35568000</v>
      </c>
      <c r="CC89" s="101">
        <f>'State and Local P&amp;L (detailed)'!$AC$54</f>
        <v>74969588</v>
      </c>
      <c r="CD89" s="101">
        <f t="shared" si="174"/>
        <v>110537588</v>
      </c>
      <c r="CE89" s="94">
        <f>SUMIFS('Federal Data'!AN2:AN501,'Federal Data'!$F2:$F501,"Health",'Federal Data'!$D2:$D501,"Nongrant")</f>
        <v>36020000</v>
      </c>
      <c r="CF89" s="101">
        <f>'State and Local P&amp;L (detailed)'!$AD$54</f>
        <v>82270176</v>
      </c>
      <c r="CG89" s="101">
        <f t="shared" si="175"/>
        <v>118290176</v>
      </c>
      <c r="CH89" s="94">
        <f>SUMIFS('Federal Data'!AO2:AO501,'Federal Data'!$F2:$F501,"Health",'Federal Data'!$D2:$D501,"Nongrant")</f>
        <v>38867000</v>
      </c>
      <c r="CI89" s="101">
        <f>'State and Local P&amp;L (detailed)'!$AE$54</f>
        <v>93825566</v>
      </c>
      <c r="CJ89" s="101">
        <f t="shared" si="176"/>
        <v>132692566</v>
      </c>
      <c r="CK89" s="94">
        <f>SUMIFS('Federal Data'!AP2:AP501,'Federal Data'!$F2:$F501,"Health",'Federal Data'!$D2:$D501,"Nongrant")</f>
        <v>40191000</v>
      </c>
      <c r="CL89" s="101">
        <f>'State and Local P&amp;L (detailed)'!$AF$54</f>
        <v>98537829</v>
      </c>
      <c r="CM89" s="101">
        <f t="shared" si="177"/>
        <v>138728829</v>
      </c>
      <c r="CN89" s="94">
        <f>SUMIFS('Federal Data'!AQ2:AQ501,'Federal Data'!$F2:$F501,"Health",'Federal Data'!$D2:$D501,"Nongrant")</f>
        <v>48815000</v>
      </c>
      <c r="CO89" s="101">
        <f>'State and Local P&amp;L (detailed)'!$AG$54</f>
        <v>95101809</v>
      </c>
      <c r="CP89" s="101">
        <f t="shared" si="178"/>
        <v>143916809</v>
      </c>
      <c r="CQ89" s="94">
        <f>SUMIFS('Federal Data'!AR2:AR501,'Federal Data'!$F2:$F501,"Health",'Federal Data'!$D2:$D501,"Nongrant")</f>
        <v>52534000</v>
      </c>
      <c r="CR89" s="101">
        <f>'State and Local P&amp;L (detailed)'!$AH$54</f>
        <v>96989813</v>
      </c>
      <c r="CS89" s="101">
        <f t="shared" si="179"/>
        <v>149523813</v>
      </c>
      <c r="CT89" s="94">
        <f>SUMIFS('Federal Data'!AS2:AS501,'Federal Data'!$F2:$F501,"Health",'Federal Data'!$D2:$D501,"Nongrant")</f>
        <v>51300000</v>
      </c>
      <c r="CU89" s="101">
        <f>'State and Local P&amp;L (detailed)'!$AI$54</f>
        <v>99154494</v>
      </c>
      <c r="CV89" s="101">
        <f t="shared" si="180"/>
        <v>150454494</v>
      </c>
      <c r="CW89" s="94">
        <f>SUMIFS('Federal Data'!AT2:AT501,'Federal Data'!$F2:$F501,"Health",'Federal Data'!$D2:$D501,"Nongrant")</f>
        <v>49775000</v>
      </c>
      <c r="CX89" s="101">
        <f>'State and Local P&amp;L (detailed)'!$AJ$54</f>
        <v>97142571</v>
      </c>
      <c r="CY89" s="101">
        <f t="shared" si="181"/>
        <v>146917571</v>
      </c>
      <c r="CZ89" s="94">
        <f>SUMIFS('Federal Data'!AU2:AU501,'Federal Data'!$F2:$F501,"Health",'Federal Data'!$D2:$D501,"Nongrant")</f>
        <v>47077000</v>
      </c>
      <c r="DA89" s="101">
        <f>'State and Local P&amp;L (detailed)'!$AK$54</f>
        <v>102239055</v>
      </c>
      <c r="DB89" s="101">
        <f t="shared" si="182"/>
        <v>149316055</v>
      </c>
      <c r="DC89" s="37">
        <f>SUMIFS('Federal Data'!AV2:AV501,'Federal Data'!$F2:$F501,"Health",'Federal Data'!$D2:$D501,"Nongrant")</f>
        <v>46269000</v>
      </c>
      <c r="DD89" s="85">
        <f>'State and Local P&amp;L (detailed)'!$AL$54</f>
        <v>0</v>
      </c>
      <c r="DE89" s="85">
        <f t="shared" si="183"/>
        <v>46269000</v>
      </c>
    </row>
    <row r="90" spans="1:109" outlineLevel="2">
      <c r="A90" s="29" t="s">
        <v>56</v>
      </c>
      <c r="B90" s="94">
        <f>SUMIFS('Federal Data'!M2:M501,'Federal Data'!$G2:$G501,"Public Health",'Federal Data'!$D2:$D501,"Nongrant")</f>
        <v>5001544</v>
      </c>
      <c r="C90" s="101">
        <f>'State and Local P&amp;L (detailed)'!$C$55</f>
        <v>8386679</v>
      </c>
      <c r="D90" s="101">
        <f t="shared" si="148"/>
        <v>13388223</v>
      </c>
      <c r="E90" s="94">
        <f>SUMIFS('Federal Data'!N2:N501,'Federal Data'!$G2:$G501,"Public Health",'Federal Data'!$D2:$D501,"Nongrant")</f>
        <v>5181941</v>
      </c>
      <c r="F90" s="101">
        <f>'State and Local P&amp;L (detailed)'!$D$55</f>
        <v>9770841</v>
      </c>
      <c r="G90" s="101">
        <f t="shared" si="149"/>
        <v>14952782</v>
      </c>
      <c r="H90" s="94">
        <f>SUMIFS('Federal Data'!O2:O501,'Federal Data'!$G2:$G501,"Public Health",'Federal Data'!$D2:$D501,"Nongrant")</f>
        <v>5784954</v>
      </c>
      <c r="I90" s="101">
        <f>'State and Local P&amp;L (detailed)'!$E$55</f>
        <v>10473389</v>
      </c>
      <c r="J90" s="101">
        <f t="shared" si="150"/>
        <v>16258343</v>
      </c>
      <c r="K90" s="94">
        <f>SUMIFS('Federal Data'!P2:P501,'Federal Data'!$G2:$G501,"Public Health",'Federal Data'!$D2:$D501,"Nongrant")</f>
        <v>5490291</v>
      </c>
      <c r="L90" s="101">
        <f>'State and Local P&amp;L (detailed)'!$F$55</f>
        <v>11298102</v>
      </c>
      <c r="M90" s="101">
        <f t="shared" si="151"/>
        <v>16788393</v>
      </c>
      <c r="N90" s="94">
        <f>SUMIFS('Federal Data'!Q2:Q501,'Federal Data'!$G2:$G501,"Public Health",'Federal Data'!$D2:$D501,"Nongrant")</f>
        <v>5219565</v>
      </c>
      <c r="O90" s="101">
        <f>'State and Local P&amp;L (detailed)'!$G$55</f>
        <v>12276521</v>
      </c>
      <c r="P90" s="101">
        <f t="shared" si="152"/>
        <v>17496086</v>
      </c>
      <c r="Q90" s="94">
        <f>SUMIFS('Federal Data'!R2:R501,'Federal Data'!$G2:$G501,"Public Health",'Federal Data'!$D2:$D501,"Nongrant")</f>
        <v>5769706</v>
      </c>
      <c r="R90" s="101">
        <f>'State and Local P&amp;L (detailed)'!$H$55</f>
        <v>13710925</v>
      </c>
      <c r="S90" s="101">
        <f t="shared" si="153"/>
        <v>19480631</v>
      </c>
      <c r="T90" s="94">
        <f>SUMIFS('Federal Data'!S2:S501,'Federal Data'!$G2:$G501,"Public Health",'Federal Data'!$D2:$D501,"Nongrant")</f>
        <v>6351160</v>
      </c>
      <c r="U90" s="101">
        <f>'State and Local P&amp;L (detailed)'!$I$55</f>
        <v>15549541</v>
      </c>
      <c r="V90" s="101">
        <f t="shared" si="154"/>
        <v>21900701</v>
      </c>
      <c r="W90" s="94">
        <f>SUMIFS('Federal Data'!T2:T501,'Federal Data'!$G2:$G501,"Public Health",'Federal Data'!$D2:$D501,"Nongrant")</f>
        <v>6524578</v>
      </c>
      <c r="X90" s="101">
        <f>'State and Local P&amp;L (detailed)'!$J$55</f>
        <v>16903423</v>
      </c>
      <c r="Y90" s="101">
        <f t="shared" si="155"/>
        <v>23428001</v>
      </c>
      <c r="Z90" s="94">
        <f>SUMIFS('Federal Data'!U2:U501,'Federal Data'!$G2:$G501,"Public Health",'Federal Data'!$D2:$D501,"Nongrant")</f>
        <v>7811307</v>
      </c>
      <c r="AA90" s="101">
        <f>'State and Local P&amp;L (detailed)'!$K$55</f>
        <v>18487825</v>
      </c>
      <c r="AB90" s="101">
        <f t="shared" si="156"/>
        <v>26299132</v>
      </c>
      <c r="AC90" s="94">
        <f>SUMIFS('Federal Data'!V2:V501,'Federal Data'!$G2:$G501,"Public Health",'Federal Data'!$D2:$D501,"Nongrant")</f>
        <v>8544856</v>
      </c>
      <c r="AD90" s="101">
        <f>'State and Local P&amp;L (detailed)'!$L$55</f>
        <v>20684388</v>
      </c>
      <c r="AE90" s="101">
        <f t="shared" si="157"/>
        <v>29229244</v>
      </c>
      <c r="AF90" s="94">
        <f>SUMIFS('Federal Data'!W2:W501,'Federal Data'!$G2:$G501,"Public Health",'Federal Data'!$D2:$D501,"Nongrant")</f>
        <v>9467745</v>
      </c>
      <c r="AG90" s="101">
        <f>'State and Local P&amp;L (detailed)'!$M$55</f>
        <v>24222735</v>
      </c>
      <c r="AH90" s="101">
        <f t="shared" si="158"/>
        <v>33690480</v>
      </c>
      <c r="AI90" s="94">
        <f>SUMIFS('Federal Data'!X2:X501,'Federal Data'!$G2:$G501,"Public Health",'Federal Data'!$D2:$D501,"Nongrant")</f>
        <v>10040194</v>
      </c>
      <c r="AJ90" s="101">
        <f>'State and Local P&amp;L (detailed)'!$N$55</f>
        <v>26705604</v>
      </c>
      <c r="AK90" s="101">
        <f t="shared" si="159"/>
        <v>36745798</v>
      </c>
      <c r="AL90" s="94">
        <f>SUMIFS('Federal Data'!Y2:Y501,'Federal Data'!$G2:$G501,"Public Health",'Federal Data'!$D2:$D501,"Nongrant")</f>
        <v>11392331</v>
      </c>
      <c r="AM90" s="101">
        <f>'State and Local P&amp;L (detailed)'!$O$55</f>
        <v>29616547</v>
      </c>
      <c r="AN90" s="101">
        <f t="shared" si="160"/>
        <v>41008878</v>
      </c>
      <c r="AO90" s="94">
        <f>SUMIFS('Federal Data'!Z2:Z501,'Federal Data'!$G2:$G501,"Public Health",'Federal Data'!$D2:$D501,"Nongrant")</f>
        <v>12368466</v>
      </c>
      <c r="AP90" s="101">
        <f>'State and Local P&amp;L (detailed)'!$P$55</f>
        <v>32290647</v>
      </c>
      <c r="AQ90" s="101">
        <f t="shared" si="161"/>
        <v>44659113</v>
      </c>
      <c r="AR90" s="94">
        <f>SUMIFS('Federal Data'!AA2:AA501,'Federal Data'!$G2:$G501,"Public Health",'Federal Data'!$D2:$D501,"Nongrant")</f>
        <v>12776258</v>
      </c>
      <c r="AS90" s="101">
        <f>'State and Local P&amp;L (detailed)'!$Q$55</f>
        <v>35328725</v>
      </c>
      <c r="AT90" s="101">
        <f t="shared" si="162"/>
        <v>48104983</v>
      </c>
      <c r="AU90" s="94">
        <f>SUMIFS('Federal Data'!AB2:AB501,'Federal Data'!$G2:$G501,"Public Health",'Federal Data'!$D2:$D501,"Nongrant")</f>
        <v>13560000</v>
      </c>
      <c r="AV90" s="101">
        <f>'State and Local P&amp;L (detailed)'!$R$55</f>
        <v>38019973</v>
      </c>
      <c r="AW90" s="101">
        <f t="shared" si="163"/>
        <v>51579973</v>
      </c>
      <c r="AX90" s="94">
        <f>SUMIFS('Federal Data'!AC2:AC501,'Federal Data'!$G2:$G501,"Public Health",'Federal Data'!$D2:$D501,"Nongrant")</f>
        <v>13029000</v>
      </c>
      <c r="AY90" s="101">
        <f>'State and Local P&amp;L (detailed)'!$S$55</f>
        <v>40165568</v>
      </c>
      <c r="AZ90" s="101">
        <f t="shared" si="164"/>
        <v>53194568</v>
      </c>
      <c r="BA90" s="94">
        <f>SUMIFS('Federal Data'!AD2:AD501,'Federal Data'!$G2:$G501,"Public Health",'Federal Data'!$D2:$D501,"Nongrant")</f>
        <v>15402000</v>
      </c>
      <c r="BB90" s="101">
        <f>'State and Local P&amp;L (detailed)'!$T$55</f>
        <v>42242162</v>
      </c>
      <c r="BC90" s="101">
        <f t="shared" si="165"/>
        <v>57644162</v>
      </c>
      <c r="BD90" s="94">
        <f>SUMIFS('Federal Data'!AE2:AE501,'Federal Data'!$G2:$G501,"Public Health",'Federal Data'!$D2:$D501,"Nongrant")</f>
        <v>16220000</v>
      </c>
      <c r="BE90" s="101">
        <f>'State and Local P&amp;L (detailed)'!$U$55</f>
        <v>44390577</v>
      </c>
      <c r="BF90" s="101">
        <f t="shared" si="166"/>
        <v>60610577</v>
      </c>
      <c r="BG90" s="94">
        <f>SUMIFS('Federal Data'!AF2:AF501,'Federal Data'!$G2:$G501,"Public Health",'Federal Data'!$D2:$D501,"Nongrant")</f>
        <v>17187000</v>
      </c>
      <c r="BH90" s="101">
        <f>'State and Local P&amp;L (detailed)'!$V$55</f>
        <v>47627722</v>
      </c>
      <c r="BI90" s="101">
        <f t="shared" si="167"/>
        <v>64814722</v>
      </c>
      <c r="BJ90" s="94">
        <f>SUMIFS('Federal Data'!AG2:AG501,'Federal Data'!$G2:$G501,"Public Health",'Federal Data'!$D2:$D501,"Nongrant")</f>
        <v>19262000</v>
      </c>
      <c r="BK90" s="101">
        <f>'State and Local P&amp;L (detailed)'!$W$55</f>
        <v>51365588</v>
      </c>
      <c r="BL90" s="101">
        <f t="shared" si="168"/>
        <v>70627588</v>
      </c>
      <c r="BM90" s="94">
        <f>SUMIFS('Federal Data'!AH2:AH501,'Federal Data'!$G2:$G501,"Public Health",'Federal Data'!$D2:$D501,"Nongrant")</f>
        <v>22383000</v>
      </c>
      <c r="BN90" s="101">
        <f>'State and Local P&amp;L (detailed)'!$X$55</f>
        <v>53464954</v>
      </c>
      <c r="BO90" s="101">
        <f t="shared" si="169"/>
        <v>75847954</v>
      </c>
      <c r="BP90" s="94">
        <f>SUMIFS('Federal Data'!AI2:AI501,'Federal Data'!$G2:$G501,"Public Health",'Federal Data'!$D2:$D501,"Nongrant")</f>
        <v>26340000</v>
      </c>
      <c r="BQ90" s="101">
        <f>'State and Local P&amp;L (detailed)'!$Y$55</f>
        <v>59455759</v>
      </c>
      <c r="BR90" s="101">
        <f t="shared" si="170"/>
        <v>85795759</v>
      </c>
      <c r="BS90" s="94">
        <f>SUMIFS('Federal Data'!AJ2:AJ501,'Federal Data'!$G2:$G501,"Public Health",'Federal Data'!$D2:$D501,"Nongrant")</f>
        <v>29579000</v>
      </c>
      <c r="BT90" s="101">
        <f>'State and Local P&amp;L (detailed)'!$Z$55</f>
        <v>61703413</v>
      </c>
      <c r="BU90" s="101">
        <f t="shared" si="171"/>
        <v>91282413</v>
      </c>
      <c r="BV90" s="94">
        <f>SUMIFS('Federal Data'!AK2:AK501,'Federal Data'!$G2:$G501,"Public Health",'Federal Data'!$D2:$D501,"Nongrant")</f>
        <v>32598000</v>
      </c>
      <c r="BW90" s="101">
        <f>'State and Local P&amp;L (detailed)'!$AA$55</f>
        <v>64373318</v>
      </c>
      <c r="BX90" s="101">
        <f t="shared" si="172"/>
        <v>96971318</v>
      </c>
      <c r="BY90" s="94">
        <f>SUMIFS('Federal Data'!AL2:AL501,'Federal Data'!$G2:$G501,"Public Health",'Federal Data'!$D2:$D501,"Nongrant")</f>
        <v>33164000</v>
      </c>
      <c r="BZ90" s="101">
        <f>'State and Local P&amp;L (detailed)'!$AB$55</f>
        <v>66637076</v>
      </c>
      <c r="CA90" s="101">
        <f t="shared" si="173"/>
        <v>99801076</v>
      </c>
      <c r="CB90" s="94">
        <f>SUMIFS('Federal Data'!AM2:AM501,'Federal Data'!$G2:$G501,"Public Health",'Federal Data'!$D2:$D501,"Nongrant")</f>
        <v>35194000</v>
      </c>
      <c r="CC90" s="101">
        <f>'State and Local P&amp;L (detailed)'!$AC$55</f>
        <v>69044659</v>
      </c>
      <c r="CD90" s="101">
        <f t="shared" si="174"/>
        <v>104238659</v>
      </c>
      <c r="CE90" s="94">
        <f>SUMIFS('Federal Data'!AN2:AN501,'Federal Data'!$G2:$G501,"Public Health",'Federal Data'!$D2:$D501,"Nongrant")</f>
        <v>35558000</v>
      </c>
      <c r="CF90" s="101">
        <f>'State and Local P&amp;L (detailed)'!$AD$55</f>
        <v>74276735</v>
      </c>
      <c r="CG90" s="101">
        <f t="shared" si="175"/>
        <v>109834735</v>
      </c>
      <c r="CH90" s="94">
        <f>SUMIFS('Federal Data'!AO2:AO501,'Federal Data'!$G2:$G501,"Public Health",'Federal Data'!$D2:$D501,"Nongrant")</f>
        <v>38549000</v>
      </c>
      <c r="CI90" s="101">
        <f>'State and Local P&amp;L (detailed)'!$AE$55</f>
        <v>79790721</v>
      </c>
      <c r="CJ90" s="101">
        <f t="shared" si="176"/>
        <v>118339721</v>
      </c>
      <c r="CK90" s="94">
        <f>SUMIFS('Federal Data'!AP2:AP501,'Federal Data'!$G2:$G501,"Public Health",'Federal Data'!$D2:$D501,"Nongrant")</f>
        <v>40039000</v>
      </c>
      <c r="CL90" s="101">
        <f>'State and Local P&amp;L (detailed)'!$AF$55</f>
        <v>83096261</v>
      </c>
      <c r="CM90" s="101">
        <f t="shared" si="177"/>
        <v>123135261</v>
      </c>
      <c r="CN90" s="94">
        <f>SUMIFS('Federal Data'!AQ2:AQ501,'Federal Data'!$G2:$G501,"Public Health",'Federal Data'!$D2:$D501,"Nongrant")</f>
        <v>48385000</v>
      </c>
      <c r="CO90" s="101">
        <f>'State and Local P&amp;L (detailed)'!$AG$55</f>
        <v>81382671</v>
      </c>
      <c r="CP90" s="101">
        <f t="shared" si="178"/>
        <v>129767671</v>
      </c>
      <c r="CQ90" s="94">
        <f>SUMIFS('Federal Data'!AR2:AR501,'Federal Data'!$G2:$G501,"Public Health",'Federal Data'!$D2:$D501,"Nongrant")</f>
        <v>48197000</v>
      </c>
      <c r="CR90" s="101">
        <f>'State and Local P&amp;L (detailed)'!$AH$55</f>
        <v>82392437</v>
      </c>
      <c r="CS90" s="101">
        <f t="shared" si="179"/>
        <v>130589437</v>
      </c>
      <c r="CT90" s="94">
        <f>SUMIFS('Federal Data'!AS2:AS501,'Federal Data'!$G2:$G501,"Public Health",'Federal Data'!$D2:$D501,"Nongrant")</f>
        <v>46478000</v>
      </c>
      <c r="CU90" s="101">
        <f>'State and Local P&amp;L (detailed)'!$AI$55</f>
        <v>84991898</v>
      </c>
      <c r="CV90" s="101">
        <f t="shared" si="180"/>
        <v>131469898</v>
      </c>
      <c r="CW90" s="94">
        <f>SUMIFS('Federal Data'!AT2:AT501,'Federal Data'!$G2:$G501,"Public Health",'Federal Data'!$D2:$D501,"Nongrant")</f>
        <v>45679000</v>
      </c>
      <c r="CX90" s="101">
        <f>'State and Local P&amp;L (detailed)'!$AJ$55</f>
        <v>86510671</v>
      </c>
      <c r="CY90" s="101">
        <f t="shared" si="181"/>
        <v>132189671</v>
      </c>
      <c r="CZ90" s="94">
        <f>SUMIFS('Federal Data'!AU2:AU501,'Federal Data'!$G2:$G501,"Public Health",'Federal Data'!$D2:$D501,"Nongrant")</f>
        <v>43501000</v>
      </c>
      <c r="DA90" s="101">
        <f>'State and Local P&amp;L (detailed)'!$AK$55</f>
        <v>89733631</v>
      </c>
      <c r="DB90" s="101">
        <f t="shared" si="182"/>
        <v>133234631</v>
      </c>
      <c r="DC90" s="37">
        <f>SUMIFS('Federal Data'!AV2:AV501,'Federal Data'!$G2:$G501,"Public Health",'Federal Data'!$D2:$D501,"Nongrant")</f>
        <v>43770000</v>
      </c>
      <c r="DD90" s="85">
        <f>'State and Local P&amp;L (detailed)'!$AL$55</f>
        <v>0</v>
      </c>
      <c r="DE90" s="85">
        <f t="shared" si="183"/>
        <v>43770000</v>
      </c>
    </row>
    <row r="91" spans="1:109" outlineLevel="2">
      <c r="A91" s="29" t="s">
        <v>57</v>
      </c>
      <c r="B91" s="94">
        <f>SUMIFS('Federal Data'!M2:M501,'Federal Data'!$G2:$G501,"Other Medical Assistance to Persons",'Federal Data'!$D2:$D501,"Nongrant")</f>
        <v>0</v>
      </c>
      <c r="C91" s="101">
        <f>'State and Local P&amp;L (detailed)'!$C$56</f>
        <v>5351753</v>
      </c>
      <c r="D91" s="101">
        <f t="shared" si="148"/>
        <v>5351753</v>
      </c>
      <c r="E91" s="94">
        <f>SUMIFS('Federal Data'!N2:N501,'Federal Data'!$G2:$G501,"Other Medical Assistance to Persons",'Federal Data'!$D2:$D501,"Nongrant")</f>
        <v>0</v>
      </c>
      <c r="F91" s="101">
        <f>'State and Local P&amp;L (detailed)'!$D$56</f>
        <v>4607346</v>
      </c>
      <c r="G91" s="101">
        <f t="shared" si="149"/>
        <v>4607346</v>
      </c>
      <c r="H91" s="94">
        <f>SUMIFS('Federal Data'!O2:O501,'Federal Data'!$G2:$G501,"Other Medical Assistance to Persons",'Federal Data'!$D2:$D501,"Nongrant")</f>
        <v>0</v>
      </c>
      <c r="I91" s="101">
        <f>'State and Local P&amp;L (detailed)'!$E$56</f>
        <v>5574218</v>
      </c>
      <c r="J91" s="101">
        <f t="shared" si="150"/>
        <v>5574218</v>
      </c>
      <c r="K91" s="94">
        <f>SUMIFS('Federal Data'!P2:P501,'Federal Data'!$G2:$G501,"Other Medical Assistance to Persons",'Federal Data'!$D2:$D501,"Nongrant")</f>
        <v>0</v>
      </c>
      <c r="L91" s="101">
        <f>'State and Local P&amp;L (detailed)'!$F$56</f>
        <v>6761092</v>
      </c>
      <c r="M91" s="101">
        <f t="shared" si="151"/>
        <v>6761092</v>
      </c>
      <c r="N91" s="94">
        <f>SUMIFS('Federal Data'!Q2:Q501,'Federal Data'!$G2:$G501,"Other Medical Assistance to Persons",'Federal Data'!$D2:$D501,"Nongrant")</f>
        <v>0</v>
      </c>
      <c r="O91" s="101">
        <f>'State and Local P&amp;L (detailed)'!$G$56</f>
        <v>6563867</v>
      </c>
      <c r="P91" s="101">
        <f t="shared" si="152"/>
        <v>6563867</v>
      </c>
      <c r="Q91" s="94">
        <f>SUMIFS('Federal Data'!R2:R501,'Federal Data'!$G2:$G501,"Other Medical Assistance to Persons",'Federal Data'!$D2:$D501,"Nongrant")</f>
        <v>0</v>
      </c>
      <c r="R91" s="101">
        <f>'State and Local P&amp;L (detailed)'!$H$56</f>
        <v>7403874</v>
      </c>
      <c r="S91" s="101">
        <f t="shared" si="153"/>
        <v>7403874</v>
      </c>
      <c r="T91" s="94">
        <f>SUMIFS('Federal Data'!S2:S501,'Federal Data'!$G2:$G501,"Other Medical Assistance to Persons",'Federal Data'!$D2:$D501,"Nongrant")</f>
        <v>0</v>
      </c>
      <c r="U91" s="101">
        <f>'State and Local P&amp;L (detailed)'!$I$56</f>
        <v>7508709</v>
      </c>
      <c r="V91" s="101">
        <f t="shared" si="154"/>
        <v>7508709</v>
      </c>
      <c r="W91" s="94">
        <f>SUMIFS('Federal Data'!T2:T501,'Federal Data'!$G2:$G501,"Other Medical Assistance to Persons",'Federal Data'!$D2:$D501,"Nongrant")</f>
        <v>0</v>
      </c>
      <c r="X91" s="101">
        <f>'State and Local P&amp;L (detailed)'!$J$56</f>
        <v>7616632</v>
      </c>
      <c r="Y91" s="101">
        <f t="shared" si="155"/>
        <v>7616632</v>
      </c>
      <c r="Z91" s="94">
        <f>SUMIFS('Federal Data'!U2:U501,'Federal Data'!$G2:$G501,"Other Medical Assistance to Persons",'Federal Data'!$D2:$D501,"Nongrant")</f>
        <v>0</v>
      </c>
      <c r="AA91" s="101">
        <f>'State and Local P&amp;L (detailed)'!$K$56</f>
        <v>9170117</v>
      </c>
      <c r="AB91" s="101">
        <f t="shared" si="156"/>
        <v>9170117</v>
      </c>
      <c r="AC91" s="94">
        <f>SUMIFS('Federal Data'!V2:V501,'Federal Data'!$G2:$G501,"Other Medical Assistance to Persons",'Federal Data'!$D2:$D501,"Nongrant")</f>
        <v>0</v>
      </c>
      <c r="AD91" s="101">
        <f>'State and Local P&amp;L (detailed)'!$L$56</f>
        <v>9304547</v>
      </c>
      <c r="AE91" s="101">
        <f t="shared" si="157"/>
        <v>9304547</v>
      </c>
      <c r="AF91" s="94">
        <f>SUMIFS('Federal Data'!W2:W501,'Federal Data'!$G2:$G501,"Other Medical Assistance to Persons",'Federal Data'!$D2:$D501,"Nongrant")</f>
        <v>0</v>
      </c>
      <c r="AG91" s="101">
        <f>'State and Local P&amp;L (detailed)'!$M$56</f>
        <v>9348662</v>
      </c>
      <c r="AH91" s="101">
        <f t="shared" si="158"/>
        <v>9348662</v>
      </c>
      <c r="AI91" s="94">
        <f>SUMIFS('Federal Data'!X2:X501,'Federal Data'!$G2:$G501,"Other Medical Assistance to Persons",'Federal Data'!$D2:$D501,"Nongrant")</f>
        <v>0</v>
      </c>
      <c r="AJ91" s="101">
        <f>'State and Local P&amp;L (detailed)'!$N$56</f>
        <v>9317039</v>
      </c>
      <c r="AK91" s="101">
        <f t="shared" si="159"/>
        <v>9317039</v>
      </c>
      <c r="AL91" s="94">
        <f>SUMIFS('Federal Data'!Y2:Y501,'Federal Data'!$G2:$G501,"Other Medical Assistance to Persons",'Federal Data'!$D2:$D501,"Nongrant")</f>
        <v>0</v>
      </c>
      <c r="AM91" s="101">
        <f>'State and Local P&amp;L (detailed)'!$O$56</f>
        <v>5197166</v>
      </c>
      <c r="AN91" s="101">
        <f t="shared" si="160"/>
        <v>5197166</v>
      </c>
      <c r="AO91" s="94">
        <f>SUMIFS('Federal Data'!Z2:Z501,'Federal Data'!$G2:$G501,"Other Medical Assistance to Persons",'Federal Data'!$D2:$D501,"Nongrant")</f>
        <v>161091</v>
      </c>
      <c r="AP91" s="101">
        <f>'State and Local P&amp;L (detailed)'!$P$56</f>
        <v>5146026</v>
      </c>
      <c r="AQ91" s="101">
        <f t="shared" si="161"/>
        <v>5307117</v>
      </c>
      <c r="AR91" s="94">
        <f>SUMIFS('Federal Data'!AA2:AA501,'Federal Data'!$G2:$G501,"Other Medical Assistance to Persons",'Federal Data'!$D2:$D501,"Nongrant")</f>
        <v>285960</v>
      </c>
      <c r="AS91" s="101">
        <f>'State and Local P&amp;L (detailed)'!$Q$56</f>
        <v>2876132</v>
      </c>
      <c r="AT91" s="101">
        <f t="shared" si="162"/>
        <v>3162092</v>
      </c>
      <c r="AU91" s="94">
        <f>SUMIFS('Federal Data'!AB2:AB501,'Federal Data'!$G2:$G501,"Other Medical Assistance to Persons",'Federal Data'!$D2:$D501,"Nongrant")</f>
        <v>336000</v>
      </c>
      <c r="AV91" s="101">
        <f>'State and Local P&amp;L (detailed)'!$R$56</f>
        <v>2537463</v>
      </c>
      <c r="AW91" s="101">
        <f t="shared" si="163"/>
        <v>2873463</v>
      </c>
      <c r="AX91" s="94">
        <f>SUMIFS('Federal Data'!AC2:AC501,'Federal Data'!$G2:$G501,"Other Medical Assistance to Persons",'Federal Data'!$D2:$D501,"Nongrant")</f>
        <v>304000</v>
      </c>
      <c r="AY91" s="101">
        <f>'State and Local P&amp;L (detailed)'!$S$56</f>
        <v>1829253</v>
      </c>
      <c r="AZ91" s="101">
        <f t="shared" si="164"/>
        <v>2133253</v>
      </c>
      <c r="BA91" s="94">
        <f>SUMIFS('Federal Data'!AD2:AD501,'Federal Data'!$G2:$G501,"Other Medical Assistance to Persons",'Federal Data'!$D2:$D501,"Nongrant")</f>
        <v>339000</v>
      </c>
      <c r="BB91" s="101">
        <f>'State and Local P&amp;L (detailed)'!$T$56</f>
        <v>189439</v>
      </c>
      <c r="BC91" s="101">
        <f t="shared" si="165"/>
        <v>528439</v>
      </c>
      <c r="BD91" s="94">
        <f>SUMIFS('Federal Data'!AE2:AE501,'Federal Data'!$G2:$G501,"Other Medical Assistance to Persons",'Federal Data'!$D2:$D501,"Nongrant")</f>
        <v>340000</v>
      </c>
      <c r="BE91" s="101">
        <f>'State and Local P&amp;L (detailed)'!$U$56</f>
        <v>1773144</v>
      </c>
      <c r="BF91" s="101">
        <f t="shared" si="166"/>
        <v>2113144</v>
      </c>
      <c r="BG91" s="94">
        <f>SUMIFS('Federal Data'!AF2:AF501,'Federal Data'!$G2:$G501,"Other Medical Assistance to Persons",'Federal Data'!$D2:$D501,"Nongrant")</f>
        <v>148000</v>
      </c>
      <c r="BH91" s="101">
        <f>'State and Local P&amp;L (detailed)'!$V$56</f>
        <v>2218035</v>
      </c>
      <c r="BI91" s="101">
        <f t="shared" si="167"/>
        <v>2366035</v>
      </c>
      <c r="BJ91" s="94">
        <f>SUMIFS('Federal Data'!AG2:AG501,'Federal Data'!$G2:$G501,"Other Medical Assistance to Persons",'Federal Data'!$D2:$D501,"Nongrant")</f>
        <v>155000</v>
      </c>
      <c r="BK91" s="101">
        <f>'State and Local P&amp;L (detailed)'!$W$56</f>
        <v>3952878</v>
      </c>
      <c r="BL91" s="101">
        <f t="shared" si="168"/>
        <v>4107878</v>
      </c>
      <c r="BM91" s="94">
        <f>SUMIFS('Federal Data'!AH2:AH501,'Federal Data'!$G2:$G501,"Other Medical Assistance to Persons",'Federal Data'!$D2:$D501,"Nongrant")</f>
        <v>150000</v>
      </c>
      <c r="BN91" s="101">
        <f>'State and Local P&amp;L (detailed)'!$X$56</f>
        <v>2644936</v>
      </c>
      <c r="BO91" s="101">
        <f t="shared" si="169"/>
        <v>2794936</v>
      </c>
      <c r="BP91" s="94">
        <f>SUMIFS('Federal Data'!AI2:AI501,'Federal Data'!$G2:$G501,"Other Medical Assistance to Persons",'Federal Data'!$D2:$D501,"Nongrant")</f>
        <v>124000</v>
      </c>
      <c r="BQ91" s="101">
        <f>'State and Local P&amp;L (detailed)'!$Y$56</f>
        <v>2906344</v>
      </c>
      <c r="BR91" s="101">
        <f t="shared" si="170"/>
        <v>3030344</v>
      </c>
      <c r="BS91" s="94">
        <f>SUMIFS('Federal Data'!AJ2:AJ501,'Federal Data'!$G2:$G501,"Other Medical Assistance to Persons",'Federal Data'!$D2:$D501,"Nongrant")</f>
        <v>190000</v>
      </c>
      <c r="BT91" s="101">
        <f>'State and Local P&amp;L (detailed)'!$Z$56</f>
        <v>3599804</v>
      </c>
      <c r="BU91" s="101">
        <f t="shared" si="171"/>
        <v>3789804</v>
      </c>
      <c r="BV91" s="94">
        <f>SUMIFS('Federal Data'!AK2:AK501,'Federal Data'!$G2:$G501,"Other Medical Assistance to Persons",'Federal Data'!$D2:$D501,"Nongrant")</f>
        <v>127000</v>
      </c>
      <c r="BW91" s="101">
        <f>'State and Local P&amp;L (detailed)'!$AA$56</f>
        <v>4067421</v>
      </c>
      <c r="BX91" s="101">
        <f t="shared" si="172"/>
        <v>4194421</v>
      </c>
      <c r="BY91" s="94">
        <f>SUMIFS('Federal Data'!AL2:AL501,'Federal Data'!$G2:$G501,"Other Medical Assistance to Persons",'Federal Data'!$D2:$D501,"Nongrant")</f>
        <v>125000</v>
      </c>
      <c r="BZ91" s="101">
        <f>'State and Local P&amp;L (detailed)'!$AB$56</f>
        <v>4276601</v>
      </c>
      <c r="CA91" s="101">
        <f t="shared" si="173"/>
        <v>4401601</v>
      </c>
      <c r="CB91" s="94">
        <f>SUMIFS('Federal Data'!AM2:AM501,'Federal Data'!$G2:$G501,"Other Medical Assistance to Persons",'Federal Data'!$D2:$D501,"Nongrant")</f>
        <v>114000</v>
      </c>
      <c r="CC91" s="101">
        <f>'State and Local P&amp;L (detailed)'!$AC$56</f>
        <v>5924929</v>
      </c>
      <c r="CD91" s="101">
        <f t="shared" si="174"/>
        <v>6038929</v>
      </c>
      <c r="CE91" s="94">
        <f>SUMIFS('Federal Data'!AN2:AN501,'Federal Data'!$G2:$G501,"Other Medical Assistance to Persons",'Federal Data'!$D2:$D501,"Nongrant")</f>
        <v>49000</v>
      </c>
      <c r="CF91" s="101">
        <f>'State and Local P&amp;L (detailed)'!$AD$56</f>
        <v>7993441</v>
      </c>
      <c r="CG91" s="101">
        <f t="shared" si="175"/>
        <v>8042441</v>
      </c>
      <c r="CH91" s="94">
        <f>SUMIFS('Federal Data'!AO2:AO501,'Federal Data'!$G2:$G501,"Other Medical Assistance to Persons",'Federal Data'!$D2:$D501,"Nongrant")</f>
        <v>-8000</v>
      </c>
      <c r="CI91" s="101">
        <f>'State and Local P&amp;L (detailed)'!$AE$56</f>
        <v>14034845</v>
      </c>
      <c r="CJ91" s="101">
        <f t="shared" si="176"/>
        <v>14026845</v>
      </c>
      <c r="CK91" s="94">
        <f>SUMIFS('Federal Data'!AP2:AP501,'Federal Data'!$G2:$G501,"Other Medical Assistance to Persons",'Federal Data'!$D2:$D501,"Nongrant")</f>
        <v>55000</v>
      </c>
      <c r="CL91" s="101">
        <f>'State and Local P&amp;L (detailed)'!$AF$56</f>
        <v>15441568</v>
      </c>
      <c r="CM91" s="101">
        <f t="shared" si="177"/>
        <v>15496568</v>
      </c>
      <c r="CN91" s="94">
        <f>SUMIFS('Federal Data'!AQ2:AQ501,'Federal Data'!$G2:$G501,"Other Medical Assistance to Persons",'Federal Data'!$D2:$D501,"Nongrant")</f>
        <v>47000</v>
      </c>
      <c r="CO91" s="101">
        <f>'State and Local P&amp;L (detailed)'!$AG$56</f>
        <v>13719138</v>
      </c>
      <c r="CP91" s="101">
        <f t="shared" si="178"/>
        <v>13766138</v>
      </c>
      <c r="CQ91" s="94">
        <f>SUMIFS('Federal Data'!AR2:AR501,'Federal Data'!$G2:$G501,"Other Medical Assistance to Persons",'Federal Data'!$D2:$D501,"Nongrant")</f>
        <v>3415000</v>
      </c>
      <c r="CR91" s="101">
        <f>'State and Local P&amp;L (detailed)'!$AH$56</f>
        <v>14597376</v>
      </c>
      <c r="CS91" s="101">
        <f t="shared" si="179"/>
        <v>18012376</v>
      </c>
      <c r="CT91" s="94">
        <f>SUMIFS('Federal Data'!AS2:AS501,'Federal Data'!$G2:$G501,"Other Medical Assistance to Persons",'Federal Data'!$D2:$D501,"Nongrant")</f>
        <v>3500000</v>
      </c>
      <c r="CU91" s="101">
        <f>'State and Local P&amp;L (detailed)'!$AI$56</f>
        <v>14162596</v>
      </c>
      <c r="CV91" s="101">
        <f t="shared" si="180"/>
        <v>17662596</v>
      </c>
      <c r="CW91" s="94">
        <f>SUMIFS('Federal Data'!AT2:AT501,'Federal Data'!$G2:$G501,"Other Medical Assistance to Persons",'Federal Data'!$D2:$D501,"Nongrant")</f>
        <v>2481000</v>
      </c>
      <c r="CX91" s="101">
        <f>'State and Local P&amp;L (detailed)'!$AJ$56</f>
        <v>10631900</v>
      </c>
      <c r="CY91" s="101">
        <f t="shared" si="181"/>
        <v>13112900</v>
      </c>
      <c r="CZ91" s="94">
        <f>SUMIFS('Federal Data'!AU2:AU501,'Federal Data'!$G2:$G501,"Other Medical Assistance to Persons",'Federal Data'!$D2:$D501,"Nongrant")</f>
        <v>921000</v>
      </c>
      <c r="DA91" s="101">
        <f>'State and Local P&amp;L (detailed)'!$AK$56</f>
        <v>12505424</v>
      </c>
      <c r="DB91" s="101">
        <f t="shared" si="182"/>
        <v>13426424</v>
      </c>
      <c r="DC91" s="37">
        <f>SUMIFS('Federal Data'!AV2:AV501,'Federal Data'!$G2:$G501,"Other Medical Assistance to Persons",'Federal Data'!$D2:$D501,"Nongrant")</f>
        <v>226000</v>
      </c>
      <c r="DD91" s="85">
        <f>'State and Local P&amp;L (detailed)'!$AL$56</f>
        <v>0</v>
      </c>
      <c r="DE91" s="85">
        <f t="shared" si="183"/>
        <v>226000</v>
      </c>
    </row>
    <row r="92" spans="1:109" outlineLevel="2">
      <c r="A92" s="29" t="s">
        <v>102</v>
      </c>
      <c r="B92" s="94">
        <f>SUMIFS('Federal Data'!M2:M501,'Federal Data'!$G2:$G501,"Medicare &amp; Medicaid Unallocable",'Federal Data'!$D2:$D501,"Nongrant")</f>
        <v>69034</v>
      </c>
      <c r="C92" s="101" t="s">
        <v>487</v>
      </c>
      <c r="D92" s="101">
        <f t="shared" si="148"/>
        <v>69034</v>
      </c>
      <c r="E92" s="94">
        <f>SUMIFS('Federal Data'!N2:N501,'Federal Data'!$G2:$G501,"Medicare &amp; Medicaid Unallocable",'Federal Data'!$D2:$D501,"Nongrant")</f>
        <v>115922</v>
      </c>
      <c r="F92" s="101" t="s">
        <v>487</v>
      </c>
      <c r="G92" s="101">
        <f t="shared" si="149"/>
        <v>115922</v>
      </c>
      <c r="H92" s="94">
        <f>SUMIFS('Federal Data'!O2:O501,'Federal Data'!$G2:$G501,"Medicare &amp; Medicaid Unallocable",'Federal Data'!$D2:$D501,"Nongrant")</f>
        <v>53445</v>
      </c>
      <c r="I92" s="101" t="s">
        <v>487</v>
      </c>
      <c r="J92" s="101">
        <f t="shared" si="150"/>
        <v>53445</v>
      </c>
      <c r="K92" s="94">
        <f>SUMIFS('Federal Data'!P2:P501,'Federal Data'!$G2:$G501,"Medicare &amp; Medicaid Unallocable",'Federal Data'!$D2:$D501,"Nongrant")</f>
        <v>85991</v>
      </c>
      <c r="L92" s="101" t="s">
        <v>487</v>
      </c>
      <c r="M92" s="101">
        <f t="shared" si="151"/>
        <v>85991</v>
      </c>
      <c r="N92" s="94">
        <f>SUMIFS('Federal Data'!Q2:Q501,'Federal Data'!$G2:$G501,"Medicare &amp; Medicaid Unallocable",'Federal Data'!$D2:$D501,"Nongrant")</f>
        <v>89701</v>
      </c>
      <c r="O92" s="101" t="s">
        <v>487</v>
      </c>
      <c r="P92" s="101">
        <f t="shared" si="152"/>
        <v>89701</v>
      </c>
      <c r="Q92" s="94">
        <f>SUMIFS('Federal Data'!R2:R501,'Federal Data'!$G2:$G501,"Medicare &amp; Medicaid Unallocable",'Federal Data'!$D2:$D501,"Nongrant")</f>
        <v>46045</v>
      </c>
      <c r="R92" s="101" t="s">
        <v>487</v>
      </c>
      <c r="S92" s="101">
        <f t="shared" si="153"/>
        <v>46045</v>
      </c>
      <c r="T92" s="94">
        <f>SUMIFS('Federal Data'!S2:S501,'Federal Data'!$G2:$G501,"Medicare &amp; Medicaid Unallocable",'Federal Data'!$D2:$D501,"Nongrant")</f>
        <v>77070</v>
      </c>
      <c r="U92" s="101" t="s">
        <v>487</v>
      </c>
      <c r="V92" s="101">
        <f t="shared" si="154"/>
        <v>77070</v>
      </c>
      <c r="W92" s="94">
        <f>SUMIFS('Federal Data'!T2:T501,'Federal Data'!$G2:$G501,"Medicare &amp; Medicaid Unallocable",'Federal Data'!$D2:$D501,"Nongrant")</f>
        <v>94314</v>
      </c>
      <c r="X92" s="101" t="s">
        <v>487</v>
      </c>
      <c r="Y92" s="101">
        <f t="shared" si="155"/>
        <v>94314</v>
      </c>
      <c r="Z92" s="94">
        <f>SUMIFS('Federal Data'!U2:U501,'Federal Data'!$G2:$G501,"Medicare &amp; Medicaid Unallocable",'Federal Data'!$D2:$D501,"Nongrant")</f>
        <v>57791</v>
      </c>
      <c r="AA92" s="101" t="s">
        <v>487</v>
      </c>
      <c r="AB92" s="101">
        <f t="shared" si="156"/>
        <v>57791</v>
      </c>
      <c r="AC92" s="94">
        <f>SUMIFS('Federal Data'!V2:V501,'Federal Data'!$G2:$G501,"Medicare &amp; Medicaid Unallocable",'Federal Data'!$D2:$D501,"Nongrant")</f>
        <v>76127</v>
      </c>
      <c r="AD92" s="101" t="s">
        <v>487</v>
      </c>
      <c r="AE92" s="101">
        <f t="shared" si="157"/>
        <v>76127</v>
      </c>
      <c r="AF92" s="94">
        <f>SUMIFS('Federal Data'!W2:W501,'Federal Data'!$G2:$G501,"Medicare &amp; Medicaid Unallocable",'Federal Data'!$D2:$D501,"Nongrant")</f>
        <v>65982</v>
      </c>
      <c r="AG92" s="101" t="s">
        <v>487</v>
      </c>
      <c r="AH92" s="101">
        <f t="shared" si="158"/>
        <v>65982</v>
      </c>
      <c r="AI92" s="94">
        <f>SUMIFS('Federal Data'!X2:X501,'Federal Data'!$G2:$G501,"Medicare &amp; Medicaid Unallocable",'Federal Data'!$D2:$D501,"Nongrant")</f>
        <v>121919</v>
      </c>
      <c r="AJ92" s="101" t="s">
        <v>487</v>
      </c>
      <c r="AK92" s="101">
        <f t="shared" si="159"/>
        <v>121919</v>
      </c>
      <c r="AL92" s="94">
        <f>SUMIFS('Federal Data'!Y2:Y501,'Federal Data'!$G2:$G501,"Medicare &amp; Medicaid Unallocable",'Federal Data'!$D2:$D501,"Nongrant")</f>
        <v>-76214</v>
      </c>
      <c r="AM92" s="101" t="s">
        <v>487</v>
      </c>
      <c r="AN92" s="101">
        <f t="shared" si="160"/>
        <v>-76214</v>
      </c>
      <c r="AO92" s="94">
        <f>SUMIFS('Federal Data'!Z2:Z501,'Federal Data'!$G2:$G501,"Medicare &amp; Medicaid Unallocable",'Federal Data'!$D2:$D501,"Nongrant")</f>
        <v>116802</v>
      </c>
      <c r="AP92" s="101" t="s">
        <v>487</v>
      </c>
      <c r="AQ92" s="101">
        <f t="shared" si="161"/>
        <v>116802</v>
      </c>
      <c r="AR92" s="94">
        <f>SUMIFS('Federal Data'!AA2:AA501,'Federal Data'!$G2:$G501,"Medicare &amp; Medicaid Unallocable",'Federal Data'!$D2:$D501,"Nongrant")</f>
        <v>-23833</v>
      </c>
      <c r="AS92" s="101" t="s">
        <v>487</v>
      </c>
      <c r="AT92" s="101">
        <f t="shared" si="162"/>
        <v>-23833</v>
      </c>
      <c r="AU92" s="94">
        <f>SUMIFS('Federal Data'!AB2:AB501,'Federal Data'!$G2:$G501,"Medicare &amp; Medicaid Unallocable",'Federal Data'!$D2:$D501,"Nongrant")</f>
        <v>12000</v>
      </c>
      <c r="AV92" s="101" t="s">
        <v>487</v>
      </c>
      <c r="AW92" s="101">
        <f t="shared" si="163"/>
        <v>12000</v>
      </c>
      <c r="AX92" s="94">
        <f>SUMIFS('Federal Data'!AC2:AC501,'Federal Data'!$G2:$G501,"Medicare &amp; Medicaid Unallocable",'Federal Data'!$D2:$D501,"Nongrant")</f>
        <v>23000</v>
      </c>
      <c r="AY92" s="101" t="s">
        <v>487</v>
      </c>
      <c r="AZ92" s="101">
        <f t="shared" si="164"/>
        <v>23000</v>
      </c>
      <c r="BA92" s="94">
        <f>SUMIFS('Federal Data'!AD2:AD501,'Federal Data'!$G2:$G501,"Medicare &amp; Medicaid Unallocable",'Federal Data'!$D2:$D501,"Nongrant")</f>
        <v>27000</v>
      </c>
      <c r="BB92" s="101" t="s">
        <v>487</v>
      </c>
      <c r="BC92" s="101">
        <f t="shared" si="165"/>
        <v>27000</v>
      </c>
      <c r="BD92" s="94">
        <f>SUMIFS('Federal Data'!AE2:AE501,'Federal Data'!$G2:$G501,"Medicare &amp; Medicaid Unallocable",'Federal Data'!$D2:$D501,"Nongrant")</f>
        <v>40000</v>
      </c>
      <c r="BE92" s="101" t="s">
        <v>487</v>
      </c>
      <c r="BF92" s="101">
        <f t="shared" si="166"/>
        <v>40000</v>
      </c>
      <c r="BG92" s="94">
        <f>SUMIFS('Federal Data'!AF2:AF501,'Federal Data'!$G2:$G501,"Medicare &amp; Medicaid Unallocable",'Federal Data'!$D2:$D501,"Nongrant")</f>
        <v>35000</v>
      </c>
      <c r="BH92" s="101" t="s">
        <v>487</v>
      </c>
      <c r="BI92" s="101">
        <f t="shared" si="167"/>
        <v>35000</v>
      </c>
      <c r="BJ92" s="94">
        <f>SUMIFS('Federal Data'!AG2:AG501,'Federal Data'!$G2:$G501,"Medicare &amp; Medicaid Unallocable",'Federal Data'!$D2:$D501,"Nongrant")</f>
        <v>-149000</v>
      </c>
      <c r="BK92" s="101" t="s">
        <v>487</v>
      </c>
      <c r="BL92" s="101">
        <f t="shared" si="168"/>
        <v>-149000</v>
      </c>
      <c r="BM92" s="94">
        <f>SUMIFS('Federal Data'!AH2:AH501,'Federal Data'!$G2:$G501,"Medicare &amp; Medicaid Unallocable",'Federal Data'!$D2:$D501,"Nongrant")</f>
        <v>-14000</v>
      </c>
      <c r="BN92" s="101" t="s">
        <v>487</v>
      </c>
      <c r="BO92" s="101">
        <f t="shared" si="169"/>
        <v>-14000</v>
      </c>
      <c r="BP92" s="94">
        <f>SUMIFS('Federal Data'!AI2:AI501,'Federal Data'!$G2:$G501,"Medicare &amp; Medicaid Unallocable",'Federal Data'!$D2:$D501,"Nongrant")</f>
        <v>477000</v>
      </c>
      <c r="BQ92" s="101" t="s">
        <v>487</v>
      </c>
      <c r="BR92" s="101">
        <f t="shared" si="170"/>
        <v>477000</v>
      </c>
      <c r="BS92" s="94">
        <f>SUMIFS('Federal Data'!AJ2:AJ501,'Federal Data'!$G2:$G501,"Medicare &amp; Medicaid Unallocable",'Federal Data'!$D2:$D501,"Nongrant")</f>
        <v>-18000</v>
      </c>
      <c r="BT92" s="101" t="s">
        <v>487</v>
      </c>
      <c r="BU92" s="101">
        <f t="shared" si="171"/>
        <v>-18000</v>
      </c>
      <c r="BV92" s="94">
        <f>SUMIFS('Federal Data'!AK2:AK501,'Federal Data'!$G2:$G501,"Medicare &amp; Medicaid Unallocable",'Federal Data'!$D2:$D501,"Nongrant")</f>
        <v>-342000</v>
      </c>
      <c r="BW92" s="101" t="s">
        <v>487</v>
      </c>
      <c r="BX92" s="101">
        <f t="shared" si="172"/>
        <v>-342000</v>
      </c>
      <c r="BY92" s="94">
        <f>SUMIFS('Federal Data'!AL2:AL501,'Federal Data'!$G2:$G501,"Medicare &amp; Medicaid Unallocable",'Federal Data'!$D2:$D501,"Nongrant")</f>
        <v>374000</v>
      </c>
      <c r="BZ92" s="101" t="s">
        <v>487</v>
      </c>
      <c r="CA92" s="101">
        <f t="shared" si="173"/>
        <v>374000</v>
      </c>
      <c r="CB92" s="94">
        <f>SUMIFS('Federal Data'!AM2:AM501,'Federal Data'!$G2:$G501,"Medicare &amp; Medicaid Unallocable",'Federal Data'!$D2:$D501,"Nongrant")</f>
        <v>-80000</v>
      </c>
      <c r="CC92" s="101" t="s">
        <v>487</v>
      </c>
      <c r="CD92" s="101">
        <f t="shared" si="174"/>
        <v>-80000</v>
      </c>
      <c r="CE92" s="94">
        <f>SUMIFS('Federal Data'!AN2:AN501,'Federal Data'!$G2:$G501,"Medicare &amp; Medicaid Unallocable",'Federal Data'!$D2:$D501,"Nongrant")</f>
        <v>136000</v>
      </c>
      <c r="CF92" s="101" t="s">
        <v>487</v>
      </c>
      <c r="CG92" s="101">
        <f t="shared" si="175"/>
        <v>136000</v>
      </c>
      <c r="CH92" s="94">
        <f>SUMIFS('Federal Data'!AO2:AO501,'Federal Data'!$G2:$G501,"Medicare &amp; Medicaid Unallocable",'Federal Data'!$D2:$D501,"Nongrant")</f>
        <v>40000</v>
      </c>
      <c r="CI92" s="101" t="s">
        <v>487</v>
      </c>
      <c r="CJ92" s="101">
        <f t="shared" si="176"/>
        <v>40000</v>
      </c>
      <c r="CK92" s="94">
        <f>SUMIFS('Federal Data'!AP2:AP501,'Federal Data'!$G2:$G501,"Medicare &amp; Medicaid Unallocable",'Federal Data'!$D2:$D501,"Nongrant")</f>
        <v>-54000</v>
      </c>
      <c r="CL92" s="101" t="s">
        <v>487</v>
      </c>
      <c r="CM92" s="101">
        <f t="shared" si="177"/>
        <v>-54000</v>
      </c>
      <c r="CN92" s="94">
        <f>SUMIFS('Federal Data'!AQ2:AQ501,'Federal Data'!$G2:$G501,"Medicare &amp; Medicaid Unallocable",'Federal Data'!$D2:$D501,"Nongrant")</f>
        <v>127000</v>
      </c>
      <c r="CO92" s="101" t="s">
        <v>487</v>
      </c>
      <c r="CP92" s="101">
        <f t="shared" si="178"/>
        <v>127000</v>
      </c>
      <c r="CQ92" s="94">
        <f>SUMIFS('Federal Data'!AR2:AR501,'Federal Data'!$G2:$G501,"Medicare &amp; Medicaid Unallocable",'Federal Data'!$D2:$D501,"Nongrant")</f>
        <v>302000</v>
      </c>
      <c r="CR92" s="101" t="s">
        <v>487</v>
      </c>
      <c r="CS92" s="101">
        <f t="shared" si="179"/>
        <v>302000</v>
      </c>
      <c r="CT92" s="94">
        <f>SUMIFS('Federal Data'!AS2:AS501,'Federal Data'!$G2:$G501,"Medicare &amp; Medicaid Unallocable",'Federal Data'!$D2:$D501,"Nongrant")</f>
        <v>415000</v>
      </c>
      <c r="CU92" s="101" t="s">
        <v>487</v>
      </c>
      <c r="CV92" s="101">
        <f t="shared" si="180"/>
        <v>415000</v>
      </c>
      <c r="CW92" s="94">
        <f>SUMIFS('Federal Data'!AT2:AT501,'Federal Data'!$G2:$G501,"Medicare &amp; Medicaid Unallocable",'Federal Data'!$D2:$D501,"Nongrant")</f>
        <v>752000</v>
      </c>
      <c r="CX92" s="101" t="s">
        <v>487</v>
      </c>
      <c r="CY92" s="101">
        <f t="shared" si="181"/>
        <v>752000</v>
      </c>
      <c r="CZ92" s="94">
        <f>SUMIFS('Federal Data'!AU2:AU501,'Federal Data'!$G2:$G501,"Medicare &amp; Medicaid Unallocable",'Federal Data'!$D2:$D501,"Nongrant")</f>
        <v>1354000</v>
      </c>
      <c r="DA92" s="101" t="s">
        <v>487</v>
      </c>
      <c r="DB92" s="101">
        <f t="shared" si="182"/>
        <v>1354000</v>
      </c>
      <c r="DC92" s="37">
        <f>SUMIFS('Federal Data'!AV2:AV501,'Federal Data'!$G2:$G501,"Medicare &amp; Medicaid Unallocable",'Federal Data'!$D2:$D501,"Nongrant")</f>
        <v>1341000</v>
      </c>
      <c r="DD92" s="85" t="s">
        <v>487</v>
      </c>
      <c r="DE92" s="85">
        <f t="shared" si="183"/>
        <v>1341000</v>
      </c>
    </row>
    <row r="93" spans="1:109" outlineLevel="2">
      <c r="A93" s="29" t="s">
        <v>58</v>
      </c>
      <c r="B93" s="94">
        <f>SUMIFS('Federal Data'!M2:M501,'Federal Data'!$G2:$G501,"Other Health",'Federal Data'!$D2:$D501,"Nongrant")</f>
        <v>64046</v>
      </c>
      <c r="C93" s="101" t="s">
        <v>487</v>
      </c>
      <c r="D93" s="101">
        <f t="shared" si="148"/>
        <v>64046</v>
      </c>
      <c r="E93" s="94">
        <f>SUMIFS('Federal Data'!N2:N501,'Federal Data'!$G2:$G501,"Other Health",'Federal Data'!$D2:$D501,"Nongrant")</f>
        <v>117812</v>
      </c>
      <c r="F93" s="101" t="s">
        <v>487</v>
      </c>
      <c r="G93" s="101">
        <f t="shared" si="149"/>
        <v>117812</v>
      </c>
      <c r="H93" s="94">
        <f>SUMIFS('Federal Data'!O2:O501,'Federal Data'!$G2:$G501,"Other Health",'Federal Data'!$D2:$D501,"Nongrant")</f>
        <v>106680</v>
      </c>
      <c r="I93" s="101" t="s">
        <v>487</v>
      </c>
      <c r="J93" s="101">
        <f t="shared" si="150"/>
        <v>106680</v>
      </c>
      <c r="K93" s="94">
        <f>SUMIFS('Federal Data'!P2:P501,'Federal Data'!$G2:$G501,"Other Health",'Federal Data'!$D2:$D501,"Nongrant")</f>
        <v>51179</v>
      </c>
      <c r="L93" s="101" t="s">
        <v>487</v>
      </c>
      <c r="M93" s="101">
        <f t="shared" si="151"/>
        <v>51179</v>
      </c>
      <c r="N93" s="94">
        <f>SUMIFS('Federal Data'!Q2:Q501,'Federal Data'!$G2:$G501,"Other Health",'Federal Data'!$D2:$D501,"Nongrant")</f>
        <v>38701</v>
      </c>
      <c r="O93" s="101" t="s">
        <v>487</v>
      </c>
      <c r="P93" s="101">
        <f t="shared" si="152"/>
        <v>38701</v>
      </c>
      <c r="Q93" s="94">
        <f>SUMIFS('Federal Data'!R2:R501,'Federal Data'!$G2:$G501,"Other Health",'Federal Data'!$D2:$D501,"Nongrant")</f>
        <v>32874</v>
      </c>
      <c r="R93" s="101" t="s">
        <v>487</v>
      </c>
      <c r="S93" s="101">
        <f t="shared" si="153"/>
        <v>32874</v>
      </c>
      <c r="T93" s="94">
        <f>SUMIFS('Federal Data'!S2:S501,'Federal Data'!$G2:$G501,"Other Health",'Federal Data'!$D2:$D501,"Nongrant")</f>
        <v>31891</v>
      </c>
      <c r="U93" s="101" t="s">
        <v>487</v>
      </c>
      <c r="V93" s="101">
        <f t="shared" si="154"/>
        <v>31891</v>
      </c>
      <c r="W93" s="94">
        <f>SUMIFS('Federal Data'!T2:T501,'Federal Data'!$G2:$G501,"Other Health",'Federal Data'!$D2:$D501,"Nongrant")</f>
        <v>42746</v>
      </c>
      <c r="X93" s="101" t="s">
        <v>487</v>
      </c>
      <c r="Y93" s="101">
        <f t="shared" si="155"/>
        <v>42746</v>
      </c>
      <c r="Z93" s="94">
        <f>SUMIFS('Federal Data'!U2:U501,'Federal Data'!$G2:$G501,"Other Health",'Federal Data'!$D2:$D501,"Nongrant")</f>
        <v>42704</v>
      </c>
      <c r="AA93" s="101" t="s">
        <v>487</v>
      </c>
      <c r="AB93" s="101">
        <f t="shared" si="156"/>
        <v>42704</v>
      </c>
      <c r="AC93" s="94">
        <f>SUMIFS('Federal Data'!V2:V501,'Federal Data'!$G2:$G501,"Other Health",'Federal Data'!$D2:$D501,"Nongrant")</f>
        <v>40174</v>
      </c>
      <c r="AD93" s="101" t="s">
        <v>487</v>
      </c>
      <c r="AE93" s="101">
        <f t="shared" si="157"/>
        <v>40174</v>
      </c>
      <c r="AF93" s="94">
        <f>SUMIFS('Federal Data'!W2:W501,'Federal Data'!$G2:$G501,"Other Health",'Federal Data'!$D2:$D501,"Nongrant")</f>
        <v>61923</v>
      </c>
      <c r="AG93" s="101" t="s">
        <v>487</v>
      </c>
      <c r="AH93" s="101">
        <f t="shared" si="158"/>
        <v>61923</v>
      </c>
      <c r="AI93" s="94">
        <f>SUMIFS('Federal Data'!X2:X501,'Federal Data'!$G2:$G501,"Other Health",'Federal Data'!$D2:$D501,"Nongrant")</f>
        <v>42345</v>
      </c>
      <c r="AJ93" s="101" t="s">
        <v>487</v>
      </c>
      <c r="AK93" s="101">
        <f t="shared" si="159"/>
        <v>42345</v>
      </c>
      <c r="AL93" s="94">
        <f>SUMIFS('Federal Data'!Y2:Y501,'Federal Data'!$G2:$G501,"Other Health",'Federal Data'!$D2:$D501,"Nongrant")</f>
        <v>63314</v>
      </c>
      <c r="AM93" s="101" t="s">
        <v>487</v>
      </c>
      <c r="AN93" s="101">
        <f t="shared" si="160"/>
        <v>63314</v>
      </c>
      <c r="AO93" s="94">
        <f>SUMIFS('Federal Data'!Z2:Z501,'Federal Data'!$G2:$G501,"Other Health",'Federal Data'!$D2:$D501,"Nongrant")</f>
        <v>35502</v>
      </c>
      <c r="AP93" s="101" t="s">
        <v>487</v>
      </c>
      <c r="AQ93" s="101">
        <f t="shared" si="161"/>
        <v>35502</v>
      </c>
      <c r="AR93" s="94">
        <f>SUMIFS('Federal Data'!AA2:AA501,'Federal Data'!$G2:$G501,"Other Health",'Federal Data'!$D2:$D501,"Nongrant")</f>
        <v>64704</v>
      </c>
      <c r="AS93" s="101" t="s">
        <v>487</v>
      </c>
      <c r="AT93" s="101">
        <f t="shared" si="162"/>
        <v>64704</v>
      </c>
      <c r="AU93" s="94">
        <f>SUMIFS('Federal Data'!AB2:AB501,'Federal Data'!$G2:$G501,"Other Health",'Federal Data'!$D2:$D501,"Nongrant")</f>
        <v>250000</v>
      </c>
      <c r="AV93" s="101" t="s">
        <v>487</v>
      </c>
      <c r="AW93" s="101">
        <f t="shared" si="163"/>
        <v>250000</v>
      </c>
      <c r="AX93" s="94">
        <f>SUMIFS('Federal Data'!AC2:AC501,'Federal Data'!$G2:$G501,"Other Health",'Federal Data'!$D2:$D501,"Nongrant")</f>
        <v>144000</v>
      </c>
      <c r="AY93" s="101" t="s">
        <v>487</v>
      </c>
      <c r="AZ93" s="101">
        <f t="shared" si="164"/>
        <v>144000</v>
      </c>
      <c r="BA93" s="94">
        <f>SUMIFS('Federal Data'!AD2:AD501,'Federal Data'!$G2:$G501,"Other Health",'Federal Data'!$D2:$D501,"Nongrant")</f>
        <v>167000</v>
      </c>
      <c r="BB93" s="101" t="s">
        <v>487</v>
      </c>
      <c r="BC93" s="101">
        <f t="shared" si="165"/>
        <v>167000</v>
      </c>
      <c r="BD93" s="94">
        <f>SUMIFS('Federal Data'!AE2:AE501,'Federal Data'!$G2:$G501,"Other Health",'Federal Data'!$D2:$D501,"Nongrant")</f>
        <v>182000</v>
      </c>
      <c r="BE93" s="101" t="s">
        <v>487</v>
      </c>
      <c r="BF93" s="101">
        <f t="shared" si="166"/>
        <v>182000</v>
      </c>
      <c r="BG93" s="94">
        <f>SUMIFS('Federal Data'!AF2:AF501,'Federal Data'!$G2:$G501,"Other Health",'Federal Data'!$D2:$D501,"Nongrant")</f>
        <v>314000</v>
      </c>
      <c r="BH93" s="101" t="s">
        <v>487</v>
      </c>
      <c r="BI93" s="101">
        <f t="shared" si="167"/>
        <v>314000</v>
      </c>
      <c r="BJ93" s="94">
        <f>SUMIFS('Federal Data'!AG2:AG501,'Federal Data'!$G2:$G501,"Other Health",'Federal Data'!$D2:$D501,"Nongrant")</f>
        <v>657000</v>
      </c>
      <c r="BK93" s="101" t="s">
        <v>487</v>
      </c>
      <c r="BL93" s="101">
        <f t="shared" si="168"/>
        <v>657000</v>
      </c>
      <c r="BM93" s="94">
        <f>SUMIFS('Federal Data'!AH2:AH501,'Federal Data'!$G2:$G501,"Other Health",'Federal Data'!$D2:$D501,"Nongrant")</f>
        <v>460000</v>
      </c>
      <c r="BN93" s="101" t="s">
        <v>487</v>
      </c>
      <c r="BO93" s="101">
        <f t="shared" si="169"/>
        <v>460000</v>
      </c>
      <c r="BP93" s="94">
        <f>SUMIFS('Federal Data'!AI2:AI501,'Federal Data'!$G2:$G501,"Other Health",'Federal Data'!$D2:$D501,"Nongrant")</f>
        <v>267000</v>
      </c>
      <c r="BQ93" s="101" t="s">
        <v>487</v>
      </c>
      <c r="BR93" s="101">
        <f t="shared" si="170"/>
        <v>267000</v>
      </c>
      <c r="BS93" s="94">
        <f>SUMIFS('Federal Data'!AJ2:AJ501,'Federal Data'!$G2:$G501,"Other Health",'Federal Data'!$D2:$D501,"Nongrant")</f>
        <v>572000</v>
      </c>
      <c r="BT93" s="101" t="s">
        <v>487</v>
      </c>
      <c r="BU93" s="101">
        <f t="shared" si="171"/>
        <v>572000</v>
      </c>
      <c r="BV93" s="94">
        <f>SUMIFS('Federal Data'!AK2:AK501,'Federal Data'!$G2:$G501,"Other Health",'Federal Data'!$D2:$D501,"Nongrant")</f>
        <v>863000</v>
      </c>
      <c r="BW93" s="101" t="s">
        <v>487</v>
      </c>
      <c r="BX93" s="101">
        <f t="shared" si="172"/>
        <v>863000</v>
      </c>
      <c r="BY93" s="94">
        <f>SUMIFS('Federal Data'!AL2:AL501,'Federal Data'!$G2:$G501,"Other Health",'Federal Data'!$D2:$D501,"Nongrant")</f>
        <v>286000</v>
      </c>
      <c r="BZ93" s="101" t="s">
        <v>487</v>
      </c>
      <c r="CA93" s="101">
        <f t="shared" si="173"/>
        <v>286000</v>
      </c>
      <c r="CB93" s="94">
        <f>SUMIFS('Federal Data'!AM2:AM501,'Federal Data'!$G2:$G501,"Other Health",'Federal Data'!$D2:$D501,"Nongrant")</f>
        <v>340000</v>
      </c>
      <c r="CC93" s="101" t="s">
        <v>487</v>
      </c>
      <c r="CD93" s="101">
        <f t="shared" si="174"/>
        <v>340000</v>
      </c>
      <c r="CE93" s="94">
        <f>SUMIFS('Federal Data'!AN2:AN501,'Federal Data'!$G2:$G501,"Other Health",'Federal Data'!$D2:$D501,"Nongrant")</f>
        <v>277000</v>
      </c>
      <c r="CF93" s="101" t="s">
        <v>487</v>
      </c>
      <c r="CG93" s="101">
        <f t="shared" si="175"/>
        <v>277000</v>
      </c>
      <c r="CH93" s="94">
        <f>SUMIFS('Federal Data'!AO2:AO501,'Federal Data'!$G2:$G501,"Other Health",'Federal Data'!$D2:$D501,"Nongrant")</f>
        <v>286000</v>
      </c>
      <c r="CI93" s="101" t="s">
        <v>487</v>
      </c>
      <c r="CJ93" s="101">
        <f t="shared" si="176"/>
        <v>286000</v>
      </c>
      <c r="CK93" s="94">
        <f>SUMIFS('Federal Data'!AP2:AP501,'Federal Data'!$G2:$G501,"Other Health",'Federal Data'!$D2:$D501,"Nongrant")</f>
        <v>151000</v>
      </c>
      <c r="CL93" s="101" t="s">
        <v>487</v>
      </c>
      <c r="CM93" s="101">
        <f t="shared" si="177"/>
        <v>151000</v>
      </c>
      <c r="CN93" s="94">
        <f>SUMIFS('Federal Data'!AQ2:AQ501,'Federal Data'!$G2:$G501,"Other Health",'Federal Data'!$D2:$D501,"Nongrant")</f>
        <v>256000</v>
      </c>
      <c r="CO93" s="101" t="s">
        <v>487</v>
      </c>
      <c r="CP93" s="101">
        <f t="shared" si="178"/>
        <v>256000</v>
      </c>
      <c r="CQ93" s="94">
        <f>SUMIFS('Federal Data'!AR2:AR501,'Federal Data'!$G2:$G501,"Other Health",'Federal Data'!$D2:$D501,"Nongrant")</f>
        <v>620000</v>
      </c>
      <c r="CR93" s="101" t="s">
        <v>487</v>
      </c>
      <c r="CS93" s="101">
        <f t="shared" si="179"/>
        <v>620000</v>
      </c>
      <c r="CT93" s="94">
        <f>SUMIFS('Federal Data'!AS2:AS501,'Federal Data'!$G2:$G501,"Other Health",'Federal Data'!$D2:$D501,"Nongrant")</f>
        <v>907000</v>
      </c>
      <c r="CU93" s="101" t="s">
        <v>487</v>
      </c>
      <c r="CV93" s="101">
        <f t="shared" si="180"/>
        <v>907000</v>
      </c>
      <c r="CW93" s="94">
        <f>SUMIFS('Federal Data'!AT2:AT501,'Federal Data'!$G2:$G501,"Other Health",'Federal Data'!$D2:$D501,"Nongrant")</f>
        <v>863000</v>
      </c>
      <c r="CX93" s="101" t="s">
        <v>487</v>
      </c>
      <c r="CY93" s="101">
        <f t="shared" si="181"/>
        <v>863000</v>
      </c>
      <c r="CZ93" s="94">
        <f>SUMIFS('Federal Data'!AU2:AU501,'Federal Data'!$G2:$G501,"Other Health",'Federal Data'!$D2:$D501,"Nongrant")</f>
        <v>1301000</v>
      </c>
      <c r="DA93" s="101" t="s">
        <v>487</v>
      </c>
      <c r="DB93" s="101">
        <f t="shared" si="182"/>
        <v>1301000</v>
      </c>
      <c r="DC93" s="37">
        <f>SUMIFS('Federal Data'!AV2:AV501,'Federal Data'!$G2:$G501,"Other Health",'Federal Data'!$D2:$D501,"Nongrant")</f>
        <v>932000</v>
      </c>
      <c r="DD93" s="85" t="s">
        <v>487</v>
      </c>
      <c r="DE93" s="85">
        <f t="shared" si="183"/>
        <v>932000</v>
      </c>
    </row>
    <row r="94" spans="1:109" outlineLevel="1">
      <c r="A94" s="28" t="s">
        <v>39</v>
      </c>
      <c r="B94" s="94">
        <f>SUMIFS('Federal Data'!M2:M501,'Federal Data'!$F2:$F501,"Standard of Living and Aid to the Disadvantaged",'Federal Data'!$D2:$D501,"Nongrant")</f>
        <v>41803866</v>
      </c>
      <c r="C94" s="101">
        <f>'State and Local P&amp;L (detailed)'!$C$57</f>
        <v>41036377</v>
      </c>
      <c r="D94" s="101">
        <f t="shared" si="148"/>
        <v>82840243</v>
      </c>
      <c r="E94" s="94">
        <f>SUMIFS('Federal Data'!N2:N501,'Federal Data'!$F2:$F501,"Standard of Living and Aid to the Disadvantaged",'Federal Data'!$D2:$D501,"Nongrant")</f>
        <v>47743036</v>
      </c>
      <c r="F94" s="101">
        <f>'State and Local P&amp;L (detailed)'!$D$57</f>
        <v>47152049</v>
      </c>
      <c r="G94" s="101">
        <f t="shared" si="149"/>
        <v>94895085</v>
      </c>
      <c r="H94" s="94">
        <f>SUMIFS('Federal Data'!O2:O501,'Federal Data'!$F2:$F501,"Standard of Living and Aid to the Disadvantaged",'Federal Data'!$D2:$D501,"Nongrant")</f>
        <v>50373810</v>
      </c>
      <c r="I94" s="101">
        <f>'State and Local P&amp;L (detailed)'!$E$57</f>
        <v>51143382</v>
      </c>
      <c r="J94" s="101">
        <f t="shared" si="150"/>
        <v>101517192</v>
      </c>
      <c r="K94" s="94">
        <f>SUMIFS('Federal Data'!P2:P501,'Federal Data'!$F2:$F501,"Standard of Living and Aid to the Disadvantaged",'Federal Data'!$D2:$D501,"Nongrant")</f>
        <v>61653459</v>
      </c>
      <c r="L94" s="101">
        <f>'State and Local P&amp;L (detailed)'!$F$57</f>
        <v>54122141</v>
      </c>
      <c r="M94" s="101">
        <f t="shared" si="151"/>
        <v>115775600</v>
      </c>
      <c r="N94" s="94">
        <f>SUMIFS('Federal Data'!Q2:Q501,'Federal Data'!$F2:$F501,"Standard of Living and Aid to the Disadvantaged",'Federal Data'!$D2:$D501,"Nongrant")</f>
        <v>49079344</v>
      </c>
      <c r="O94" s="101">
        <f>'State and Local P&amp;L (detailed)'!$G$57</f>
        <v>58904656</v>
      </c>
      <c r="P94" s="101">
        <f t="shared" si="152"/>
        <v>107984000</v>
      </c>
      <c r="Q94" s="94">
        <f>SUMIFS('Federal Data'!R2:R501,'Federal Data'!$F2:$F501,"Standard of Living and Aid to the Disadvantaged",'Federal Data'!$D2:$D501,"Nongrant")</f>
        <v>63057984</v>
      </c>
      <c r="R94" s="101">
        <f>'State and Local P&amp;L (detailed)'!$H$57</f>
        <v>63107378</v>
      </c>
      <c r="S94" s="101">
        <f t="shared" si="153"/>
        <v>126165362</v>
      </c>
      <c r="T94" s="94">
        <f>SUMIFS('Federal Data'!S2:S501,'Federal Data'!$F2:$F501,"Standard of Living and Aid to the Disadvantaged",'Federal Data'!$D2:$D501,"Nongrant")</f>
        <v>50672760</v>
      </c>
      <c r="U94" s="101">
        <f>'State and Local P&amp;L (detailed)'!$I$57</f>
        <v>67816304</v>
      </c>
      <c r="V94" s="101">
        <f t="shared" si="154"/>
        <v>118489064</v>
      </c>
      <c r="W94" s="94">
        <f>SUMIFS('Federal Data'!T2:T501,'Federal Data'!$F2:$F501,"Standard of Living and Aid to the Disadvantaged",'Federal Data'!$D2:$D501,"Nongrant")</f>
        <v>50835811</v>
      </c>
      <c r="X94" s="101">
        <f>'State and Local P&amp;L (detailed)'!$J$57</f>
        <v>72744829</v>
      </c>
      <c r="Y94" s="101">
        <f t="shared" si="155"/>
        <v>123580640</v>
      </c>
      <c r="Z94" s="94">
        <f>SUMIFS('Federal Data'!U2:U501,'Federal Data'!$F2:$F501,"Standard of Living and Aid to the Disadvantaged",'Federal Data'!$D2:$D501,"Nongrant")</f>
        <v>52978450</v>
      </c>
      <c r="AA94" s="101">
        <f>'State and Local P&amp;L (detailed)'!$K$57</f>
        <v>78966351</v>
      </c>
      <c r="AB94" s="101">
        <f t="shared" si="156"/>
        <v>131944801</v>
      </c>
      <c r="AC94" s="94">
        <f>SUMIFS('Federal Data'!V2:V501,'Federal Data'!$F2:$F501,"Standard of Living and Aid to the Disadvantaged",'Federal Data'!$D2:$D501,"Nongrant")</f>
        <v>56919193</v>
      </c>
      <c r="AD94" s="101">
        <f>'State and Local P&amp;L (detailed)'!$L$57</f>
        <v>86758497</v>
      </c>
      <c r="AE94" s="101">
        <f t="shared" si="157"/>
        <v>143677690</v>
      </c>
      <c r="AF94" s="94">
        <f>SUMIFS('Federal Data'!W2:W501,'Federal Data'!$F2:$F501,"Standard of Living and Aid to the Disadvantaged",'Federal Data'!$D2:$D501,"Nongrant")</f>
        <v>63194087</v>
      </c>
      <c r="AG94" s="101">
        <f>'State and Local P&amp;L (detailed)'!$M$57</f>
        <v>97475447</v>
      </c>
      <c r="AH94" s="101">
        <f t="shared" si="158"/>
        <v>160669534</v>
      </c>
      <c r="AI94" s="94">
        <f>SUMIFS('Federal Data'!X2:X501,'Federal Data'!$F2:$F501,"Standard of Living and Aid to the Disadvantaged",'Federal Data'!$D2:$D501,"Nongrant")</f>
        <v>79555766</v>
      </c>
      <c r="AJ94" s="101">
        <f>'State and Local P&amp;L (detailed)'!$N$57</f>
        <v>115643660</v>
      </c>
      <c r="AK94" s="101">
        <f t="shared" si="159"/>
        <v>195199426</v>
      </c>
      <c r="AL94" s="94">
        <f>SUMIFS('Federal Data'!Y2:Y501,'Federal Data'!$F2:$F501,"Standard of Living and Aid to the Disadvantaged",'Federal Data'!$D2:$D501,"Nongrant")</f>
        <v>101511449</v>
      </c>
      <c r="AM94" s="101">
        <f>'State and Local P&amp;L (detailed)'!$O$57</f>
        <v>157601418</v>
      </c>
      <c r="AN94" s="101">
        <f t="shared" si="160"/>
        <v>259112867</v>
      </c>
      <c r="AO94" s="94">
        <f>SUMIFS('Federal Data'!Z2:Z501,'Federal Data'!$F2:$F501,"Standard of Living and Aid to the Disadvantaged",'Federal Data'!$D2:$D501,"Nongrant")</f>
        <v>108299385</v>
      </c>
      <c r="AP94" s="101">
        <f>'State and Local P&amp;L (detailed)'!$P$57</f>
        <v>169728564</v>
      </c>
      <c r="AQ94" s="101">
        <f t="shared" si="161"/>
        <v>278027949</v>
      </c>
      <c r="AR94" s="94">
        <f>SUMIFS('Federal Data'!AA2:AA501,'Federal Data'!$F2:$F501,"Standard of Living and Aid to the Disadvantaged",'Federal Data'!$D2:$D501,"Nongrant")</f>
        <v>106248480</v>
      </c>
      <c r="AS94" s="101">
        <f>'State and Local P&amp;L (detailed)'!$Q$57</f>
        <v>182169545</v>
      </c>
      <c r="AT94" s="101">
        <f t="shared" si="162"/>
        <v>288418025</v>
      </c>
      <c r="AU94" s="94">
        <f>SUMIFS('Federal Data'!AB2:AB501,'Federal Data'!$F2:$F501,"Standard of Living and Aid to the Disadvantaged",'Federal Data'!$D2:$D501,"Nongrant")</f>
        <v>105649000</v>
      </c>
      <c r="AV94" s="101">
        <f>'State and Local P&amp;L (detailed)'!$R$57</f>
        <v>193698359</v>
      </c>
      <c r="AW94" s="101">
        <f t="shared" si="163"/>
        <v>299347359</v>
      </c>
      <c r="AX94" s="94">
        <f>SUMIFS('Federal Data'!AC2:AC501,'Federal Data'!$F2:$F501,"Standard of Living and Aid to the Disadvantaged",'Federal Data'!$D2:$D501,"Nongrant")</f>
        <v>110275000</v>
      </c>
      <c r="AY94" s="101">
        <f>'State and Local P&amp;L (detailed)'!$S$57</f>
        <v>194158213</v>
      </c>
      <c r="AZ94" s="101">
        <f t="shared" si="164"/>
        <v>304433213</v>
      </c>
      <c r="BA94" s="94">
        <f>SUMIFS('Federal Data'!AD2:AD501,'Federal Data'!$F2:$F501,"Standard of Living and Aid to the Disadvantaged",'Federal Data'!$D2:$D501,"Nongrant")</f>
        <v>111621000</v>
      </c>
      <c r="BB94" s="101">
        <f>'State and Local P&amp;L (detailed)'!$T$57</f>
        <v>198814531</v>
      </c>
      <c r="BC94" s="101">
        <f t="shared" si="165"/>
        <v>310435531</v>
      </c>
      <c r="BD94" s="94">
        <f>SUMIFS('Federal Data'!AE2:AE501,'Federal Data'!$F2:$F501,"Standard of Living and Aid to the Disadvantaged",'Federal Data'!$D2:$D501,"Nongrant")</f>
        <v>109628000</v>
      </c>
      <c r="BE94" s="101">
        <f>'State and Local P&amp;L (detailed)'!$U$57</f>
        <v>200006189</v>
      </c>
      <c r="BF94" s="101">
        <f t="shared" si="166"/>
        <v>309634189</v>
      </c>
      <c r="BG94" s="94">
        <f>SUMIFS('Federal Data'!AF2:AF501,'Federal Data'!$F2:$F501,"Standard of Living and Aid to the Disadvantaged",'Federal Data'!$D2:$D501,"Nongrant")</f>
        <v>110893000</v>
      </c>
      <c r="BH94" s="101">
        <f>'State and Local P&amp;L (detailed)'!$V$57</f>
        <v>207762277</v>
      </c>
      <c r="BI94" s="101">
        <f t="shared" si="167"/>
        <v>318655277</v>
      </c>
      <c r="BJ94" s="94">
        <f>SUMIFS('Federal Data'!AG2:AG501,'Federal Data'!$F2:$F501,"Standard of Living and Aid to the Disadvantaged",'Federal Data'!$D2:$D501,"Nongrant")</f>
        <v>117245000</v>
      </c>
      <c r="BK94" s="101">
        <f>'State and Local P&amp;L (detailed)'!$W$57</f>
        <v>222942263</v>
      </c>
      <c r="BL94" s="101">
        <f t="shared" si="168"/>
        <v>340187263</v>
      </c>
      <c r="BM94" s="94">
        <f>SUMIFS('Federal Data'!AH2:AH501,'Federal Data'!$F2:$F501,"Standard of Living and Aid to the Disadvantaged",'Federal Data'!$D2:$D501,"Nongrant")</f>
        <v>123204000</v>
      </c>
      <c r="BN94" s="101">
        <f>'State and Local P&amp;L (detailed)'!$X$57</f>
        <v>244357765</v>
      </c>
      <c r="BO94" s="101">
        <f t="shared" si="169"/>
        <v>367561765</v>
      </c>
      <c r="BP94" s="94">
        <f>SUMIFS('Federal Data'!AI2:AI501,'Federal Data'!$F2:$F501,"Standard of Living and Aid to the Disadvantaged",'Federal Data'!$D2:$D501,"Nongrant")</f>
        <v>160930000</v>
      </c>
      <c r="BQ94" s="101">
        <f>'State and Local P&amp;L (detailed)'!$Y$57</f>
        <v>267935264</v>
      </c>
      <c r="BR94" s="101">
        <f t="shared" si="170"/>
        <v>428865264</v>
      </c>
      <c r="BS94" s="94">
        <f>SUMIFS('Federal Data'!AJ2:AJ501,'Federal Data'!$F2:$F501,"Standard of Living and Aid to the Disadvantaged",'Federal Data'!$D2:$D501,"Nongrant")</f>
        <v>176694000</v>
      </c>
      <c r="BT94" s="101">
        <f>'State and Local P&amp;L (detailed)'!$Z$57</f>
        <v>294434904</v>
      </c>
      <c r="BU94" s="101">
        <f t="shared" si="171"/>
        <v>471128904</v>
      </c>
      <c r="BV94" s="94">
        <f>SUMIFS('Federal Data'!AK2:AK501,'Federal Data'!$F2:$F501,"Standard of Living and Aid to the Disadvantaged",'Federal Data'!$D2:$D501,"Nongrant")</f>
        <v>173820000</v>
      </c>
      <c r="BW94" s="101">
        <f>'State and Local P&amp;L (detailed)'!$AA$57</f>
        <v>326009195</v>
      </c>
      <c r="BX94" s="101">
        <f t="shared" si="172"/>
        <v>499829195</v>
      </c>
      <c r="BY94" s="94">
        <f>SUMIFS('Federal Data'!AL2:AL501,'Federal Data'!$F2:$F501,"Standard of Living and Aid to the Disadvantaged",'Federal Data'!$D2:$D501,"Nongrant")</f>
        <v>177335000</v>
      </c>
      <c r="BZ94" s="101">
        <f>'State and Local P&amp;L (detailed)'!$AB$57</f>
        <v>356883952</v>
      </c>
      <c r="CA94" s="101">
        <f t="shared" si="173"/>
        <v>534218952</v>
      </c>
      <c r="CB94" s="94">
        <f>SUMIFS('Federal Data'!AM2:AM501,'Federal Data'!$F2:$F501,"Standard of Living and Aid to the Disadvantaged",'Federal Data'!$D2:$D501,"Nongrant")</f>
        <v>180946000</v>
      </c>
      <c r="CC94" s="101">
        <f>'State and Local P&amp;L (detailed)'!$AC$57</f>
        <v>355301306</v>
      </c>
      <c r="CD94" s="101">
        <f t="shared" si="174"/>
        <v>536247306</v>
      </c>
      <c r="CE94" s="94">
        <f>SUMIFS('Federal Data'!AN2:AN501,'Federal Data'!$F2:$F501,"Standard of Living and Aid to the Disadvantaged",'Federal Data'!$D2:$D501,"Nongrant")</f>
        <v>185955000</v>
      </c>
      <c r="CF94" s="101">
        <f>'State and Local P&amp;L (detailed)'!$AD$57</f>
        <v>376942437</v>
      </c>
      <c r="CG94" s="101">
        <f t="shared" si="175"/>
        <v>562897437</v>
      </c>
      <c r="CH94" s="94">
        <f>SUMIFS('Federal Data'!AO2:AO501,'Federal Data'!$F2:$F501,"Standard of Living and Aid to the Disadvantaged",'Federal Data'!$D2:$D501,"Nongrant")</f>
        <v>242028000</v>
      </c>
      <c r="CI94" s="101">
        <f>'State and Local P&amp;L (detailed)'!$AE$57</f>
        <v>396298617</v>
      </c>
      <c r="CJ94" s="101">
        <f t="shared" si="176"/>
        <v>638326617</v>
      </c>
      <c r="CK94" s="94">
        <f>SUMIFS('Federal Data'!AP2:AP501,'Federal Data'!$F2:$F501,"Standard of Living and Aid to the Disadvantaged",'Federal Data'!$D2:$D501,"Nongrant")</f>
        <v>335409000</v>
      </c>
      <c r="CL94" s="101">
        <f>'State and Local P&amp;L (detailed)'!$AF$57</f>
        <v>419461488</v>
      </c>
      <c r="CM94" s="101">
        <f t="shared" si="177"/>
        <v>754870488</v>
      </c>
      <c r="CN94" s="94">
        <f>SUMIFS('Federal Data'!AQ2:AQ501,'Federal Data'!$F2:$F501,"Standard of Living and Aid to the Disadvantaged",'Federal Data'!$D2:$D501,"Nongrant")</f>
        <v>428174000</v>
      </c>
      <c r="CO94" s="101">
        <f>'State and Local P&amp;L (detailed)'!$AG$57</f>
        <v>452619849</v>
      </c>
      <c r="CP94" s="101">
        <f t="shared" si="178"/>
        <v>880793849</v>
      </c>
      <c r="CQ94" s="94">
        <f>SUMIFS('Federal Data'!AR2:AR501,'Federal Data'!$F2:$F501,"Standard of Living and Aid to the Disadvantaged",'Federal Data'!$D2:$D501,"Nongrant")</f>
        <v>402668000</v>
      </c>
      <c r="CR94" s="101">
        <f>'State and Local P&amp;L (detailed)'!$AH$57</f>
        <v>488378697</v>
      </c>
      <c r="CS94" s="101">
        <f t="shared" si="179"/>
        <v>891046697</v>
      </c>
      <c r="CT94" s="94">
        <f>SUMIFS('Federal Data'!AS2:AS501,'Federal Data'!$F2:$F501,"Standard of Living and Aid to the Disadvantaged",'Federal Data'!$D2:$D501,"Nongrant")</f>
        <v>353681000</v>
      </c>
      <c r="CU94" s="101">
        <f>'State and Local P&amp;L (detailed)'!$AI$57</f>
        <v>487911571</v>
      </c>
      <c r="CV94" s="101">
        <f t="shared" si="180"/>
        <v>841592571</v>
      </c>
      <c r="CW94" s="94">
        <f>SUMIFS('Federal Data'!AT2:AT501,'Federal Data'!$F2:$F501,"Standard of Living and Aid to the Disadvantaged",'Federal Data'!$D2:$D501,"Nongrant")</f>
        <v>339038000</v>
      </c>
      <c r="CX94" s="101">
        <f>'State and Local P&amp;L (detailed)'!$AJ$57</f>
        <v>513524594</v>
      </c>
      <c r="CY94" s="101">
        <f t="shared" si="181"/>
        <v>852562594</v>
      </c>
      <c r="CZ94" s="94">
        <f>SUMIFS('Federal Data'!AU2:AU501,'Federal Data'!$F2:$F501,"Standard of Living and Aid to the Disadvantaged",'Federal Data'!$D2:$D501,"Nongrant")</f>
        <v>324692000</v>
      </c>
      <c r="DA94" s="101">
        <f>'State and Local P&amp;L (detailed)'!$AK$57</f>
        <v>537179646</v>
      </c>
      <c r="DB94" s="101">
        <f t="shared" si="182"/>
        <v>861871646</v>
      </c>
      <c r="DC94" s="37">
        <f>SUMIFS('Federal Data'!AV2:AV501,'Federal Data'!$F2:$F501,"Standard of Living and Aid to the Disadvantaged",'Federal Data'!$D2:$D501,"Nongrant")</f>
        <v>337492000</v>
      </c>
      <c r="DD94" s="85">
        <f>'State and Local P&amp;L (detailed)'!$AL$57</f>
        <v>0</v>
      </c>
      <c r="DE94" s="85">
        <f t="shared" si="183"/>
        <v>337492000</v>
      </c>
    </row>
    <row r="95" spans="1:109" outlineLevel="2">
      <c r="A95" s="29" t="s">
        <v>60</v>
      </c>
      <c r="B95" s="94">
        <f>SUMIFS('Federal Data'!M2:M501,'Federal Data'!$G2:$G501,"Cash Programs",'Federal Data'!$D2:$D501,"Nongrant")</f>
        <v>7676958</v>
      </c>
      <c r="C95" s="101">
        <f>'State and Local P&amp;L (detailed)'!$C$58</f>
        <v>12921675</v>
      </c>
      <c r="D95" s="101">
        <f t="shared" si="148"/>
        <v>20598633</v>
      </c>
      <c r="E95" s="94">
        <f>SUMIFS('Federal Data'!N2:N501,'Federal Data'!$G2:$G501,"Cash Programs",'Federal Data'!$D2:$D501,"Nongrant")</f>
        <v>8549660</v>
      </c>
      <c r="F95" s="101">
        <f>'State and Local P&amp;L (detailed)'!$D$58</f>
        <v>14349965</v>
      </c>
      <c r="G95" s="101">
        <f t="shared" si="149"/>
        <v>22899625</v>
      </c>
      <c r="H95" s="94">
        <f>SUMIFS('Federal Data'!O2:O501,'Federal Data'!$G2:$G501,"Cash Programs",'Federal Data'!$D2:$D501,"Nongrant")</f>
        <v>8991879</v>
      </c>
      <c r="I95" s="101">
        <f>'State and Local P&amp;L (detailed)'!$E$58</f>
        <v>14680016</v>
      </c>
      <c r="J95" s="101">
        <f t="shared" si="150"/>
        <v>23671895</v>
      </c>
      <c r="K95" s="94">
        <f>SUMIFS('Federal Data'!P2:P501,'Federal Data'!$G2:$G501,"Cash Programs",'Federal Data'!$D2:$D501,"Nongrant")</f>
        <v>9943953</v>
      </c>
      <c r="L95" s="101">
        <f>'State and Local P&amp;L (detailed)'!$F$58</f>
        <v>15892901</v>
      </c>
      <c r="M95" s="101">
        <f t="shared" si="151"/>
        <v>25836854</v>
      </c>
      <c r="N95" s="94">
        <f>SUMIFS('Federal Data'!Q2:Q501,'Federal Data'!$G2:$G501,"Cash Programs",'Federal Data'!$D2:$D501,"Nongrant")</f>
        <v>9699085</v>
      </c>
      <c r="O95" s="101">
        <f>'State and Local P&amp;L (detailed)'!$G$58</f>
        <v>16758966</v>
      </c>
      <c r="P95" s="101">
        <f t="shared" si="152"/>
        <v>26458051</v>
      </c>
      <c r="Q95" s="94">
        <f>SUMIFS('Federal Data'!R2:R501,'Federal Data'!$G2:$G501,"Cash Programs",'Federal Data'!$D2:$D501,"Nongrant")</f>
        <v>10727902</v>
      </c>
      <c r="R95" s="101">
        <f>'State and Local P&amp;L (detailed)'!$H$58</f>
        <v>17401338</v>
      </c>
      <c r="S95" s="101">
        <f t="shared" si="153"/>
        <v>28129240</v>
      </c>
      <c r="T95" s="94">
        <f>SUMIFS('Federal Data'!S2:S501,'Federal Data'!$G2:$G501,"Cash Programs",'Federal Data'!$D2:$D501,"Nongrant")</f>
        <v>11772510</v>
      </c>
      <c r="U95" s="101">
        <f>'State and Local P&amp;L (detailed)'!$I$58</f>
        <v>18864344</v>
      </c>
      <c r="V95" s="101">
        <f t="shared" si="154"/>
        <v>30636854</v>
      </c>
      <c r="W95" s="94">
        <f>SUMIFS('Federal Data'!T2:T501,'Federal Data'!$G2:$G501,"Cash Programs",'Federal Data'!$D2:$D501,"Nongrant")</f>
        <v>12332456</v>
      </c>
      <c r="X95" s="101">
        <f>'State and Local P&amp;L (detailed)'!$J$58</f>
        <v>19490624</v>
      </c>
      <c r="Y95" s="101">
        <f t="shared" si="155"/>
        <v>31823080</v>
      </c>
      <c r="Z95" s="94">
        <f>SUMIFS('Federal Data'!U2:U501,'Federal Data'!$G2:$G501,"Cash Programs",'Federal Data'!$D2:$D501,"Nongrant")</f>
        <v>15051338</v>
      </c>
      <c r="AA95" s="101">
        <f>'State and Local P&amp;L (detailed)'!$K$58</f>
        <v>19884027</v>
      </c>
      <c r="AB95" s="101">
        <f t="shared" si="156"/>
        <v>34935365</v>
      </c>
      <c r="AC95" s="94">
        <f>SUMIFS('Federal Data'!V2:V501,'Federal Data'!$G2:$G501,"Cash Programs",'Federal Data'!$D2:$D501,"Nongrant")</f>
        <v>16575491</v>
      </c>
      <c r="AD95" s="101">
        <f>'State and Local P&amp;L (detailed)'!$L$58</f>
        <v>20733771</v>
      </c>
      <c r="AE95" s="101">
        <f t="shared" si="157"/>
        <v>37309262</v>
      </c>
      <c r="AF95" s="94">
        <f>SUMIFS('Federal Data'!W2:W501,'Federal Data'!$G2:$G501,"Cash Programs",'Federal Data'!$D2:$D501,"Nongrant")</f>
        <v>16972185</v>
      </c>
      <c r="AG95" s="101">
        <f>'State and Local P&amp;L (detailed)'!$M$58</f>
        <v>22296127</v>
      </c>
      <c r="AH95" s="101">
        <f t="shared" si="158"/>
        <v>39268312</v>
      </c>
      <c r="AI95" s="94">
        <f>SUMIFS('Federal Data'!X2:X501,'Federal Data'!$G2:$G501,"Cash Programs",'Federal Data'!$D2:$D501,"Nongrant")</f>
        <v>20851416</v>
      </c>
      <c r="AJ95" s="101">
        <f>'State and Local P&amp;L (detailed)'!$N$58</f>
        <v>24920900</v>
      </c>
      <c r="AK95" s="101">
        <f t="shared" si="159"/>
        <v>45772316</v>
      </c>
      <c r="AL95" s="94">
        <f>SUMIFS('Federal Data'!Y2:Y501,'Federal Data'!$G2:$G501,"Cash Programs",'Federal Data'!$D2:$D501,"Nongrant")</f>
        <v>26198634</v>
      </c>
      <c r="AM95" s="101">
        <f>'State and Local P&amp;L (detailed)'!$O$58</f>
        <v>27250163</v>
      </c>
      <c r="AN95" s="101">
        <f t="shared" si="160"/>
        <v>53448797</v>
      </c>
      <c r="AO95" s="94">
        <f>SUMIFS('Federal Data'!Z2:Z501,'Federal Data'!$G2:$G501,"Cash Programs",'Federal Data'!$D2:$D501,"Nongrant")</f>
        <v>30721407</v>
      </c>
      <c r="AP95" s="101">
        <f>'State and Local P&amp;L (detailed)'!$P$58</f>
        <v>28451513</v>
      </c>
      <c r="AQ95" s="101">
        <f t="shared" si="161"/>
        <v>59172920</v>
      </c>
      <c r="AR95" s="94">
        <f>SUMIFS('Federal Data'!AA2:AA501,'Federal Data'!$G2:$G501,"Cash Programs",'Federal Data'!$D2:$D501,"Nongrant")</f>
        <v>36475132</v>
      </c>
      <c r="AS95" s="101">
        <f>'State and Local P&amp;L (detailed)'!$Q$58</f>
        <v>28314899</v>
      </c>
      <c r="AT95" s="101">
        <f t="shared" si="162"/>
        <v>64790031</v>
      </c>
      <c r="AU95" s="94">
        <f>SUMIFS('Federal Data'!AB2:AB501,'Federal Data'!$G2:$G501,"Cash Programs",'Federal Data'!$D2:$D501,"Nongrant")</f>
        <v>40852000</v>
      </c>
      <c r="AV95" s="101">
        <f>'State and Local P&amp;L (detailed)'!$R$58</f>
        <v>28800857</v>
      </c>
      <c r="AW95" s="101">
        <f t="shared" si="163"/>
        <v>69652857</v>
      </c>
      <c r="AX95" s="94">
        <f>SUMIFS('Federal Data'!AC2:AC501,'Federal Data'!$G2:$G501,"Cash Programs",'Federal Data'!$D2:$D501,"Nongrant")</f>
        <v>44093000</v>
      </c>
      <c r="AY95" s="101">
        <f>'State and Local P&amp;L (detailed)'!$S$58</f>
        <v>26930236</v>
      </c>
      <c r="AZ95" s="101">
        <f t="shared" si="164"/>
        <v>71023236</v>
      </c>
      <c r="BA95" s="94">
        <f>SUMIFS('Federal Data'!AD2:AD501,'Federal Data'!$G2:$G501,"Cash Programs",'Federal Data'!$D2:$D501,"Nongrant")</f>
        <v>49332000</v>
      </c>
      <c r="BB95" s="101">
        <f>'State and Local P&amp;L (detailed)'!$T$58</f>
        <v>24717265</v>
      </c>
      <c r="BC95" s="101">
        <f t="shared" si="165"/>
        <v>74049265</v>
      </c>
      <c r="BD95" s="94">
        <f>SUMIFS('Federal Data'!AE2:AE501,'Federal Data'!$G2:$G501,"Cash Programs",'Federal Data'!$D2:$D501,"Nongrant")</f>
        <v>51666000</v>
      </c>
      <c r="BE95" s="101">
        <f>'State and Local P&amp;L (detailed)'!$U$58</f>
        <v>22225581</v>
      </c>
      <c r="BF95" s="101">
        <f t="shared" si="166"/>
        <v>73891581</v>
      </c>
      <c r="BG95" s="94">
        <f>SUMIFS('Federal Data'!AF2:AF501,'Federal Data'!$G2:$G501,"Cash Programs",'Federal Data'!$D2:$D501,"Nongrant")</f>
        <v>55370000</v>
      </c>
      <c r="BH95" s="101">
        <f>'State and Local P&amp;L (detailed)'!$V$58</f>
        <v>21410391</v>
      </c>
      <c r="BI95" s="101">
        <f t="shared" si="167"/>
        <v>76780391</v>
      </c>
      <c r="BJ95" s="94">
        <f>SUMIFS('Federal Data'!AG2:AG501,'Federal Data'!$G2:$G501,"Cash Programs",'Federal Data'!$D2:$D501,"Nongrant")</f>
        <v>58876000</v>
      </c>
      <c r="BK95" s="101">
        <f>'State and Local P&amp;L (detailed)'!$W$58</f>
        <v>20661502</v>
      </c>
      <c r="BL95" s="101">
        <f t="shared" si="168"/>
        <v>79537502</v>
      </c>
      <c r="BM95" s="94">
        <f>SUMIFS('Federal Data'!AH2:AH501,'Federal Data'!$G2:$G501,"Cash Programs",'Federal Data'!$D2:$D501,"Nongrant")</f>
        <v>55514000</v>
      </c>
      <c r="BN95" s="101">
        <f>'State and Local P&amp;L (detailed)'!$X$58</f>
        <v>20313467</v>
      </c>
      <c r="BO95" s="101">
        <f t="shared" si="169"/>
        <v>75827467</v>
      </c>
      <c r="BP95" s="94">
        <f>SUMIFS('Federal Data'!AI2:AI501,'Federal Data'!$G2:$G501,"Cash Programs",'Federal Data'!$D2:$D501,"Nongrant")</f>
        <v>64840000</v>
      </c>
      <c r="BQ95" s="101">
        <f>'State and Local P&amp;L (detailed)'!$Y$58</f>
        <v>19447300</v>
      </c>
      <c r="BR95" s="101">
        <f t="shared" si="170"/>
        <v>84287300</v>
      </c>
      <c r="BS95" s="94">
        <f>SUMIFS('Federal Data'!AJ2:AJ501,'Federal Data'!$G2:$G501,"Cash Programs",'Federal Data'!$D2:$D501,"Nongrant")</f>
        <v>71541000</v>
      </c>
      <c r="BT95" s="101">
        <f>'State and Local P&amp;L (detailed)'!$Z$58</f>
        <v>20660581</v>
      </c>
      <c r="BU95" s="101">
        <f t="shared" si="171"/>
        <v>92201581</v>
      </c>
      <c r="BV95" s="94">
        <f>SUMIFS('Federal Data'!AK2:AK501,'Federal Data'!$G2:$G501,"Cash Programs",'Federal Data'!$D2:$D501,"Nongrant")</f>
        <v>75991000</v>
      </c>
      <c r="BW95" s="101">
        <f>'State and Local P&amp;L (detailed)'!$AA$58</f>
        <v>21351725</v>
      </c>
      <c r="BX95" s="101">
        <f t="shared" si="172"/>
        <v>97342725</v>
      </c>
      <c r="BY95" s="94">
        <f>SUMIFS('Federal Data'!AL2:AL501,'Federal Data'!$G2:$G501,"Cash Programs",'Federal Data'!$D2:$D501,"Nongrant")</f>
        <v>87278000</v>
      </c>
      <c r="BZ95" s="101">
        <f>'State and Local P&amp;L (detailed)'!$AB$58</f>
        <v>19986556</v>
      </c>
      <c r="CA95" s="101">
        <f t="shared" si="173"/>
        <v>107264556</v>
      </c>
      <c r="CB95" s="94">
        <f>SUMIFS('Federal Data'!AM2:AM501,'Federal Data'!$G2:$G501,"Cash Programs",'Federal Data'!$D2:$D501,"Nongrant")</f>
        <v>88909000</v>
      </c>
      <c r="CC95" s="101">
        <f>'State and Local P&amp;L (detailed)'!$AC$58</f>
        <v>19823742</v>
      </c>
      <c r="CD95" s="101">
        <f t="shared" si="174"/>
        <v>108732742</v>
      </c>
      <c r="CE95" s="94">
        <f>SUMIFS('Federal Data'!AN2:AN501,'Federal Data'!$G2:$G501,"Cash Programs",'Federal Data'!$D2:$D501,"Nongrant")</f>
        <v>90154000</v>
      </c>
      <c r="CF95" s="101">
        <f>'State and Local P&amp;L (detailed)'!$AD$58</f>
        <v>20019640</v>
      </c>
      <c r="CG95" s="101">
        <f t="shared" si="175"/>
        <v>110173640</v>
      </c>
      <c r="CH95" s="94">
        <f>SUMIFS('Federal Data'!AO2:AO501,'Federal Data'!$G2:$G501,"Cash Programs",'Federal Data'!$D2:$D501,"Nongrant")</f>
        <v>129370000</v>
      </c>
      <c r="CI95" s="101">
        <f>'State and Local P&amp;L (detailed)'!$AE$58</f>
        <v>20629632</v>
      </c>
      <c r="CJ95" s="101">
        <f t="shared" si="176"/>
        <v>149999632</v>
      </c>
      <c r="CK95" s="94">
        <f>SUMIFS('Federal Data'!AP2:AP501,'Federal Data'!$G2:$G501,"Cash Programs",'Federal Data'!$D2:$D501,"Nongrant")</f>
        <v>114085000</v>
      </c>
      <c r="CL95" s="101">
        <f>'State and Local P&amp;L (detailed)'!$AF$58</f>
        <v>21825056</v>
      </c>
      <c r="CM95" s="101">
        <f t="shared" si="177"/>
        <v>135910056</v>
      </c>
      <c r="CN95" s="94">
        <f>SUMIFS('Federal Data'!AQ2:AQ501,'Federal Data'!$G2:$G501,"Cash Programs",'Federal Data'!$D2:$D501,"Nongrant")</f>
        <v>138749000</v>
      </c>
      <c r="CO95" s="101">
        <f>'State and Local P&amp;L (detailed)'!$AG$58</f>
        <v>22643938</v>
      </c>
      <c r="CP95" s="101">
        <f t="shared" si="178"/>
        <v>161392938</v>
      </c>
      <c r="CQ95" s="94">
        <f>SUMIFS('Federal Data'!AR2:AR501,'Federal Data'!$G2:$G501,"Cash Programs",'Federal Data'!$D2:$D501,"Nongrant")</f>
        <v>145473000</v>
      </c>
      <c r="CR95" s="101">
        <f>'State and Local P&amp;L (detailed)'!$AH$58</f>
        <v>23787302</v>
      </c>
      <c r="CS95" s="101">
        <f t="shared" si="179"/>
        <v>169260302</v>
      </c>
      <c r="CT95" s="94">
        <f>SUMIFS('Federal Data'!AS2:AS501,'Federal Data'!$G2:$G501,"Cash Programs",'Federal Data'!$D2:$D501,"Nongrant")</f>
        <v>125264000</v>
      </c>
      <c r="CU95" s="101">
        <f>'State and Local P&amp;L (detailed)'!$AI$58</f>
        <v>23106411</v>
      </c>
      <c r="CV95" s="101">
        <f t="shared" si="180"/>
        <v>148370411</v>
      </c>
      <c r="CW95" s="94">
        <f>SUMIFS('Federal Data'!AT2:AT501,'Federal Data'!$G2:$G501,"Cash Programs",'Federal Data'!$D2:$D501,"Nongrant")</f>
        <v>133653000</v>
      </c>
      <c r="CX95" s="101">
        <f>'State and Local P&amp;L (detailed)'!$AJ$58</f>
        <v>22593769</v>
      </c>
      <c r="CY95" s="101">
        <f t="shared" si="181"/>
        <v>156246769</v>
      </c>
      <c r="CZ95" s="94">
        <f>SUMIFS('Federal Data'!AU2:AU501,'Federal Data'!$G2:$G501,"Cash Programs",'Federal Data'!$D2:$D501,"Nongrant")</f>
        <v>137417000</v>
      </c>
      <c r="DA95" s="101">
        <f>'State and Local P&amp;L (detailed)'!$AK$58</f>
        <v>23384152</v>
      </c>
      <c r="DB95" s="101">
        <f t="shared" si="182"/>
        <v>160801152</v>
      </c>
      <c r="DC95" s="37">
        <f>SUMIFS('Federal Data'!AV2:AV501,'Federal Data'!$G2:$G501,"Cash Programs",'Federal Data'!$D2:$D501,"Nongrant")</f>
        <v>137502000</v>
      </c>
      <c r="DD95" s="85">
        <f>'State and Local P&amp;L (detailed)'!$AL$58</f>
        <v>0</v>
      </c>
      <c r="DE95" s="85">
        <f t="shared" si="183"/>
        <v>137502000</v>
      </c>
    </row>
    <row r="96" spans="1:109" outlineLevel="3">
      <c r="A96" s="31" t="s">
        <v>107</v>
      </c>
      <c r="B96" s="94">
        <f>SUMIFS('Federal Data'!M2:M501,'Federal Data'!$H2:$H501,"Child Tax Credit (Refundable portion)",'Federal Data'!$D2:$D501,"Nongrant")</f>
        <v>0</v>
      </c>
      <c r="C96" s="101" t="s">
        <v>487</v>
      </c>
      <c r="D96" s="101" t="s">
        <v>487</v>
      </c>
      <c r="E96" s="94">
        <f>SUMIFS('Federal Data'!N2:N501,'Federal Data'!$H2:$H501,"Child Tax Credit (Refundable portion)",'Federal Data'!$D2:$D501,"Nongrant")</f>
        <v>0</v>
      </c>
      <c r="F96" s="101" t="s">
        <v>487</v>
      </c>
      <c r="G96" s="101" t="s">
        <v>487</v>
      </c>
      <c r="H96" s="94">
        <f>SUMIFS('Federal Data'!O2:O501,'Federal Data'!$H2:$H501,"Child Tax Credit (Refundable portion)",'Federal Data'!$D2:$D501,"Nongrant")</f>
        <v>0</v>
      </c>
      <c r="I96" s="101" t="s">
        <v>487</v>
      </c>
      <c r="J96" s="101" t="s">
        <v>487</v>
      </c>
      <c r="K96" s="94">
        <f>SUMIFS('Federal Data'!P2:P501,'Federal Data'!$H2:$H501,"Child Tax Credit (Refundable portion)",'Federal Data'!$D2:$D501,"Nongrant")</f>
        <v>0</v>
      </c>
      <c r="L96" s="101" t="s">
        <v>487</v>
      </c>
      <c r="M96" s="101" t="s">
        <v>487</v>
      </c>
      <c r="N96" s="94">
        <f>SUMIFS('Federal Data'!Q2:Q501,'Federal Data'!$H2:$H501,"Child Tax Credit (Refundable portion)",'Federal Data'!$D2:$D501,"Nongrant")</f>
        <v>0</v>
      </c>
      <c r="O96" s="101" t="s">
        <v>487</v>
      </c>
      <c r="P96" s="101" t="s">
        <v>487</v>
      </c>
      <c r="Q96" s="94">
        <f>SUMIFS('Federal Data'!R2:R501,'Federal Data'!$H2:$H501,"Child Tax Credit (Refundable portion)",'Federal Data'!$D2:$D501,"Nongrant")</f>
        <v>0</v>
      </c>
      <c r="R96" s="101" t="s">
        <v>487</v>
      </c>
      <c r="S96" s="101" t="s">
        <v>487</v>
      </c>
      <c r="T96" s="94">
        <f>SUMIFS('Federal Data'!S2:S501,'Federal Data'!$H2:$H501,"Child Tax Credit (Refundable portion)",'Federal Data'!$D2:$D501,"Nongrant")</f>
        <v>0</v>
      </c>
      <c r="U96" s="101" t="s">
        <v>487</v>
      </c>
      <c r="V96" s="101" t="s">
        <v>487</v>
      </c>
      <c r="W96" s="94">
        <f>SUMIFS('Federal Data'!T2:T501,'Federal Data'!$H2:$H501,"Child Tax Credit (Refundable portion)",'Federal Data'!$D2:$D501,"Nongrant")</f>
        <v>0</v>
      </c>
      <c r="X96" s="101" t="s">
        <v>487</v>
      </c>
      <c r="Y96" s="101" t="s">
        <v>487</v>
      </c>
      <c r="Z96" s="94">
        <f>SUMIFS('Federal Data'!U2:U501,'Federal Data'!$H2:$H501,"Child Tax Credit (Refundable portion)",'Federal Data'!$D2:$D501,"Nongrant")</f>
        <v>0</v>
      </c>
      <c r="AA96" s="101" t="s">
        <v>487</v>
      </c>
      <c r="AB96" s="101" t="s">
        <v>487</v>
      </c>
      <c r="AC96" s="94">
        <f>SUMIFS('Federal Data'!V2:V501,'Federal Data'!$H2:$H501,"Child Tax Credit (Refundable portion)",'Federal Data'!$D2:$D501,"Nongrant")</f>
        <v>0</v>
      </c>
      <c r="AD96" s="101" t="s">
        <v>487</v>
      </c>
      <c r="AE96" s="101" t="s">
        <v>487</v>
      </c>
      <c r="AF96" s="94">
        <f>SUMIFS('Federal Data'!W2:W501,'Federal Data'!$H2:$H501,"Child Tax Credit (Refundable portion)",'Federal Data'!$D2:$D501,"Nongrant")</f>
        <v>0</v>
      </c>
      <c r="AG96" s="101" t="s">
        <v>487</v>
      </c>
      <c r="AH96" s="101" t="s">
        <v>487</v>
      </c>
      <c r="AI96" s="94">
        <f>SUMIFS('Federal Data'!X2:X501,'Federal Data'!$H2:$H501,"Child Tax Credit (Refundable portion)",'Federal Data'!$D2:$D501,"Nongrant")</f>
        <v>0</v>
      </c>
      <c r="AJ96" s="101" t="s">
        <v>487</v>
      </c>
      <c r="AK96" s="101" t="s">
        <v>487</v>
      </c>
      <c r="AL96" s="94">
        <f>SUMIFS('Federal Data'!Y2:Y501,'Federal Data'!$H2:$H501,"Child Tax Credit (Refundable portion)",'Federal Data'!$D2:$D501,"Nongrant")</f>
        <v>0</v>
      </c>
      <c r="AM96" s="101" t="s">
        <v>487</v>
      </c>
      <c r="AN96" s="101" t="s">
        <v>487</v>
      </c>
      <c r="AO96" s="94">
        <f>SUMIFS('Federal Data'!Z2:Z501,'Federal Data'!$H2:$H501,"Child Tax Credit (Refundable portion)",'Federal Data'!$D2:$D501,"Nongrant")</f>
        <v>0</v>
      </c>
      <c r="AP96" s="101" t="s">
        <v>487</v>
      </c>
      <c r="AQ96" s="101" t="s">
        <v>487</v>
      </c>
      <c r="AR96" s="94">
        <f>SUMIFS('Federal Data'!AA2:AA501,'Federal Data'!$H2:$H501,"Child Tax Credit (Refundable portion)",'Federal Data'!$D2:$D501,"Nongrant")</f>
        <v>0</v>
      </c>
      <c r="AS96" s="101" t="s">
        <v>487</v>
      </c>
      <c r="AT96" s="101" t="s">
        <v>487</v>
      </c>
      <c r="AU96" s="94">
        <f>SUMIFS('Federal Data'!AB2:AB501,'Federal Data'!$H2:$H501,"Child Tax Credit (Refundable portion)",'Federal Data'!$D2:$D501,"Nongrant")</f>
        <v>0</v>
      </c>
      <c r="AV96" s="101" t="s">
        <v>487</v>
      </c>
      <c r="AW96" s="101" t="s">
        <v>487</v>
      </c>
      <c r="AX96" s="94">
        <f>SUMIFS('Federal Data'!AC2:AC501,'Federal Data'!$H2:$H501,"Child Tax Credit (Refundable portion)",'Federal Data'!$D2:$D501,"Nongrant")</f>
        <v>0</v>
      </c>
      <c r="AY96" s="101" t="s">
        <v>487</v>
      </c>
      <c r="AZ96" s="101" t="s">
        <v>487</v>
      </c>
      <c r="BA96" s="94">
        <f>SUMIFS('Federal Data'!AD2:AD501,'Federal Data'!$H2:$H501,"Child Tax Credit (Refundable portion)",'Federal Data'!$D2:$D501,"Nongrant")</f>
        <v>0</v>
      </c>
      <c r="BB96" s="101" t="s">
        <v>487</v>
      </c>
      <c r="BC96" s="101" t="s">
        <v>487</v>
      </c>
      <c r="BD96" s="94">
        <f>SUMIFS('Federal Data'!AE2:AE501,'Federal Data'!$H2:$H501,"Child Tax Credit (Refundable portion)",'Federal Data'!$D2:$D501,"Nongrant")</f>
        <v>0</v>
      </c>
      <c r="BE96" s="101" t="s">
        <v>487</v>
      </c>
      <c r="BF96" s="101" t="s">
        <v>487</v>
      </c>
      <c r="BG96" s="94">
        <f>SUMIFS('Federal Data'!AF2:AF501,'Federal Data'!$H2:$H501,"Child Tax Credit (Refundable portion)",'Federal Data'!$D2:$D501,"Nongrant")</f>
        <v>445000</v>
      </c>
      <c r="BH96" s="101" t="s">
        <v>487</v>
      </c>
      <c r="BI96" s="101" t="s">
        <v>487</v>
      </c>
      <c r="BJ96" s="94">
        <f>SUMIFS('Federal Data'!AG2:AG501,'Federal Data'!$H2:$H501,"Child Tax Credit (Refundable portion)",'Federal Data'!$D2:$D501,"Nongrant")</f>
        <v>809000</v>
      </c>
      <c r="BK96" s="101" t="s">
        <v>487</v>
      </c>
      <c r="BL96" s="101" t="s">
        <v>487</v>
      </c>
      <c r="BM96" s="94">
        <f>SUMIFS('Federal Data'!AH2:AH501,'Federal Data'!$H2:$H501,"Child Tax Credit (Refundable portion)",'Federal Data'!$D2:$D501,"Nongrant")</f>
        <v>982000</v>
      </c>
      <c r="BN96" s="101" t="s">
        <v>487</v>
      </c>
      <c r="BO96" s="101" t="s">
        <v>487</v>
      </c>
      <c r="BP96" s="94">
        <f>SUMIFS('Federal Data'!AI2:AI501,'Federal Data'!$H2:$H501,"Child Tax Credit (Refundable portion)",'Federal Data'!$D2:$D501,"Nongrant")</f>
        <v>5060000</v>
      </c>
      <c r="BQ96" s="101" t="s">
        <v>487</v>
      </c>
      <c r="BR96" s="101" t="s">
        <v>487</v>
      </c>
      <c r="BS96" s="94">
        <f>SUMIFS('Federal Data'!AJ2:AJ501,'Federal Data'!$H2:$H501,"Child Tax Credit (Refundable portion)",'Federal Data'!$D2:$D501,"Nongrant")</f>
        <v>6435000</v>
      </c>
      <c r="BT96" s="101" t="s">
        <v>487</v>
      </c>
      <c r="BU96" s="101" t="s">
        <v>487</v>
      </c>
      <c r="BV96" s="94">
        <f>SUMIFS('Federal Data'!AK2:AK501,'Federal Data'!$H2:$H501,"Child Tax Credit (Refundable portion)",'Federal Data'!$D2:$D501,"Nongrant")</f>
        <v>8857000</v>
      </c>
      <c r="BW96" s="101" t="s">
        <v>487</v>
      </c>
      <c r="BX96" s="101" t="s">
        <v>487</v>
      </c>
      <c r="BY96" s="94">
        <f>SUMIFS('Federal Data'!AL2:AL501,'Federal Data'!$H2:$H501,"Child Tax Credit (Refundable portion)",'Federal Data'!$D2:$D501,"Nongrant")</f>
        <v>14624000</v>
      </c>
      <c r="BZ96" s="101" t="s">
        <v>487</v>
      </c>
      <c r="CA96" s="101" t="s">
        <v>487</v>
      </c>
      <c r="CB96" s="94">
        <f>SUMIFS('Federal Data'!AM2:AM501,'Federal Data'!$H2:$H501,"Child Tax Credit (Refundable portion)",'Federal Data'!$D2:$D501,"Nongrant")</f>
        <v>15473000</v>
      </c>
      <c r="CC96" s="101" t="s">
        <v>487</v>
      </c>
      <c r="CD96" s="101" t="s">
        <v>487</v>
      </c>
      <c r="CE96" s="94">
        <f>SUMIFS('Federal Data'!AN2:AN501,'Federal Data'!$H2:$H501,"Child Tax Credit (Refundable portion)",'Federal Data'!$D2:$D501,"Nongrant")</f>
        <v>16159000</v>
      </c>
      <c r="CF96" s="101" t="s">
        <v>487</v>
      </c>
      <c r="CG96" s="101" t="s">
        <v>487</v>
      </c>
      <c r="CH96" s="94">
        <f>SUMIFS('Federal Data'!AO2:AO501,'Federal Data'!$H2:$H501,"Child Tax Credit (Refundable portion)",'Federal Data'!$D2:$D501,"Nongrant")</f>
        <v>34019000</v>
      </c>
      <c r="CI96" s="101" t="s">
        <v>487</v>
      </c>
      <c r="CJ96" s="101" t="s">
        <v>487</v>
      </c>
      <c r="CK96" s="94">
        <f>SUMIFS('Federal Data'!AP2:AP501,'Federal Data'!$H2:$H501,"Child Tax Credit (Refundable portion)",'Federal Data'!$D2:$D501,"Nongrant")</f>
        <v>24284000</v>
      </c>
      <c r="CL96" s="101" t="s">
        <v>487</v>
      </c>
      <c r="CM96" s="101" t="s">
        <v>487</v>
      </c>
      <c r="CN96" s="94">
        <f>SUMIFS('Federal Data'!AQ2:AQ501,'Federal Data'!$H2:$H501,"Child Tax Credit (Refundable portion)",'Federal Data'!$D2:$D501,"Nongrant")</f>
        <v>22659000</v>
      </c>
      <c r="CO96" s="101" t="s">
        <v>487</v>
      </c>
      <c r="CP96" s="101" t="s">
        <v>487</v>
      </c>
      <c r="CQ96" s="94">
        <f>SUMIFS('Federal Data'!AR2:AR501,'Federal Data'!$H2:$H501,"Child Tax Credit (Refundable portion)",'Federal Data'!$D2:$D501,"Nongrant")</f>
        <v>22691000</v>
      </c>
      <c r="CR96" s="101" t="s">
        <v>487</v>
      </c>
      <c r="CS96" s="101" t="s">
        <v>487</v>
      </c>
      <c r="CT96" s="94">
        <f>SUMIFS('Federal Data'!AS2:AS501,'Federal Data'!$H2:$H501,"Child Tax Credit (Refundable portion)",'Federal Data'!$D2:$D501,"Nongrant")</f>
        <v>22106000</v>
      </c>
      <c r="CU96" s="101" t="s">
        <v>487</v>
      </c>
      <c r="CV96" s="101" t="s">
        <v>487</v>
      </c>
      <c r="CW96" s="94">
        <f>SUMIFS('Federal Data'!AT2:AT501,'Federal Data'!$H2:$H501,"Child Tax Credit (Refundable portion)",'Federal Data'!$D2:$D501,"Nongrant")</f>
        <v>21608000</v>
      </c>
      <c r="CX96" s="101" t="s">
        <v>487</v>
      </c>
      <c r="CY96" s="101" t="s">
        <v>487</v>
      </c>
      <c r="CZ96" s="94">
        <f>SUMIFS('Federal Data'!AU2:AU501,'Federal Data'!$H2:$H501,"Child Tax Credit (Refundable portion)",'Federal Data'!$D2:$D501,"Nongrant")</f>
        <v>21490000</v>
      </c>
      <c r="DA96" s="101" t="s">
        <v>487</v>
      </c>
      <c r="DB96" s="101" t="s">
        <v>487</v>
      </c>
      <c r="DC96" s="37">
        <f>SUMIFS('Federal Data'!AV2:AV501,'Federal Data'!$H2:$H501,"Child Tax Credit (Refundable portion)",'Federal Data'!$D2:$D501,"Nongrant")</f>
        <v>20592000</v>
      </c>
      <c r="DD96" s="85" t="s">
        <v>487</v>
      </c>
      <c r="DE96" s="85" t="s">
        <v>487</v>
      </c>
    </row>
    <row r="97" spans="1:109" outlineLevel="3">
      <c r="A97" s="31" t="s">
        <v>108</v>
      </c>
      <c r="B97" s="94">
        <f>SUMIFS('Federal Data'!M2:M501,'Federal Data'!$H2:$H501,"EITC (Refundable Portion)",'Federal Data'!$D2:$D501,"Nongrant")</f>
        <v>1275231</v>
      </c>
      <c r="C97" s="101" t="s">
        <v>487</v>
      </c>
      <c r="D97" s="101" t="s">
        <v>487</v>
      </c>
      <c r="E97" s="94">
        <f>SUMIFS('Federal Data'!N2:N501,'Federal Data'!$H2:$H501,"EITC (Refundable Portion)",'Federal Data'!$D2:$D501,"Nongrant")</f>
        <v>1317980</v>
      </c>
      <c r="F97" s="101" t="s">
        <v>487</v>
      </c>
      <c r="G97" s="101" t="s">
        <v>487</v>
      </c>
      <c r="H97" s="94">
        <f>SUMIFS('Federal Data'!O2:O501,'Federal Data'!$H2:$H501,"EITC (Refundable Portion)",'Federal Data'!$D2:$D501,"Nongrant")</f>
        <v>1201494</v>
      </c>
      <c r="I97" s="101" t="s">
        <v>487</v>
      </c>
      <c r="J97" s="101" t="s">
        <v>487</v>
      </c>
      <c r="K97" s="94">
        <f>SUMIFS('Federal Data'!P2:P501,'Federal Data'!$H2:$H501,"EITC (Refundable Portion)",'Federal Data'!$D2:$D501,"Nongrant")</f>
        <v>1213292</v>
      </c>
      <c r="L97" s="101" t="s">
        <v>487</v>
      </c>
      <c r="M97" s="101" t="s">
        <v>487</v>
      </c>
      <c r="N97" s="94">
        <f>SUMIFS('Federal Data'!Q2:Q501,'Federal Data'!$H2:$H501,"EITC (Refundable Portion)",'Federal Data'!$D2:$D501,"Nongrant")</f>
        <v>1192901</v>
      </c>
      <c r="O97" s="101" t="s">
        <v>487</v>
      </c>
      <c r="P97" s="101" t="s">
        <v>487</v>
      </c>
      <c r="Q97" s="94">
        <f>SUMIFS('Federal Data'!R2:R501,'Federal Data'!$H2:$H501,"EITC (Refundable Portion)",'Federal Data'!$D2:$D501,"Nongrant")</f>
        <v>1099776</v>
      </c>
      <c r="R97" s="101" t="s">
        <v>487</v>
      </c>
      <c r="S97" s="101" t="s">
        <v>487</v>
      </c>
      <c r="T97" s="94">
        <f>SUMIFS('Federal Data'!S2:S501,'Federal Data'!$H2:$H501,"EITC (Refundable Portion)",'Federal Data'!$D2:$D501,"Nongrant")</f>
        <v>1414990</v>
      </c>
      <c r="U97" s="101" t="s">
        <v>487</v>
      </c>
      <c r="V97" s="101" t="s">
        <v>487</v>
      </c>
      <c r="W97" s="94">
        <f>SUMIFS('Federal Data'!T2:T501,'Federal Data'!$H2:$H501,"EITC (Refundable Portion)",'Federal Data'!$D2:$D501,"Nongrant")</f>
        <v>1409932</v>
      </c>
      <c r="X97" s="101" t="s">
        <v>487</v>
      </c>
      <c r="Y97" s="101" t="s">
        <v>487</v>
      </c>
      <c r="Z97" s="94">
        <f>SUMIFS('Federal Data'!U2:U501,'Federal Data'!$H2:$H501,"EITC (Refundable Portion)",'Federal Data'!$D2:$D501,"Nongrant")</f>
        <v>2697587</v>
      </c>
      <c r="AA97" s="101" t="s">
        <v>487</v>
      </c>
      <c r="AB97" s="101" t="s">
        <v>487</v>
      </c>
      <c r="AC97" s="94">
        <f>SUMIFS('Federal Data'!V2:V501,'Federal Data'!$H2:$H501,"EITC (Refundable Portion)",'Federal Data'!$D2:$D501,"Nongrant")</f>
        <v>4002029</v>
      </c>
      <c r="AD97" s="101" t="s">
        <v>487</v>
      </c>
      <c r="AE97" s="101" t="s">
        <v>487</v>
      </c>
      <c r="AF97" s="94">
        <f>SUMIFS('Federal Data'!W2:W501,'Federal Data'!$H2:$H501,"EITC (Refundable Portion)",'Federal Data'!$D2:$D501,"Nongrant")</f>
        <v>4354072</v>
      </c>
      <c r="AG97" s="101" t="s">
        <v>487</v>
      </c>
      <c r="AH97" s="101" t="s">
        <v>487</v>
      </c>
      <c r="AI97" s="94">
        <f>SUMIFS('Federal Data'!X2:X501,'Federal Data'!$H2:$H501,"EITC (Refundable Portion)",'Federal Data'!$D2:$D501,"Nongrant")</f>
        <v>4884669</v>
      </c>
      <c r="AJ97" s="101" t="s">
        <v>487</v>
      </c>
      <c r="AK97" s="101" t="s">
        <v>487</v>
      </c>
      <c r="AL97" s="94">
        <f>SUMIFS('Federal Data'!Y2:Y501,'Federal Data'!$H2:$H501,"EITC (Refundable Portion)",'Federal Data'!$D2:$D501,"Nongrant")</f>
        <v>7344885</v>
      </c>
      <c r="AM97" s="101" t="s">
        <v>487</v>
      </c>
      <c r="AN97" s="101" t="s">
        <v>487</v>
      </c>
      <c r="AO97" s="94">
        <f>SUMIFS('Federal Data'!Z2:Z501,'Federal Data'!$H2:$H501,"EITC (Refundable Portion)",'Federal Data'!$D2:$D501,"Nongrant")</f>
        <v>8780787</v>
      </c>
      <c r="AP97" s="101" t="s">
        <v>487</v>
      </c>
      <c r="AQ97" s="101" t="s">
        <v>487</v>
      </c>
      <c r="AR97" s="94">
        <f>SUMIFS('Federal Data'!AA2:AA501,'Federal Data'!$H2:$H501,"EITC (Refundable Portion)",'Federal Data'!$D2:$D501,"Nongrant")</f>
        <v>10949827</v>
      </c>
      <c r="AS97" s="101" t="s">
        <v>487</v>
      </c>
      <c r="AT97" s="101" t="s">
        <v>487</v>
      </c>
      <c r="AU97" s="94">
        <f>SUMIFS('Federal Data'!AB2:AB501,'Federal Data'!$H2:$H501,"EITC (Refundable Portion)",'Federal Data'!$D2:$D501,"Nongrant")</f>
        <v>15244000</v>
      </c>
      <c r="AV97" s="101" t="s">
        <v>487</v>
      </c>
      <c r="AW97" s="101" t="s">
        <v>487</v>
      </c>
      <c r="AX97" s="94">
        <f>SUMIFS('Federal Data'!AC2:AC501,'Federal Data'!$H2:$H501,"EITC (Refundable Portion)",'Federal Data'!$D2:$D501,"Nongrant")</f>
        <v>19159000</v>
      </c>
      <c r="AY97" s="101" t="s">
        <v>487</v>
      </c>
      <c r="AZ97" s="101" t="s">
        <v>487</v>
      </c>
      <c r="BA97" s="94">
        <f>SUMIFS('Federal Data'!AD2:AD501,'Federal Data'!$H2:$H501,"EITC (Refundable Portion)",'Federal Data'!$D2:$D501,"Nongrant")</f>
        <v>21856000</v>
      </c>
      <c r="BB97" s="101" t="s">
        <v>487</v>
      </c>
      <c r="BC97" s="101" t="s">
        <v>487</v>
      </c>
      <c r="BD97" s="94">
        <f>SUMIFS('Federal Data'!AE2:AE501,'Federal Data'!$H2:$H501,"EITC (Refundable Portion)",'Federal Data'!$D2:$D501,"Nongrant")</f>
        <v>23239000</v>
      </c>
      <c r="BE97" s="101" t="s">
        <v>487</v>
      </c>
      <c r="BF97" s="101" t="s">
        <v>487</v>
      </c>
      <c r="BG97" s="94">
        <f>SUMIFS('Federal Data'!AF2:AF501,'Federal Data'!$H2:$H501,"EITC (Refundable Portion)",'Federal Data'!$D2:$D501,"Nongrant")</f>
        <v>25632000</v>
      </c>
      <c r="BH97" s="101" t="s">
        <v>487</v>
      </c>
      <c r="BI97" s="101" t="s">
        <v>487</v>
      </c>
      <c r="BJ97" s="94">
        <f>SUMIFS('Federal Data'!AG2:AG501,'Federal Data'!$H2:$H501,"EITC (Refundable Portion)",'Federal Data'!$D2:$D501,"Nongrant")</f>
        <v>26099000</v>
      </c>
      <c r="BK97" s="101" t="s">
        <v>487</v>
      </c>
      <c r="BL97" s="101" t="s">
        <v>487</v>
      </c>
      <c r="BM97" s="94">
        <f>SUMIFS('Federal Data'!AH2:AH501,'Federal Data'!$H2:$H501,"EITC (Refundable Portion)",'Federal Data'!$D2:$D501,"Nongrant")</f>
        <v>26123000</v>
      </c>
      <c r="BN97" s="101" t="s">
        <v>487</v>
      </c>
      <c r="BO97" s="101" t="s">
        <v>487</v>
      </c>
      <c r="BP97" s="94">
        <f>SUMIFS('Federal Data'!AI2:AI501,'Federal Data'!$H2:$H501,"EITC (Refundable Portion)",'Federal Data'!$D2:$D501,"Nongrant")</f>
        <v>27826000</v>
      </c>
      <c r="BQ97" s="101" t="s">
        <v>487</v>
      </c>
      <c r="BR97" s="101" t="s">
        <v>487</v>
      </c>
      <c r="BS97" s="94">
        <f>SUMIFS('Federal Data'!AJ2:AJ501,'Federal Data'!$H2:$H501,"EITC (Refundable Portion)",'Federal Data'!$D2:$D501,"Nongrant")</f>
        <v>31961000</v>
      </c>
      <c r="BT97" s="101" t="s">
        <v>487</v>
      </c>
      <c r="BU97" s="101" t="s">
        <v>487</v>
      </c>
      <c r="BV97" s="94">
        <f>SUMIFS('Federal Data'!AK2:AK501,'Federal Data'!$H2:$H501,"EITC (Refundable Portion)",'Federal Data'!$D2:$D501,"Nongrant")</f>
        <v>33134000</v>
      </c>
      <c r="BW97" s="101" t="s">
        <v>487</v>
      </c>
      <c r="BX97" s="101" t="s">
        <v>487</v>
      </c>
      <c r="BY97" s="94">
        <f>SUMIFS('Federal Data'!AL2:AL501,'Federal Data'!$H2:$H501,"EITC (Refundable Portion)",'Federal Data'!$D2:$D501,"Nongrant")</f>
        <v>34559000</v>
      </c>
      <c r="BZ97" s="101" t="s">
        <v>487</v>
      </c>
      <c r="CA97" s="101" t="s">
        <v>487</v>
      </c>
      <c r="CB97" s="94">
        <f>SUMIFS('Federal Data'!AM2:AM501,'Federal Data'!$H2:$H501,"EITC (Refundable Portion)",'Federal Data'!$D2:$D501,"Nongrant")</f>
        <v>36166000</v>
      </c>
      <c r="CC97" s="101" t="s">
        <v>487</v>
      </c>
      <c r="CD97" s="101" t="s">
        <v>487</v>
      </c>
      <c r="CE97" s="94">
        <f>SUMIFS('Federal Data'!AN2:AN501,'Federal Data'!$H2:$H501,"EITC (Refundable Portion)",'Federal Data'!$D2:$D501,"Nongrant")</f>
        <v>38274000</v>
      </c>
      <c r="CF97" s="101" t="s">
        <v>487</v>
      </c>
      <c r="CG97" s="101" t="s">
        <v>487</v>
      </c>
      <c r="CH97" s="94">
        <f>SUMIFS('Federal Data'!AO2:AO501,'Federal Data'!$H2:$H501,"EITC (Refundable Portion)",'Federal Data'!$D2:$D501,"Nongrant")</f>
        <v>40600000</v>
      </c>
      <c r="CI97" s="101" t="s">
        <v>487</v>
      </c>
      <c r="CJ97" s="101" t="s">
        <v>487</v>
      </c>
      <c r="CK97" s="94">
        <f>SUMIFS('Federal Data'!AP2:AP501,'Federal Data'!$H2:$H501,"EITC (Refundable Portion)",'Federal Data'!$D2:$D501,"Nongrant")</f>
        <v>42418000</v>
      </c>
      <c r="CL97" s="101" t="s">
        <v>487</v>
      </c>
      <c r="CM97" s="101" t="s">
        <v>487</v>
      </c>
      <c r="CN97" s="94">
        <f>SUMIFS('Federal Data'!AQ2:AQ501,'Federal Data'!$H2:$H501,"EITC (Refundable Portion)",'Federal Data'!$D2:$D501,"Nongrant")</f>
        <v>54712000</v>
      </c>
      <c r="CO97" s="101" t="s">
        <v>487</v>
      </c>
      <c r="CP97" s="101" t="s">
        <v>487</v>
      </c>
      <c r="CQ97" s="94">
        <f>SUMIFS('Federal Data'!AR2:AR501,'Federal Data'!$H2:$H501,"EITC (Refundable Portion)",'Federal Data'!$D2:$D501,"Nongrant")</f>
        <v>55652000</v>
      </c>
      <c r="CR97" s="101" t="s">
        <v>487</v>
      </c>
      <c r="CS97" s="101" t="s">
        <v>487</v>
      </c>
      <c r="CT97" s="94">
        <f>SUMIFS('Federal Data'!AS2:AS501,'Federal Data'!$H2:$H501,"EITC (Refundable Portion)",'Federal Data'!$D2:$D501,"Nongrant")</f>
        <v>54890000</v>
      </c>
      <c r="CU97" s="101" t="s">
        <v>487</v>
      </c>
      <c r="CV97" s="101" t="s">
        <v>487</v>
      </c>
      <c r="CW97" s="94">
        <f>SUMIFS('Federal Data'!AT2:AT501,'Federal Data'!$H2:$H501,"EITC (Refundable Portion)",'Federal Data'!$D2:$D501,"Nongrant")</f>
        <v>57513000</v>
      </c>
      <c r="CX97" s="101" t="s">
        <v>487</v>
      </c>
      <c r="CY97" s="101" t="s">
        <v>487</v>
      </c>
      <c r="CZ97" s="94">
        <f>SUMIFS('Federal Data'!AU2:AU501,'Federal Data'!$H2:$H501,"EITC (Refundable Portion)",'Federal Data'!$D2:$D501,"Nongrant")</f>
        <v>60087000</v>
      </c>
      <c r="DA97" s="101" t="s">
        <v>487</v>
      </c>
      <c r="DB97" s="101" t="s">
        <v>487</v>
      </c>
      <c r="DC97" s="37">
        <f>SUMIFS('Federal Data'!AV2:AV501,'Federal Data'!$H2:$H501,"EITC (Refundable Portion)",'Federal Data'!$D2:$D501,"Nongrant")</f>
        <v>60084000</v>
      </c>
      <c r="DD97" s="85" t="s">
        <v>487</v>
      </c>
      <c r="DE97" s="85" t="s">
        <v>487</v>
      </c>
    </row>
    <row r="98" spans="1:109" outlineLevel="3">
      <c r="A98" s="31" t="s">
        <v>103</v>
      </c>
      <c r="B98" s="94">
        <f>SUMIFS('Federal Data'!M2:M501,'Federal Data'!$H2:$H501,"SSI",'Federal Data'!$D2:$D501,"Nongrant")</f>
        <v>6372174</v>
      </c>
      <c r="C98" s="101" t="s">
        <v>487</v>
      </c>
      <c r="D98" s="101" t="s">
        <v>487</v>
      </c>
      <c r="E98" s="94">
        <f>SUMIFS('Federal Data'!N2:N501,'Federal Data'!$H2:$H501,"SSI",'Federal Data'!$D2:$D501,"Nongrant")</f>
        <v>7146506</v>
      </c>
      <c r="F98" s="101" t="s">
        <v>487</v>
      </c>
      <c r="G98" s="101" t="s">
        <v>487</v>
      </c>
      <c r="H98" s="94">
        <f>SUMIFS('Federal Data'!O2:O501,'Federal Data'!$H2:$H501,"SSI",'Federal Data'!$D2:$D501,"Nongrant")</f>
        <v>7656868</v>
      </c>
      <c r="I98" s="101" t="s">
        <v>487</v>
      </c>
      <c r="J98" s="101" t="s">
        <v>487</v>
      </c>
      <c r="K98" s="94">
        <f>SUMIFS('Federal Data'!P2:P501,'Federal Data'!$H2:$H501,"SSI",'Federal Data'!$D2:$D501,"Nongrant")</f>
        <v>8710884</v>
      </c>
      <c r="L98" s="101" t="s">
        <v>487</v>
      </c>
      <c r="M98" s="101" t="s">
        <v>487</v>
      </c>
      <c r="N98" s="94">
        <f>SUMIFS('Federal Data'!Q2:Q501,'Federal Data'!$H2:$H501,"SSI",'Federal Data'!$D2:$D501,"Nongrant")</f>
        <v>8490127</v>
      </c>
      <c r="O98" s="101" t="s">
        <v>487</v>
      </c>
      <c r="P98" s="101" t="s">
        <v>487</v>
      </c>
      <c r="Q98" s="94">
        <f>SUMIFS('Federal Data'!R2:R501,'Federal Data'!$H2:$H501,"SSI",'Federal Data'!$D2:$D501,"Nongrant")</f>
        <v>9606378</v>
      </c>
      <c r="R98" s="101" t="s">
        <v>487</v>
      </c>
      <c r="S98" s="101" t="s">
        <v>487</v>
      </c>
      <c r="T98" s="94">
        <f>SUMIFS('Federal Data'!S2:S501,'Federal Data'!$H2:$H501,"SSI",'Federal Data'!$D2:$D501,"Nongrant")</f>
        <v>10344721</v>
      </c>
      <c r="U98" s="101" t="s">
        <v>487</v>
      </c>
      <c r="V98" s="101" t="s">
        <v>487</v>
      </c>
      <c r="W98" s="94">
        <f>SUMIFS('Federal Data'!T2:T501,'Federal Data'!$H2:$H501,"SSI",'Federal Data'!$D2:$D501,"Nongrant")</f>
        <v>10909274</v>
      </c>
      <c r="X98" s="101" t="s">
        <v>487</v>
      </c>
      <c r="Y98" s="101" t="s">
        <v>487</v>
      </c>
      <c r="Z98" s="94">
        <f>SUMIFS('Federal Data'!U2:U501,'Federal Data'!$H2:$H501,"SSI",'Federal Data'!$D2:$D501,"Nongrant")</f>
        <v>12344977</v>
      </c>
      <c r="AA98" s="101" t="s">
        <v>487</v>
      </c>
      <c r="AB98" s="101" t="s">
        <v>487</v>
      </c>
      <c r="AC98" s="94">
        <f>SUMIFS('Federal Data'!V2:V501,'Federal Data'!$H2:$H501,"SSI",'Federal Data'!$D2:$D501,"Nongrant")</f>
        <v>12554727</v>
      </c>
      <c r="AD98" s="101" t="s">
        <v>487</v>
      </c>
      <c r="AE98" s="101" t="s">
        <v>487</v>
      </c>
      <c r="AF98" s="94">
        <f>SUMIFS('Federal Data'!W2:W501,'Federal Data'!$H2:$H501,"SSI",'Federal Data'!$D2:$D501,"Nongrant")</f>
        <v>12568426</v>
      </c>
      <c r="AG98" s="101" t="s">
        <v>487</v>
      </c>
      <c r="AH98" s="101" t="s">
        <v>487</v>
      </c>
      <c r="AI98" s="94">
        <f>SUMIFS('Federal Data'!X2:X501,'Federal Data'!$H2:$H501,"SSI",'Federal Data'!$D2:$D501,"Nongrant")</f>
        <v>15925823</v>
      </c>
      <c r="AJ98" s="101" t="s">
        <v>487</v>
      </c>
      <c r="AK98" s="101" t="s">
        <v>487</v>
      </c>
      <c r="AL98" s="94">
        <f>SUMIFS('Federal Data'!Y2:Y501,'Federal Data'!$H2:$H501,"SSI",'Federal Data'!$D2:$D501,"Nongrant")</f>
        <v>18777024</v>
      </c>
      <c r="AM98" s="101" t="s">
        <v>487</v>
      </c>
      <c r="AN98" s="101" t="s">
        <v>487</v>
      </c>
      <c r="AO98" s="94">
        <f>SUMIFS('Federal Data'!Z2:Z501,'Federal Data'!$H2:$H501,"SSI",'Federal Data'!$D2:$D501,"Nongrant")</f>
        <v>21906839</v>
      </c>
      <c r="AP98" s="101" t="s">
        <v>487</v>
      </c>
      <c r="AQ98" s="101" t="s">
        <v>487</v>
      </c>
      <c r="AR98" s="94">
        <f>SUMIFS('Federal Data'!AA2:AA501,'Federal Data'!$H2:$H501,"SSI",'Federal Data'!$D2:$D501,"Nongrant")</f>
        <v>25480386</v>
      </c>
      <c r="AS98" s="101" t="s">
        <v>487</v>
      </c>
      <c r="AT98" s="101" t="s">
        <v>487</v>
      </c>
      <c r="AU98" s="94">
        <f>SUMIFS('Federal Data'!AB2:AB501,'Federal Data'!$H2:$H501,"SSI",'Federal Data'!$D2:$D501,"Nongrant")</f>
        <v>25561000</v>
      </c>
      <c r="AV98" s="101" t="s">
        <v>487</v>
      </c>
      <c r="AW98" s="101" t="s">
        <v>487</v>
      </c>
      <c r="AX98" s="94">
        <f>SUMIFS('Federal Data'!AC2:AC501,'Federal Data'!$H2:$H501,"SSI",'Federal Data'!$D2:$D501,"Nongrant")</f>
        <v>24892000</v>
      </c>
      <c r="AY98" s="101" t="s">
        <v>487</v>
      </c>
      <c r="AZ98" s="101" t="s">
        <v>487</v>
      </c>
      <c r="BA98" s="94">
        <f>SUMIFS('Federal Data'!AD2:AD501,'Federal Data'!$H2:$H501,"SSI",'Federal Data'!$D2:$D501,"Nongrant")</f>
        <v>27430000</v>
      </c>
      <c r="BB98" s="101" t="s">
        <v>487</v>
      </c>
      <c r="BC98" s="101" t="s">
        <v>487</v>
      </c>
      <c r="BD98" s="94">
        <f>SUMIFS('Federal Data'!AE2:AE501,'Federal Data'!$H2:$H501,"SSI",'Federal Data'!$D2:$D501,"Nongrant")</f>
        <v>28396000</v>
      </c>
      <c r="BE98" s="101" t="s">
        <v>487</v>
      </c>
      <c r="BF98" s="101" t="s">
        <v>487</v>
      </c>
      <c r="BG98" s="94">
        <f>SUMIFS('Federal Data'!AF2:AF501,'Federal Data'!$H2:$H501,"SSI",'Federal Data'!$D2:$D501,"Nongrant")</f>
        <v>29197000</v>
      </c>
      <c r="BH98" s="101" t="s">
        <v>487</v>
      </c>
      <c r="BI98" s="101" t="s">
        <v>487</v>
      </c>
      <c r="BJ98" s="94">
        <f>SUMIFS('Federal Data'!AG2:AG501,'Federal Data'!$H2:$H501,"SSI",'Federal Data'!$D2:$D501,"Nongrant")</f>
        <v>31865000</v>
      </c>
      <c r="BK98" s="101" t="s">
        <v>487</v>
      </c>
      <c r="BL98" s="101" t="s">
        <v>487</v>
      </c>
      <c r="BM98" s="94">
        <f>SUMIFS('Federal Data'!AH2:AH501,'Federal Data'!$H2:$H501,"SSI",'Federal Data'!$D2:$D501,"Nongrant")</f>
        <v>28298000</v>
      </c>
      <c r="BN98" s="101" t="s">
        <v>487</v>
      </c>
      <c r="BO98" s="101" t="s">
        <v>487</v>
      </c>
      <c r="BP98" s="94">
        <f>SUMIFS('Federal Data'!AI2:AI501,'Federal Data'!$H2:$H501,"SSI",'Federal Data'!$D2:$D501,"Nongrant")</f>
        <v>31836000</v>
      </c>
      <c r="BQ98" s="101" t="s">
        <v>487</v>
      </c>
      <c r="BR98" s="101" t="s">
        <v>487</v>
      </c>
      <c r="BS98" s="94">
        <f>SUMIFS('Federal Data'!AJ2:AJ501,'Federal Data'!$H2:$H501,"SSI",'Federal Data'!$D2:$D501,"Nongrant")</f>
        <v>33045000</v>
      </c>
      <c r="BT98" s="101" t="s">
        <v>487</v>
      </c>
      <c r="BU98" s="101" t="s">
        <v>487</v>
      </c>
      <c r="BV98" s="94">
        <f>SUMIFS('Federal Data'!AK2:AK501,'Federal Data'!$H2:$H501,"SSI",'Federal Data'!$D2:$D501,"Nongrant")</f>
        <v>33914000</v>
      </c>
      <c r="BW98" s="101" t="s">
        <v>487</v>
      </c>
      <c r="BX98" s="101" t="s">
        <v>487</v>
      </c>
      <c r="BY98" s="94">
        <f>SUMIFS('Federal Data'!AL2:AL501,'Federal Data'!$H2:$H501,"SSI",'Federal Data'!$D2:$D501,"Nongrant")</f>
        <v>38010000</v>
      </c>
      <c r="BZ98" s="101" t="s">
        <v>487</v>
      </c>
      <c r="CA98" s="101" t="s">
        <v>487</v>
      </c>
      <c r="CB98" s="94">
        <f>SUMIFS('Federal Data'!AM2:AM501,'Federal Data'!$H2:$H501,"SSI",'Federal Data'!$D2:$D501,"Nongrant")</f>
        <v>37185000</v>
      </c>
      <c r="CC98" s="101" t="s">
        <v>487</v>
      </c>
      <c r="CD98" s="101" t="s">
        <v>487</v>
      </c>
      <c r="CE98" s="94">
        <f>SUMIFS('Federal Data'!AN2:AN501,'Federal Data'!$H2:$H501,"SSI",'Federal Data'!$D2:$D501,"Nongrant")</f>
        <v>35601000</v>
      </c>
      <c r="CF98" s="101" t="s">
        <v>487</v>
      </c>
      <c r="CG98" s="101" t="s">
        <v>487</v>
      </c>
      <c r="CH98" s="94">
        <f>SUMIFS('Federal Data'!AO2:AO501,'Federal Data'!$H2:$H501,"SSI",'Federal Data'!$D2:$D501,"Nongrant")</f>
        <v>40762000</v>
      </c>
      <c r="CI98" s="101" t="s">
        <v>487</v>
      </c>
      <c r="CJ98" s="101" t="s">
        <v>487</v>
      </c>
      <c r="CK98" s="94">
        <f>SUMIFS('Federal Data'!AP2:AP501,'Federal Data'!$H2:$H501,"SSI",'Federal Data'!$D2:$D501,"Nongrant")</f>
        <v>44565000</v>
      </c>
      <c r="CL98" s="101" t="s">
        <v>487</v>
      </c>
      <c r="CM98" s="101" t="s">
        <v>487</v>
      </c>
      <c r="CN98" s="94">
        <f>SUMIFS('Federal Data'!AQ2:AQ501,'Federal Data'!$H2:$H501,"SSI",'Federal Data'!$D2:$D501,"Nongrant")</f>
        <v>47423000</v>
      </c>
      <c r="CO98" s="101" t="s">
        <v>487</v>
      </c>
      <c r="CP98" s="101" t="s">
        <v>487</v>
      </c>
      <c r="CQ98" s="94">
        <f>SUMIFS('Federal Data'!AR2:AR501,'Federal Data'!$H2:$H501,"SSI",'Federal Data'!$D2:$D501,"Nongrant")</f>
        <v>53373000</v>
      </c>
      <c r="CR98" s="101" t="s">
        <v>487</v>
      </c>
      <c r="CS98" s="101" t="s">
        <v>487</v>
      </c>
      <c r="CT98" s="94">
        <f>SUMIFS('Federal Data'!AS2:AS501,'Federal Data'!$H2:$H501,"SSI",'Federal Data'!$D2:$D501,"Nongrant")</f>
        <v>47846000</v>
      </c>
      <c r="CU98" s="101" t="s">
        <v>487</v>
      </c>
      <c r="CV98" s="101" t="s">
        <v>487</v>
      </c>
      <c r="CW98" s="94">
        <f>SUMIFS('Federal Data'!AT2:AT501,'Federal Data'!$H2:$H501,"SSI",'Federal Data'!$D2:$D501,"Nongrant")</f>
        <v>53834000</v>
      </c>
      <c r="CX98" s="101" t="s">
        <v>487</v>
      </c>
      <c r="CY98" s="101" t="s">
        <v>487</v>
      </c>
      <c r="CZ98" s="94">
        <f>SUMIFS('Federal Data'!AU2:AU501,'Federal Data'!$H2:$H501,"SSI",'Federal Data'!$D2:$D501,"Nongrant")</f>
        <v>55234000</v>
      </c>
      <c r="DA98" s="101" t="s">
        <v>487</v>
      </c>
      <c r="DB98" s="101" t="s">
        <v>487</v>
      </c>
      <c r="DC98" s="37">
        <f>SUMIFS('Federal Data'!AV2:AV501,'Federal Data'!$H2:$H501,"SSI",'Federal Data'!$D2:$D501,"Nongrant")</f>
        <v>56366000</v>
      </c>
      <c r="DD98" s="85" t="s">
        <v>487</v>
      </c>
      <c r="DE98" s="85" t="s">
        <v>487</v>
      </c>
    </row>
    <row r="99" spans="1:109" outlineLevel="3">
      <c r="A99" s="31" t="s">
        <v>104</v>
      </c>
      <c r="B99" s="94">
        <f>SUMIFS('Federal Data'!M2:M501,'Federal Data'!$H2:$H501,"TANF",'Federal Data'!$D2:$D501,"Nongrant")</f>
        <v>0</v>
      </c>
      <c r="C99" s="101" t="s">
        <v>487</v>
      </c>
      <c r="D99" s="101" t="s">
        <v>487</v>
      </c>
      <c r="E99" s="94">
        <f>SUMIFS('Federal Data'!N2:N501,'Federal Data'!$H2:$H501,"TANF",'Federal Data'!$D2:$D501,"Nongrant")</f>
        <v>0</v>
      </c>
      <c r="F99" s="101" t="s">
        <v>487</v>
      </c>
      <c r="G99" s="101" t="s">
        <v>487</v>
      </c>
      <c r="H99" s="94">
        <f>SUMIFS('Federal Data'!O2:O501,'Federal Data'!$H2:$H501,"TANF",'Federal Data'!$D2:$D501,"Nongrant")</f>
        <v>0</v>
      </c>
      <c r="I99" s="101" t="s">
        <v>487</v>
      </c>
      <c r="J99" s="101" t="s">
        <v>487</v>
      </c>
      <c r="K99" s="94">
        <f>SUMIFS('Federal Data'!P2:P501,'Federal Data'!$H2:$H501,"TANF",'Federal Data'!$D2:$D501,"Nongrant")</f>
        <v>0</v>
      </c>
      <c r="L99" s="101" t="s">
        <v>487</v>
      </c>
      <c r="M99" s="101" t="s">
        <v>487</v>
      </c>
      <c r="N99" s="94">
        <f>SUMIFS('Federal Data'!Q2:Q501,'Federal Data'!$H2:$H501,"TANF",'Federal Data'!$D2:$D501,"Nongrant")</f>
        <v>0</v>
      </c>
      <c r="O99" s="101" t="s">
        <v>487</v>
      </c>
      <c r="P99" s="101" t="s">
        <v>487</v>
      </c>
      <c r="Q99" s="94">
        <f>SUMIFS('Federal Data'!R2:R501,'Federal Data'!$H2:$H501,"TANF",'Federal Data'!$D2:$D501,"Nongrant")</f>
        <v>0</v>
      </c>
      <c r="R99" s="101" t="s">
        <v>487</v>
      </c>
      <c r="S99" s="101" t="s">
        <v>487</v>
      </c>
      <c r="T99" s="94">
        <f>SUMIFS('Federal Data'!S2:S501,'Federal Data'!$H2:$H501,"TANF",'Federal Data'!$D2:$D501,"Nongrant")</f>
        <v>0</v>
      </c>
      <c r="U99" s="101" t="s">
        <v>487</v>
      </c>
      <c r="V99" s="101" t="s">
        <v>487</v>
      </c>
      <c r="W99" s="94">
        <f>SUMIFS('Federal Data'!T2:T501,'Federal Data'!$H2:$H501,"TANF",'Federal Data'!$D2:$D501,"Nongrant")</f>
        <v>0</v>
      </c>
      <c r="X99" s="101" t="s">
        <v>487</v>
      </c>
      <c r="Y99" s="101" t="s">
        <v>487</v>
      </c>
      <c r="Z99" s="94">
        <f>SUMIFS('Federal Data'!U2:U501,'Federal Data'!$H2:$H501,"TANF",'Federal Data'!$D2:$D501,"Nongrant")</f>
        <v>0</v>
      </c>
      <c r="AA99" s="101" t="s">
        <v>487</v>
      </c>
      <c r="AB99" s="101" t="s">
        <v>487</v>
      </c>
      <c r="AC99" s="94">
        <f>SUMIFS('Federal Data'!V2:V501,'Federal Data'!$H2:$H501,"TANF",'Federal Data'!$D2:$D501,"Nongrant")</f>
        <v>0</v>
      </c>
      <c r="AD99" s="101" t="s">
        <v>487</v>
      </c>
      <c r="AE99" s="101" t="s">
        <v>487</v>
      </c>
      <c r="AF99" s="94">
        <f>SUMIFS('Federal Data'!W2:W501,'Federal Data'!$H2:$H501,"TANF",'Federal Data'!$D2:$D501,"Nongrant")</f>
        <v>0</v>
      </c>
      <c r="AG99" s="101" t="s">
        <v>487</v>
      </c>
      <c r="AH99" s="101" t="s">
        <v>487</v>
      </c>
      <c r="AI99" s="94">
        <f>SUMIFS('Federal Data'!X2:X501,'Federal Data'!$H2:$H501,"TANF",'Federal Data'!$D2:$D501,"Nongrant")</f>
        <v>0</v>
      </c>
      <c r="AJ99" s="101" t="s">
        <v>487</v>
      </c>
      <c r="AK99" s="101" t="s">
        <v>487</v>
      </c>
      <c r="AL99" s="94">
        <f>SUMIFS('Federal Data'!Y2:Y501,'Federal Data'!$H2:$H501,"TANF",'Federal Data'!$D2:$D501,"Nongrant")</f>
        <v>0</v>
      </c>
      <c r="AM99" s="101" t="s">
        <v>487</v>
      </c>
      <c r="AN99" s="101" t="s">
        <v>487</v>
      </c>
      <c r="AO99" s="94">
        <f>SUMIFS('Federal Data'!Z2:Z501,'Federal Data'!$H2:$H501,"TANF",'Federal Data'!$D2:$D501,"Nongrant")</f>
        <v>0</v>
      </c>
      <c r="AP99" s="101" t="s">
        <v>487</v>
      </c>
      <c r="AQ99" s="101" t="s">
        <v>487</v>
      </c>
      <c r="AR99" s="94">
        <f>SUMIFS('Federal Data'!AA2:AA501,'Federal Data'!$H2:$H501,"TANF",'Federal Data'!$D2:$D501,"Nongrant")</f>
        <v>0</v>
      </c>
      <c r="AS99" s="101" t="s">
        <v>487</v>
      </c>
      <c r="AT99" s="101" t="s">
        <v>487</v>
      </c>
      <c r="AU99" s="94">
        <f>SUMIFS('Federal Data'!AB2:AB501,'Federal Data'!$H2:$H501,"TANF",'Federal Data'!$D2:$D501,"Nongrant")</f>
        <v>0</v>
      </c>
      <c r="AV99" s="101" t="s">
        <v>487</v>
      </c>
      <c r="AW99" s="101" t="s">
        <v>487</v>
      </c>
      <c r="AX99" s="94">
        <f>SUMIFS('Federal Data'!AC2:AC501,'Federal Data'!$H2:$H501,"TANF",'Federal Data'!$D2:$D501,"Nongrant")</f>
        <v>0</v>
      </c>
      <c r="AY99" s="101" t="s">
        <v>487</v>
      </c>
      <c r="AZ99" s="101" t="s">
        <v>487</v>
      </c>
      <c r="BA99" s="94">
        <f>SUMIFS('Federal Data'!AD2:AD501,'Federal Data'!$H2:$H501,"TANF",'Federal Data'!$D2:$D501,"Nongrant")</f>
        <v>0</v>
      </c>
      <c r="BB99" s="101" t="s">
        <v>487</v>
      </c>
      <c r="BC99" s="101" t="s">
        <v>487</v>
      </c>
      <c r="BD99" s="94">
        <f>SUMIFS('Federal Data'!AE2:AE501,'Federal Data'!$H2:$H501,"TANF",'Federal Data'!$D2:$D501,"Nongrant")</f>
        <v>0</v>
      </c>
      <c r="BE99" s="101" t="s">
        <v>487</v>
      </c>
      <c r="BF99" s="101" t="s">
        <v>487</v>
      </c>
      <c r="BG99" s="94">
        <f>SUMIFS('Federal Data'!AF2:AF501,'Federal Data'!$H2:$H501,"TANF",'Federal Data'!$D2:$D501,"Nongrant")</f>
        <v>0</v>
      </c>
      <c r="BH99" s="101" t="s">
        <v>487</v>
      </c>
      <c r="BI99" s="101" t="s">
        <v>487</v>
      </c>
      <c r="BJ99" s="94">
        <f>SUMIFS('Federal Data'!AG2:AG501,'Federal Data'!$H2:$H501,"TANF",'Federal Data'!$D2:$D501,"Nongrant")</f>
        <v>0</v>
      </c>
      <c r="BK99" s="101" t="s">
        <v>487</v>
      </c>
      <c r="BL99" s="101" t="s">
        <v>487</v>
      </c>
      <c r="BM99" s="94">
        <f>SUMIFS('Federal Data'!AH2:AH501,'Federal Data'!$H2:$H501,"TANF",'Federal Data'!$D2:$D501,"Nongrant")</f>
        <v>0</v>
      </c>
      <c r="BN99" s="101" t="s">
        <v>487</v>
      </c>
      <c r="BO99" s="101" t="s">
        <v>487</v>
      </c>
      <c r="BP99" s="94">
        <f>SUMIFS('Federal Data'!AI2:AI501,'Federal Data'!$H2:$H501,"TANF",'Federal Data'!$D2:$D501,"Nongrant")</f>
        <v>0</v>
      </c>
      <c r="BQ99" s="101" t="s">
        <v>487</v>
      </c>
      <c r="BR99" s="101" t="s">
        <v>487</v>
      </c>
      <c r="BS99" s="94">
        <f>SUMIFS('Federal Data'!AJ2:AJ501,'Federal Data'!$H2:$H501,"TANF",'Federal Data'!$D2:$D501,"Nongrant")</f>
        <v>0</v>
      </c>
      <c r="BT99" s="101" t="s">
        <v>487</v>
      </c>
      <c r="BU99" s="101" t="s">
        <v>487</v>
      </c>
      <c r="BV99" s="94">
        <f>SUMIFS('Federal Data'!AK2:AK501,'Federal Data'!$H2:$H501,"TANF",'Federal Data'!$D2:$D501,"Nongrant")</f>
        <v>0</v>
      </c>
      <c r="BW99" s="101" t="s">
        <v>487</v>
      </c>
      <c r="BX99" s="101" t="s">
        <v>487</v>
      </c>
      <c r="BY99" s="94">
        <f>SUMIFS('Federal Data'!AL2:AL501,'Federal Data'!$H2:$H501,"TANF",'Federal Data'!$D2:$D501,"Nongrant")</f>
        <v>0</v>
      </c>
      <c r="BZ99" s="101" t="s">
        <v>487</v>
      </c>
      <c r="CA99" s="101" t="s">
        <v>487</v>
      </c>
      <c r="CB99" s="94">
        <f>SUMIFS('Federal Data'!AM2:AM501,'Federal Data'!$H2:$H501,"TANF",'Federal Data'!$D2:$D501,"Nongrant")</f>
        <v>0</v>
      </c>
      <c r="CC99" s="101" t="s">
        <v>487</v>
      </c>
      <c r="CD99" s="101" t="s">
        <v>487</v>
      </c>
      <c r="CE99" s="94">
        <f>SUMIFS('Federal Data'!AN2:AN501,'Federal Data'!$H2:$H501,"TANF",'Federal Data'!$D2:$D501,"Nongrant")</f>
        <v>0</v>
      </c>
      <c r="CF99" s="101" t="s">
        <v>487</v>
      </c>
      <c r="CG99" s="101" t="s">
        <v>487</v>
      </c>
      <c r="CH99" s="94">
        <f>SUMIFS('Federal Data'!AO2:AO501,'Federal Data'!$H2:$H501,"TANF",'Federal Data'!$D2:$D501,"Nongrant")</f>
        <v>0</v>
      </c>
      <c r="CI99" s="101" t="s">
        <v>487</v>
      </c>
      <c r="CJ99" s="101" t="s">
        <v>487</v>
      </c>
      <c r="CK99" s="94">
        <f>SUMIFS('Federal Data'!AP2:AP501,'Federal Data'!$H2:$H501,"TANF",'Federal Data'!$D2:$D501,"Nongrant")</f>
        <v>0</v>
      </c>
      <c r="CL99" s="101" t="s">
        <v>487</v>
      </c>
      <c r="CM99" s="101" t="s">
        <v>487</v>
      </c>
      <c r="CN99" s="94">
        <f>SUMIFS('Federal Data'!AQ2:AQ501,'Federal Data'!$H2:$H501,"TANF",'Federal Data'!$D2:$D501,"Nongrant")</f>
        <v>2000</v>
      </c>
      <c r="CO99" s="101" t="s">
        <v>487</v>
      </c>
      <c r="CP99" s="101" t="s">
        <v>487</v>
      </c>
      <c r="CQ99" s="94">
        <f>SUMIFS('Federal Data'!AR2:AR501,'Federal Data'!$H2:$H501,"TANF",'Federal Data'!$D2:$D501,"Nongrant")</f>
        <v>0</v>
      </c>
      <c r="CR99" s="101" t="s">
        <v>487</v>
      </c>
      <c r="CS99" s="101" t="s">
        <v>487</v>
      </c>
      <c r="CT99" s="94">
        <f>SUMIFS('Federal Data'!AS2:AS501,'Federal Data'!$H2:$H501,"TANF",'Federal Data'!$D2:$D501,"Nongrant")</f>
        <v>0</v>
      </c>
      <c r="CU99" s="101" t="s">
        <v>487</v>
      </c>
      <c r="CV99" s="101" t="s">
        <v>487</v>
      </c>
      <c r="CW99" s="94">
        <f>SUMIFS('Federal Data'!AT2:AT501,'Federal Data'!$H2:$H501,"TANF",'Federal Data'!$D2:$D501,"Nongrant")</f>
        <v>0</v>
      </c>
      <c r="CX99" s="101" t="s">
        <v>487</v>
      </c>
      <c r="CY99" s="101" t="s">
        <v>487</v>
      </c>
      <c r="CZ99" s="94">
        <f>SUMIFS('Federal Data'!AU2:AU501,'Federal Data'!$H2:$H501,"TANF",'Federal Data'!$D2:$D501,"Nongrant")</f>
        <v>0</v>
      </c>
      <c r="DA99" s="101" t="s">
        <v>487</v>
      </c>
      <c r="DB99" s="101" t="s">
        <v>487</v>
      </c>
      <c r="DC99" s="37">
        <f>SUMIFS('Federal Data'!AV2:AV501,'Federal Data'!$H2:$H501,"TANF",'Federal Data'!$D2:$D501,"Nongrant")</f>
        <v>2000</v>
      </c>
      <c r="DD99" s="85" t="s">
        <v>487</v>
      </c>
      <c r="DE99" s="85" t="s">
        <v>487</v>
      </c>
    </row>
    <row r="100" spans="1:109" outlineLevel="3">
      <c r="A100" s="31" t="s">
        <v>105</v>
      </c>
      <c r="B100" s="94">
        <f>SUMIFS('Federal Data'!M2:M501,'Federal Data'!$H2:$H501,"Refugee Assistance",'Federal Data'!$D2:$D501,"Nongrant")</f>
        <v>29553</v>
      </c>
      <c r="C100" s="101" t="s">
        <v>487</v>
      </c>
      <c r="D100" s="101" t="s">
        <v>487</v>
      </c>
      <c r="E100" s="94">
        <f>SUMIFS('Federal Data'!N2:N501,'Federal Data'!$H2:$H501,"Refugee Assistance",'Federal Data'!$D2:$D501,"Nongrant")</f>
        <v>85174</v>
      </c>
      <c r="F100" s="101" t="s">
        <v>487</v>
      </c>
      <c r="G100" s="101" t="s">
        <v>487</v>
      </c>
      <c r="H100" s="94">
        <f>SUMIFS('Federal Data'!O2:O501,'Federal Data'!$H2:$H501,"Refugee Assistance",'Federal Data'!$D2:$D501,"Nongrant")</f>
        <v>133517</v>
      </c>
      <c r="I100" s="101" t="s">
        <v>487</v>
      </c>
      <c r="J100" s="101" t="s">
        <v>487</v>
      </c>
      <c r="K100" s="94">
        <f>SUMIFS('Federal Data'!P2:P501,'Federal Data'!$H2:$H501,"Refugee Assistance",'Federal Data'!$D2:$D501,"Nongrant")</f>
        <v>19777</v>
      </c>
      <c r="L100" s="101" t="s">
        <v>487</v>
      </c>
      <c r="M100" s="101" t="s">
        <v>487</v>
      </c>
      <c r="N100" s="94">
        <f>SUMIFS('Federal Data'!Q2:Q501,'Federal Data'!$H2:$H501,"Refugee Assistance",'Federal Data'!$D2:$D501,"Nongrant")</f>
        <v>16057</v>
      </c>
      <c r="O100" s="101" t="s">
        <v>487</v>
      </c>
      <c r="P100" s="101" t="s">
        <v>487</v>
      </c>
      <c r="Q100" s="94">
        <f>SUMIFS('Federal Data'!R2:R501,'Federal Data'!$H2:$H501,"Refugee Assistance",'Federal Data'!$D2:$D501,"Nongrant")</f>
        <v>21748</v>
      </c>
      <c r="R100" s="101" t="s">
        <v>487</v>
      </c>
      <c r="S100" s="101" t="s">
        <v>487</v>
      </c>
      <c r="T100" s="94">
        <f>SUMIFS('Federal Data'!S2:S501,'Federal Data'!$H2:$H501,"Refugee Assistance",'Federal Data'!$D2:$D501,"Nongrant")</f>
        <v>12799</v>
      </c>
      <c r="U100" s="101" t="s">
        <v>487</v>
      </c>
      <c r="V100" s="101" t="s">
        <v>487</v>
      </c>
      <c r="W100" s="94">
        <f>SUMIFS('Federal Data'!T2:T501,'Federal Data'!$H2:$H501,"Refugee Assistance",'Federal Data'!$D2:$D501,"Nongrant")</f>
        <v>13250</v>
      </c>
      <c r="X100" s="101" t="s">
        <v>487</v>
      </c>
      <c r="Y100" s="101" t="s">
        <v>487</v>
      </c>
      <c r="Z100" s="94">
        <f>SUMIFS('Federal Data'!U2:U501,'Federal Data'!$H2:$H501,"Refugee Assistance",'Federal Data'!$D2:$D501,"Nongrant")</f>
        <v>8774</v>
      </c>
      <c r="AA100" s="101" t="s">
        <v>487</v>
      </c>
      <c r="AB100" s="101" t="s">
        <v>487</v>
      </c>
      <c r="AC100" s="94">
        <f>SUMIFS('Federal Data'!V2:V501,'Federal Data'!$H2:$H501,"Refugee Assistance",'Federal Data'!$D2:$D501,"Nongrant")</f>
        <v>18735</v>
      </c>
      <c r="AD100" s="101" t="s">
        <v>487</v>
      </c>
      <c r="AE100" s="101" t="s">
        <v>487</v>
      </c>
      <c r="AF100" s="94">
        <f>SUMIFS('Federal Data'!W2:W501,'Federal Data'!$H2:$H501,"Refugee Assistance",'Federal Data'!$D2:$D501,"Nongrant")</f>
        <v>49687</v>
      </c>
      <c r="AG100" s="101" t="s">
        <v>487</v>
      </c>
      <c r="AH100" s="101" t="s">
        <v>487</v>
      </c>
      <c r="AI100" s="94">
        <f>SUMIFS('Federal Data'!X2:X501,'Federal Data'!$H2:$H501,"Refugee Assistance",'Federal Data'!$D2:$D501,"Nongrant")</f>
        <v>40924</v>
      </c>
      <c r="AJ100" s="101" t="s">
        <v>487</v>
      </c>
      <c r="AK100" s="101" t="s">
        <v>487</v>
      </c>
      <c r="AL100" s="94">
        <f>SUMIFS('Federal Data'!Y2:Y501,'Federal Data'!$H2:$H501,"Refugee Assistance",'Federal Data'!$D2:$D501,"Nongrant")</f>
        <v>76725</v>
      </c>
      <c r="AM100" s="101" t="s">
        <v>487</v>
      </c>
      <c r="AN100" s="101" t="s">
        <v>487</v>
      </c>
      <c r="AO100" s="94">
        <f>SUMIFS('Federal Data'!Z2:Z501,'Federal Data'!$H2:$H501,"Refugee Assistance",'Federal Data'!$D2:$D501,"Nongrant")</f>
        <v>33781</v>
      </c>
      <c r="AP100" s="101" t="s">
        <v>487</v>
      </c>
      <c r="AQ100" s="101" t="s">
        <v>487</v>
      </c>
      <c r="AR100" s="94">
        <f>SUMIFS('Federal Data'!AA2:AA501,'Federal Data'!$H2:$H501,"Refugee Assistance",'Federal Data'!$D2:$D501,"Nongrant")</f>
        <v>44919</v>
      </c>
      <c r="AS100" s="101" t="s">
        <v>487</v>
      </c>
      <c r="AT100" s="101" t="s">
        <v>487</v>
      </c>
      <c r="AU100" s="94">
        <f>SUMIFS('Federal Data'!AB2:AB501,'Federal Data'!$H2:$H501,"Refugee Assistance",'Federal Data'!$D2:$D501,"Nongrant")</f>
        <v>47000</v>
      </c>
      <c r="AV100" s="101" t="s">
        <v>487</v>
      </c>
      <c r="AW100" s="101" t="s">
        <v>487</v>
      </c>
      <c r="AX100" s="94">
        <f>SUMIFS('Federal Data'!AC2:AC501,'Federal Data'!$H2:$H501,"Refugee Assistance",'Federal Data'!$D2:$D501,"Nongrant")</f>
        <v>42000</v>
      </c>
      <c r="AY100" s="101" t="s">
        <v>487</v>
      </c>
      <c r="AZ100" s="101" t="s">
        <v>487</v>
      </c>
      <c r="BA100" s="94">
        <f>SUMIFS('Federal Data'!AD2:AD501,'Federal Data'!$H2:$H501,"Refugee Assistance",'Federal Data'!$D2:$D501,"Nongrant")</f>
        <v>46000</v>
      </c>
      <c r="BB100" s="101" t="s">
        <v>487</v>
      </c>
      <c r="BC100" s="101" t="s">
        <v>487</v>
      </c>
      <c r="BD100" s="94">
        <f>SUMIFS('Federal Data'!AE2:AE501,'Federal Data'!$H2:$H501,"Refugee Assistance",'Federal Data'!$D2:$D501,"Nongrant")</f>
        <v>31000</v>
      </c>
      <c r="BE100" s="101" t="s">
        <v>487</v>
      </c>
      <c r="BF100" s="101" t="s">
        <v>487</v>
      </c>
      <c r="BG100" s="94">
        <f>SUMIFS('Federal Data'!AF2:AF501,'Federal Data'!$H2:$H501,"Refugee Assistance",'Federal Data'!$D2:$D501,"Nongrant")</f>
        <v>96000</v>
      </c>
      <c r="BH100" s="101" t="s">
        <v>487</v>
      </c>
      <c r="BI100" s="101" t="s">
        <v>487</v>
      </c>
      <c r="BJ100" s="94">
        <f>SUMIFS('Federal Data'!AG2:AG501,'Federal Data'!$H2:$H501,"Refugee Assistance",'Federal Data'!$D2:$D501,"Nongrant")</f>
        <v>103000</v>
      </c>
      <c r="BK100" s="101" t="s">
        <v>487</v>
      </c>
      <c r="BL100" s="101" t="s">
        <v>487</v>
      </c>
      <c r="BM100" s="94">
        <f>SUMIFS('Federal Data'!AH2:AH501,'Federal Data'!$H2:$H501,"Refugee Assistance",'Federal Data'!$D2:$D501,"Nongrant")</f>
        <v>111000</v>
      </c>
      <c r="BN100" s="101" t="s">
        <v>487</v>
      </c>
      <c r="BO100" s="101" t="s">
        <v>487</v>
      </c>
      <c r="BP100" s="94">
        <f>SUMIFS('Federal Data'!AI2:AI501,'Federal Data'!$H2:$H501,"Refugee Assistance",'Federal Data'!$D2:$D501,"Nongrant")</f>
        <v>118000</v>
      </c>
      <c r="BQ100" s="101" t="s">
        <v>487</v>
      </c>
      <c r="BR100" s="101" t="s">
        <v>487</v>
      </c>
      <c r="BS100" s="94">
        <f>SUMIFS('Federal Data'!AJ2:AJ501,'Federal Data'!$H2:$H501,"Refugee Assistance",'Federal Data'!$D2:$D501,"Nongrant")</f>
        <v>100000</v>
      </c>
      <c r="BT100" s="101" t="s">
        <v>487</v>
      </c>
      <c r="BU100" s="101" t="s">
        <v>487</v>
      </c>
      <c r="BV100" s="94">
        <f>SUMIFS('Federal Data'!AK2:AK501,'Federal Data'!$H2:$H501,"Refugee Assistance",'Federal Data'!$D2:$D501,"Nongrant")</f>
        <v>86000</v>
      </c>
      <c r="BW100" s="101" t="s">
        <v>487</v>
      </c>
      <c r="BX100" s="101" t="s">
        <v>487</v>
      </c>
      <c r="BY100" s="94">
        <f>SUMIFS('Federal Data'!AL2:AL501,'Federal Data'!$H2:$H501,"Refugee Assistance",'Federal Data'!$D2:$D501,"Nongrant")</f>
        <v>85000</v>
      </c>
      <c r="BZ100" s="101" t="s">
        <v>487</v>
      </c>
      <c r="CA100" s="101" t="s">
        <v>487</v>
      </c>
      <c r="CB100" s="94">
        <f>SUMIFS('Federal Data'!AM2:AM501,'Federal Data'!$H2:$H501,"Refugee Assistance",'Federal Data'!$D2:$D501,"Nongrant")</f>
        <v>85000</v>
      </c>
      <c r="CC100" s="101" t="s">
        <v>487</v>
      </c>
      <c r="CD100" s="101" t="s">
        <v>487</v>
      </c>
      <c r="CE100" s="94">
        <f>SUMIFS('Federal Data'!AN2:AN501,'Federal Data'!$H2:$H501,"Refugee Assistance",'Federal Data'!$D2:$D501,"Nongrant")</f>
        <v>120000</v>
      </c>
      <c r="CF100" s="101" t="s">
        <v>487</v>
      </c>
      <c r="CG100" s="101" t="s">
        <v>487</v>
      </c>
      <c r="CH100" s="94">
        <f>SUMIFS('Federal Data'!AO2:AO501,'Federal Data'!$H2:$H501,"Refugee Assistance",'Federal Data'!$D2:$D501,"Nongrant")</f>
        <v>121000</v>
      </c>
      <c r="CI100" s="101" t="s">
        <v>487</v>
      </c>
      <c r="CJ100" s="101" t="s">
        <v>487</v>
      </c>
      <c r="CK100" s="94">
        <f>SUMIFS('Federal Data'!AP2:AP501,'Federal Data'!$H2:$H501,"Refugee Assistance",'Federal Data'!$D2:$D501,"Nongrant")</f>
        <v>131000</v>
      </c>
      <c r="CL100" s="101" t="s">
        <v>487</v>
      </c>
      <c r="CM100" s="101" t="s">
        <v>487</v>
      </c>
      <c r="CN100" s="94">
        <f>SUMIFS('Federal Data'!AQ2:AQ501,'Federal Data'!$H2:$H501,"Refugee Assistance",'Federal Data'!$D2:$D501,"Nongrant")</f>
        <v>178000</v>
      </c>
      <c r="CO100" s="101" t="s">
        <v>487</v>
      </c>
      <c r="CP100" s="101" t="s">
        <v>487</v>
      </c>
      <c r="CQ100" s="94">
        <f>SUMIFS('Federal Data'!AR2:AR501,'Federal Data'!$H2:$H501,"Refugee Assistance",'Federal Data'!$D2:$D501,"Nongrant")</f>
        <v>121000</v>
      </c>
      <c r="CR100" s="101" t="s">
        <v>487</v>
      </c>
      <c r="CS100" s="101" t="s">
        <v>487</v>
      </c>
      <c r="CT100" s="94">
        <f>SUMIFS('Federal Data'!AS2:AS501,'Federal Data'!$H2:$H501,"Refugee Assistance",'Federal Data'!$D2:$D501,"Nongrant")</f>
        <v>169000</v>
      </c>
      <c r="CU100" s="101" t="s">
        <v>487</v>
      </c>
      <c r="CV100" s="101" t="s">
        <v>487</v>
      </c>
      <c r="CW100" s="94">
        <f>SUMIFS('Federal Data'!AT2:AT501,'Federal Data'!$H2:$H501,"Refugee Assistance",'Federal Data'!$D2:$D501,"Nongrant")</f>
        <v>709000</v>
      </c>
      <c r="CX100" s="101" t="s">
        <v>487</v>
      </c>
      <c r="CY100" s="101" t="s">
        <v>487</v>
      </c>
      <c r="CZ100" s="94">
        <f>SUMIFS('Federal Data'!AU2:AU501,'Federal Data'!$H2:$H501,"Refugee Assistance",'Federal Data'!$D2:$D501,"Nongrant")</f>
        <v>606000</v>
      </c>
      <c r="DA100" s="101" t="s">
        <v>487</v>
      </c>
      <c r="DB100" s="101" t="s">
        <v>487</v>
      </c>
      <c r="DC100" s="37">
        <f>SUMIFS('Federal Data'!AV2:AV501,'Federal Data'!$H2:$H501,"Refugee Assistance",'Federal Data'!$D2:$D501,"Nongrant")</f>
        <v>458000</v>
      </c>
      <c r="DD100" s="85" t="s">
        <v>487</v>
      </c>
      <c r="DE100" s="85" t="s">
        <v>487</v>
      </c>
    </row>
    <row r="101" spans="1:109" outlineLevel="3">
      <c r="A101" s="31" t="s">
        <v>106</v>
      </c>
      <c r="B101" s="94">
        <f>SUMIFS('Federal Data'!M2:M501,'Federal Data'!$H2:$H501,"Other",'Federal Data'!$D2:$D501,"Nongrant",'Federal Data'!$G2:$G501,"Cash Programs")</f>
        <v>0</v>
      </c>
      <c r="C101" s="101" t="s">
        <v>487</v>
      </c>
      <c r="D101" s="101" t="s">
        <v>487</v>
      </c>
      <c r="E101" s="94">
        <f>SUMIFS('Federal Data'!N2:N501,'Federal Data'!$H2:$H501,"Other",'Federal Data'!$D2:$D501,"Nongrant",'Federal Data'!$G2:$G501,"Cash Programs")</f>
        <v>0</v>
      </c>
      <c r="F101" s="101" t="s">
        <v>487</v>
      </c>
      <c r="G101" s="101" t="s">
        <v>487</v>
      </c>
      <c r="H101" s="94">
        <f>SUMIFS('Federal Data'!O2:O501,'Federal Data'!$H2:$H501,"Other",'Federal Data'!$D2:$D501,"Nongrant",'Federal Data'!$G2:$G501,"Cash Programs")</f>
        <v>0</v>
      </c>
      <c r="I101" s="101" t="s">
        <v>487</v>
      </c>
      <c r="J101" s="101" t="s">
        <v>487</v>
      </c>
      <c r="K101" s="94">
        <f>SUMIFS('Federal Data'!P2:P501,'Federal Data'!$H2:$H501,"Other",'Federal Data'!$D2:$D501,"Nongrant",'Federal Data'!$G2:$G501,"Cash Programs")</f>
        <v>0</v>
      </c>
      <c r="L101" s="101" t="s">
        <v>487</v>
      </c>
      <c r="M101" s="101" t="s">
        <v>487</v>
      </c>
      <c r="N101" s="94">
        <f>SUMIFS('Federal Data'!Q2:Q501,'Federal Data'!$H2:$H501,"Other",'Federal Data'!$D2:$D501,"Nongrant",'Federal Data'!$G2:$G501,"Cash Programs")</f>
        <v>0</v>
      </c>
      <c r="O101" s="101" t="s">
        <v>487</v>
      </c>
      <c r="P101" s="101" t="s">
        <v>487</v>
      </c>
      <c r="Q101" s="94">
        <f>SUMIFS('Federal Data'!R2:R501,'Federal Data'!$H2:$H501,"Other",'Federal Data'!$D2:$D501,"Nongrant",'Federal Data'!$G2:$G501,"Cash Programs")</f>
        <v>0</v>
      </c>
      <c r="R101" s="101" t="s">
        <v>487</v>
      </c>
      <c r="S101" s="101" t="s">
        <v>487</v>
      </c>
      <c r="T101" s="94">
        <f>SUMIFS('Federal Data'!S2:S501,'Federal Data'!$H2:$H501,"Other",'Federal Data'!$D2:$D501,"Nongrant",'Federal Data'!$G2:$G501,"Cash Programs")</f>
        <v>0</v>
      </c>
      <c r="U101" s="101" t="s">
        <v>487</v>
      </c>
      <c r="V101" s="101" t="s">
        <v>487</v>
      </c>
      <c r="W101" s="94">
        <f>SUMIFS('Federal Data'!T2:T501,'Federal Data'!$H2:$H501,"Other",'Federal Data'!$D2:$D501,"Nongrant",'Federal Data'!$G2:$G501,"Cash Programs")</f>
        <v>0</v>
      </c>
      <c r="X101" s="101" t="s">
        <v>487</v>
      </c>
      <c r="Y101" s="101" t="s">
        <v>487</v>
      </c>
      <c r="Z101" s="94">
        <f>SUMIFS('Federal Data'!U2:U501,'Federal Data'!$H2:$H501,"Other",'Federal Data'!$D2:$D501,"Nongrant",'Federal Data'!$G2:$G501,"Cash Programs")</f>
        <v>0</v>
      </c>
      <c r="AA101" s="101" t="s">
        <v>487</v>
      </c>
      <c r="AB101" s="101" t="s">
        <v>487</v>
      </c>
      <c r="AC101" s="94">
        <f>SUMIFS('Federal Data'!V2:V501,'Federal Data'!$H2:$H501,"Other",'Federal Data'!$D2:$D501,"Nongrant",'Federal Data'!$G2:$G501,"Cash Programs")</f>
        <v>0</v>
      </c>
      <c r="AD101" s="101" t="s">
        <v>487</v>
      </c>
      <c r="AE101" s="101" t="s">
        <v>487</v>
      </c>
      <c r="AF101" s="94">
        <f>SUMIFS('Federal Data'!W2:W501,'Federal Data'!$H2:$H501,"Other",'Federal Data'!$D2:$D501,"Nongrant",'Federal Data'!$G2:$G501,"Cash Programs")</f>
        <v>0</v>
      </c>
      <c r="AG101" s="101" t="s">
        <v>487</v>
      </c>
      <c r="AH101" s="101" t="s">
        <v>487</v>
      </c>
      <c r="AI101" s="94">
        <f>SUMIFS('Federal Data'!X2:X501,'Federal Data'!$H2:$H501,"Other",'Federal Data'!$D2:$D501,"Nongrant",'Federal Data'!$G2:$G501,"Cash Programs")</f>
        <v>0</v>
      </c>
      <c r="AJ101" s="101" t="s">
        <v>487</v>
      </c>
      <c r="AK101" s="101" t="s">
        <v>487</v>
      </c>
      <c r="AL101" s="94">
        <f>SUMIFS('Federal Data'!Y2:Y501,'Federal Data'!$H2:$H501,"Other",'Federal Data'!$D2:$D501,"Nongrant",'Federal Data'!$G2:$G501,"Cash Programs")</f>
        <v>0</v>
      </c>
      <c r="AM101" s="101" t="s">
        <v>487</v>
      </c>
      <c r="AN101" s="101" t="s">
        <v>487</v>
      </c>
      <c r="AO101" s="94">
        <f>SUMIFS('Federal Data'!Z2:Z501,'Federal Data'!$H2:$H501,"Other",'Federal Data'!$D2:$D501,"Nongrant",'Federal Data'!$G2:$G501,"Cash Programs")</f>
        <v>0</v>
      </c>
      <c r="AP101" s="101" t="s">
        <v>487</v>
      </c>
      <c r="AQ101" s="101" t="s">
        <v>487</v>
      </c>
      <c r="AR101" s="94">
        <f>SUMIFS('Federal Data'!AA2:AA501,'Federal Data'!$H2:$H501,"Other",'Federal Data'!$D2:$D501,"Nongrant",'Federal Data'!$G2:$G501,"Cash Programs")</f>
        <v>0</v>
      </c>
      <c r="AS101" s="101" t="s">
        <v>487</v>
      </c>
      <c r="AT101" s="101" t="s">
        <v>487</v>
      </c>
      <c r="AU101" s="94">
        <f>SUMIFS('Federal Data'!AB2:AB501,'Federal Data'!$H2:$H501,"Other",'Federal Data'!$D2:$D501,"Nongrant",'Federal Data'!$G2:$G501,"Cash Programs")</f>
        <v>0</v>
      </c>
      <c r="AV101" s="101" t="s">
        <v>487</v>
      </c>
      <c r="AW101" s="101" t="s">
        <v>487</v>
      </c>
      <c r="AX101" s="94">
        <f>SUMIFS('Federal Data'!AC2:AC501,'Federal Data'!$H2:$H501,"Other",'Federal Data'!$D2:$D501,"Nongrant",'Federal Data'!$G2:$G501,"Cash Programs")</f>
        <v>0</v>
      </c>
      <c r="AY101" s="101" t="s">
        <v>487</v>
      </c>
      <c r="AZ101" s="101" t="s">
        <v>487</v>
      </c>
      <c r="BA101" s="94">
        <f>SUMIFS('Federal Data'!AD2:AD501,'Federal Data'!$H2:$H501,"Other",'Federal Data'!$D2:$D501,"Nongrant",'Federal Data'!$G2:$G501,"Cash Programs")</f>
        <v>0</v>
      </c>
      <c r="BB101" s="101" t="s">
        <v>487</v>
      </c>
      <c r="BC101" s="101" t="s">
        <v>487</v>
      </c>
      <c r="BD101" s="94">
        <f>SUMIFS('Federal Data'!AE2:AE501,'Federal Data'!$H2:$H501,"Other",'Federal Data'!$D2:$D501,"Nongrant",'Federal Data'!$G2:$G501,"Cash Programs")</f>
        <v>0</v>
      </c>
      <c r="BE101" s="101" t="s">
        <v>487</v>
      </c>
      <c r="BF101" s="101" t="s">
        <v>487</v>
      </c>
      <c r="BG101" s="94">
        <f>SUMIFS('Federal Data'!AF2:AF501,'Federal Data'!$H2:$H501,"Other",'Federal Data'!$D2:$D501,"Nongrant",'Federal Data'!$G2:$G501,"Cash Programs")</f>
        <v>0</v>
      </c>
      <c r="BH101" s="101" t="s">
        <v>487</v>
      </c>
      <c r="BI101" s="101" t="s">
        <v>487</v>
      </c>
      <c r="BJ101" s="94">
        <f>SUMIFS('Federal Data'!AG2:AG501,'Federal Data'!$H2:$H501,"Other",'Federal Data'!$D2:$D501,"Nongrant",'Federal Data'!$G2:$G501,"Cash Programs")</f>
        <v>0</v>
      </c>
      <c r="BK101" s="101" t="s">
        <v>487</v>
      </c>
      <c r="BL101" s="101" t="s">
        <v>487</v>
      </c>
      <c r="BM101" s="94">
        <f>SUMIFS('Federal Data'!AH2:AH501,'Federal Data'!$H2:$H501,"Other",'Federal Data'!$D2:$D501,"Nongrant",'Federal Data'!$G2:$G501,"Cash Programs")</f>
        <v>0</v>
      </c>
      <c r="BN101" s="101" t="s">
        <v>487</v>
      </c>
      <c r="BO101" s="101" t="s">
        <v>487</v>
      </c>
      <c r="BP101" s="94">
        <f>SUMIFS('Federal Data'!AI2:AI501,'Federal Data'!$H2:$H501,"Other",'Federal Data'!$D2:$D501,"Nongrant",'Federal Data'!$G2:$G501,"Cash Programs")</f>
        <v>0</v>
      </c>
      <c r="BQ101" s="101" t="s">
        <v>487</v>
      </c>
      <c r="BR101" s="101" t="s">
        <v>487</v>
      </c>
      <c r="BS101" s="94">
        <f>SUMIFS('Federal Data'!AJ2:AJ501,'Federal Data'!$H2:$H501,"Other",'Federal Data'!$D2:$D501,"Nongrant",'Federal Data'!$G2:$G501,"Cash Programs")</f>
        <v>0</v>
      </c>
      <c r="BT101" s="101" t="s">
        <v>487</v>
      </c>
      <c r="BU101" s="101" t="s">
        <v>487</v>
      </c>
      <c r="BV101" s="94">
        <f>SUMIFS('Federal Data'!AK2:AK501,'Federal Data'!$H2:$H501,"Other",'Federal Data'!$D2:$D501,"Nongrant",'Federal Data'!$G2:$G501,"Cash Programs")</f>
        <v>0</v>
      </c>
      <c r="BW101" s="101" t="s">
        <v>487</v>
      </c>
      <c r="BX101" s="101" t="s">
        <v>487</v>
      </c>
      <c r="BY101" s="94">
        <f>SUMIFS('Federal Data'!AL2:AL501,'Federal Data'!$H2:$H501,"Other",'Federal Data'!$D2:$D501,"Nongrant",'Federal Data'!$G2:$G501,"Cash Programs")</f>
        <v>0</v>
      </c>
      <c r="BZ101" s="101" t="s">
        <v>487</v>
      </c>
      <c r="CA101" s="101" t="s">
        <v>487</v>
      </c>
      <c r="CB101" s="94">
        <f>SUMIFS('Federal Data'!AM2:AM501,'Federal Data'!$H2:$H501,"Other",'Federal Data'!$D2:$D501,"Nongrant",'Federal Data'!$G2:$G501,"Cash Programs")</f>
        <v>0</v>
      </c>
      <c r="CC101" s="101" t="s">
        <v>487</v>
      </c>
      <c r="CD101" s="101" t="s">
        <v>487</v>
      </c>
      <c r="CE101" s="94">
        <f>SUMIFS('Federal Data'!AN2:AN501,'Federal Data'!$H2:$H501,"Other",'Federal Data'!$D2:$D501,"Nongrant",'Federal Data'!$G2:$G501,"Cash Programs")</f>
        <v>0</v>
      </c>
      <c r="CF101" s="101" t="s">
        <v>487</v>
      </c>
      <c r="CG101" s="101" t="s">
        <v>487</v>
      </c>
      <c r="CH101" s="94">
        <f>SUMIFS('Federal Data'!AO2:AO501,'Federal Data'!$H2:$H501,"Other",'Federal Data'!$D2:$D501,"Nongrant",'Federal Data'!$G2:$G501,"Cash Programs")</f>
        <v>13868000</v>
      </c>
      <c r="CI101" s="101" t="s">
        <v>487</v>
      </c>
      <c r="CJ101" s="101" t="s">
        <v>487</v>
      </c>
      <c r="CK101" s="94">
        <f>SUMIFS('Federal Data'!AP2:AP501,'Federal Data'!$H2:$H501,"Other",'Federal Data'!$D2:$D501,"Nongrant",'Federal Data'!$G2:$G501,"Cash Programs")</f>
        <v>2687000</v>
      </c>
      <c r="CL101" s="101" t="s">
        <v>487</v>
      </c>
      <c r="CM101" s="101" t="s">
        <v>487</v>
      </c>
      <c r="CN101" s="94">
        <f>SUMIFS('Federal Data'!AQ2:AQ501,'Federal Data'!$H2:$H501,"Other",'Federal Data'!$D2:$D501,"Nongrant",'Federal Data'!$G2:$G501,"Cash Programs")</f>
        <v>13775000</v>
      </c>
      <c r="CO101" s="101" t="s">
        <v>487</v>
      </c>
      <c r="CP101" s="101" t="s">
        <v>487</v>
      </c>
      <c r="CQ101" s="94">
        <f>SUMIFS('Federal Data'!AR2:AR501,'Federal Data'!$H2:$H501,"Other",'Federal Data'!$D2:$D501,"Nongrant",'Federal Data'!$G2:$G501,"Cash Programs")</f>
        <v>13636000</v>
      </c>
      <c r="CR101" s="101" t="s">
        <v>487</v>
      </c>
      <c r="CS101" s="101" t="s">
        <v>487</v>
      </c>
      <c r="CT101" s="94">
        <f>SUMIFS('Federal Data'!AS2:AS501,'Federal Data'!$H2:$H501,"Other",'Federal Data'!$D2:$D501,"Nongrant",'Federal Data'!$G2:$G501,"Cash Programs")</f>
        <v>253000</v>
      </c>
      <c r="CU101" s="101" t="s">
        <v>487</v>
      </c>
      <c r="CV101" s="101" t="s">
        <v>487</v>
      </c>
      <c r="CW101" s="94">
        <f>SUMIFS('Federal Data'!AT2:AT501,'Federal Data'!$H2:$H501,"Other",'Federal Data'!$D2:$D501,"Nongrant",'Federal Data'!$G2:$G501,"Cash Programs")</f>
        <v>-11000</v>
      </c>
      <c r="CX101" s="101" t="s">
        <v>487</v>
      </c>
      <c r="CY101" s="101" t="s">
        <v>487</v>
      </c>
      <c r="CZ101" s="94">
        <f>SUMIFS('Federal Data'!AU2:AU501,'Federal Data'!$H2:$H501,"Other",'Federal Data'!$D2:$D501,"Nongrant",'Federal Data'!$G2:$G501,"Cash Programs")</f>
        <v>0</v>
      </c>
      <c r="DA101" s="101" t="s">
        <v>487</v>
      </c>
      <c r="DB101" s="101" t="s">
        <v>487</v>
      </c>
      <c r="DC101" s="37">
        <f>SUMIFS('Federal Data'!AV2:AV501,'Federal Data'!$H2:$H501,"Other",'Federal Data'!$D2:$D501,"Nongrant",'Federal Data'!$G2:$G501,"Cash Programs")</f>
        <v>0</v>
      </c>
      <c r="DD101" s="85" t="s">
        <v>487</v>
      </c>
      <c r="DE101" s="85" t="s">
        <v>487</v>
      </c>
    </row>
    <row r="102" spans="1:109" outlineLevel="2">
      <c r="A102" s="29" t="s">
        <v>61</v>
      </c>
      <c r="B102" s="94">
        <f>SUMIFS('Federal Data'!M2:M501,'Federal Data'!$G2:$G501,"Non-Cash Programs",'Federal Data'!$D2:$D501,"Nongrant")</f>
        <v>16023051</v>
      </c>
      <c r="C102" s="101">
        <f>'State and Local P&amp;L (detailed)'!$C$59</f>
        <v>26105910</v>
      </c>
      <c r="D102" s="101">
        <f t="shared" ref="D102:D124" si="184">SUM(B102:C102)</f>
        <v>42128961</v>
      </c>
      <c r="E102" s="94">
        <f>SUMIFS('Federal Data'!N2:N501,'Federal Data'!$G2:$G501,"Non-Cash Programs",'Federal Data'!$D2:$D501,"Nongrant")</f>
        <v>19590770</v>
      </c>
      <c r="F102" s="101">
        <f>'State and Local P&amp;L (detailed)'!$D$59</f>
        <v>30525653</v>
      </c>
      <c r="G102" s="101">
        <f t="shared" ref="G102:G124" si="185">SUM(E102:F102)</f>
        <v>50116423</v>
      </c>
      <c r="H102" s="94">
        <f>SUMIFS('Federal Data'!O2:O501,'Federal Data'!$G2:$G501,"Non-Cash Programs",'Federal Data'!$D2:$D501,"Nongrant")</f>
        <v>17897396</v>
      </c>
      <c r="I102" s="101">
        <f>'State and Local P&amp;L (detailed)'!$E$59</f>
        <v>34177498</v>
      </c>
      <c r="J102" s="101">
        <f t="shared" ref="J102:J124" si="186">SUM(H102:I102)</f>
        <v>52074894</v>
      </c>
      <c r="K102" s="94">
        <f>SUMIFS('Federal Data'!P2:P501,'Federal Data'!$G2:$G501,"Non-Cash Programs",'Federal Data'!$D2:$D501,"Nongrant")</f>
        <v>20705675</v>
      </c>
      <c r="L102" s="101">
        <f>'State and Local P&amp;L (detailed)'!$F$59</f>
        <v>35756053</v>
      </c>
      <c r="M102" s="101">
        <f t="shared" ref="M102:M124" si="187">SUM(K102:L102)</f>
        <v>56461728</v>
      </c>
      <c r="N102" s="94">
        <f>SUMIFS('Federal Data'!Q2:Q501,'Federal Data'!$G2:$G501,"Non-Cash Programs",'Federal Data'!$D2:$D501,"Nongrant")</f>
        <v>21335934</v>
      </c>
      <c r="O102" s="101">
        <f>'State and Local P&amp;L (detailed)'!$G$59</f>
        <v>39589979</v>
      </c>
      <c r="P102" s="101">
        <f t="shared" ref="P102:P124" si="188">SUM(N102:O102)</f>
        <v>60925913</v>
      </c>
      <c r="Q102" s="94">
        <f>SUMIFS('Federal Data'!R2:R501,'Federal Data'!$G2:$G501,"Non-Cash Programs",'Federal Data'!$D2:$D501,"Nongrant")</f>
        <v>35110858</v>
      </c>
      <c r="R102" s="101">
        <f>'State and Local P&amp;L (detailed)'!$H$59</f>
        <v>43113921</v>
      </c>
      <c r="S102" s="101">
        <f t="shared" ref="S102:S124" si="189">SUM(Q102:R102)</f>
        <v>78224779</v>
      </c>
      <c r="T102" s="94">
        <f>SUMIFS('Federal Data'!S2:S501,'Federal Data'!$G2:$G501,"Non-Cash Programs",'Federal Data'!$D2:$D501,"Nongrant")</f>
        <v>21440975</v>
      </c>
      <c r="U102" s="101">
        <f>'State and Local P&amp;L (detailed)'!$I$59</f>
        <v>46244740</v>
      </c>
      <c r="V102" s="101">
        <f t="shared" ref="V102:V124" si="190">SUM(T102:U102)</f>
        <v>67685715</v>
      </c>
      <c r="W102" s="94">
        <f>SUMIFS('Federal Data'!T2:T501,'Federal Data'!$G2:$G501,"Non-Cash Programs",'Federal Data'!$D2:$D501,"Nongrant")</f>
        <v>21686405</v>
      </c>
      <c r="X102" s="101">
        <f>'State and Local P&amp;L (detailed)'!$J$59</f>
        <v>50502514</v>
      </c>
      <c r="Y102" s="101">
        <f t="shared" ref="Y102:Y124" si="191">SUM(W102:X102)</f>
        <v>72188919</v>
      </c>
      <c r="Z102" s="94">
        <f>SUMIFS('Federal Data'!U2:U501,'Federal Data'!$G2:$G501,"Non-Cash Programs",'Federal Data'!$D2:$D501,"Nongrant")</f>
        <v>22922610</v>
      </c>
      <c r="AA102" s="101">
        <f>'State and Local P&amp;L (detailed)'!$K$59</f>
        <v>56229214</v>
      </c>
      <c r="AB102" s="101">
        <f t="shared" ref="AB102:AB124" si="192">SUM(Z102:AA102)</f>
        <v>79151824</v>
      </c>
      <c r="AC102" s="94">
        <f>SUMIFS('Federal Data'!V2:V501,'Federal Data'!$G2:$G501,"Non-Cash Programs",'Federal Data'!$D2:$D501,"Nongrant")</f>
        <v>25070571</v>
      </c>
      <c r="AD102" s="101">
        <f>'State and Local P&amp;L (detailed)'!$L$59</f>
        <v>63077557</v>
      </c>
      <c r="AE102" s="101">
        <f t="shared" ref="AE102:AE124" si="193">SUM(AC102:AD102)</f>
        <v>88148128</v>
      </c>
      <c r="AF102" s="94">
        <f>SUMIFS('Federal Data'!W2:W501,'Federal Data'!$G2:$G501,"Non-Cash Programs",'Federal Data'!$D2:$D501,"Nongrant")</f>
        <v>27554497</v>
      </c>
      <c r="AG102" s="101">
        <f>'State and Local P&amp;L (detailed)'!$M$59</f>
        <v>72164966</v>
      </c>
      <c r="AH102" s="101">
        <f t="shared" ref="AH102:AH124" si="194">SUM(AF102:AG102)</f>
        <v>99719463</v>
      </c>
      <c r="AI102" s="94">
        <f>SUMIFS('Federal Data'!X2:X501,'Federal Data'!$G2:$G501,"Non-Cash Programs",'Federal Data'!$D2:$D501,"Nongrant")</f>
        <v>31982323</v>
      </c>
      <c r="AJ102" s="101">
        <f>'State and Local P&amp;L (detailed)'!$N$59</f>
        <v>87473072</v>
      </c>
      <c r="AK102" s="101">
        <f t="shared" ref="AK102:AK124" si="195">SUM(AI102:AJ102)</f>
        <v>119455395</v>
      </c>
      <c r="AL102" s="94">
        <f>SUMIFS('Federal Data'!Y2:Y501,'Federal Data'!$G2:$G501,"Non-Cash Programs",'Federal Data'!$D2:$D501,"Nongrant")</f>
        <v>36231538</v>
      </c>
      <c r="AM102" s="101">
        <f>'State and Local P&amp;L (detailed)'!$O$59</f>
        <v>126634479</v>
      </c>
      <c r="AN102" s="101">
        <f t="shared" ref="AN102:AN124" si="196">SUM(AL102:AM102)</f>
        <v>162866017</v>
      </c>
      <c r="AO102" s="94">
        <f>SUMIFS('Federal Data'!Z2:Z501,'Federal Data'!$G2:$G501,"Non-Cash Programs",'Federal Data'!$D2:$D501,"Nongrant")</f>
        <v>39891163</v>
      </c>
      <c r="AP102" s="101">
        <f>'State and Local P&amp;L (detailed)'!$P$59</f>
        <v>137332028</v>
      </c>
      <c r="AQ102" s="101">
        <f t="shared" ref="AQ102:AQ124" si="197">SUM(AO102:AP102)</f>
        <v>177223191</v>
      </c>
      <c r="AR102" s="94">
        <f>SUMIFS('Federal Data'!AA2:AA501,'Federal Data'!$G2:$G501,"Non-Cash Programs",'Federal Data'!$D2:$D501,"Nongrant")</f>
        <v>41044013</v>
      </c>
      <c r="AS102" s="101">
        <f>'State and Local P&amp;L (detailed)'!$Q$59</f>
        <v>149783839</v>
      </c>
      <c r="AT102" s="101">
        <f t="shared" ref="AT102:AT124" si="198">SUM(AR102:AS102)</f>
        <v>190827852</v>
      </c>
      <c r="AU102" s="94">
        <f>SUMIFS('Federal Data'!AB2:AB501,'Federal Data'!$G2:$G501,"Non-Cash Programs",'Federal Data'!$D2:$D501,"Nongrant")</f>
        <v>41252000</v>
      </c>
      <c r="AV102" s="101">
        <f>'State and Local P&amp;L (detailed)'!$R$59</f>
        <v>160951488</v>
      </c>
      <c r="AW102" s="101">
        <f t="shared" ref="AW102:AW124" si="199">SUM(AU102:AV102)</f>
        <v>202203488</v>
      </c>
      <c r="AX102" s="94">
        <f>SUMIFS('Federal Data'!AC2:AC501,'Federal Data'!$G2:$G501,"Non-Cash Programs",'Federal Data'!$D2:$D501,"Nongrant")</f>
        <v>41493000</v>
      </c>
      <c r="AY102" s="101">
        <f>'State and Local P&amp;L (detailed)'!$S$59</f>
        <v>163297366</v>
      </c>
      <c r="AZ102" s="101">
        <f t="shared" ref="AZ102:AZ124" si="200">SUM(AX102:AY102)</f>
        <v>204790366</v>
      </c>
      <c r="BA102" s="94">
        <f>SUMIFS('Federal Data'!AD2:AD501,'Federal Data'!$G2:$G501,"Non-Cash Programs",'Federal Data'!$D2:$D501,"Nongrant")</f>
        <v>39525000</v>
      </c>
      <c r="BB102" s="101">
        <f>'State and Local P&amp;L (detailed)'!$T$59</f>
        <v>170088231</v>
      </c>
      <c r="BC102" s="101">
        <f t="shared" ref="BC102:BC124" si="201">SUM(BA102:BB102)</f>
        <v>209613231</v>
      </c>
      <c r="BD102" s="94">
        <f>SUMIFS('Federal Data'!AE2:AE501,'Federal Data'!$G2:$G501,"Non-Cash Programs",'Federal Data'!$D2:$D501,"Nongrant")</f>
        <v>35911000</v>
      </c>
      <c r="BE102" s="101">
        <f>'State and Local P&amp;L (detailed)'!$U$59</f>
        <v>173647425</v>
      </c>
      <c r="BF102" s="101">
        <f t="shared" ref="BF102:BF124" si="202">SUM(BD102:BE102)</f>
        <v>209558425</v>
      </c>
      <c r="BG102" s="94">
        <f>SUMIFS('Federal Data'!AF2:AF501,'Federal Data'!$G2:$G501,"Non-Cash Programs",'Federal Data'!$D2:$D501,"Nongrant")</f>
        <v>32182000</v>
      </c>
      <c r="BH102" s="101">
        <f>'State and Local P&amp;L (detailed)'!$V$59</f>
        <v>182221539</v>
      </c>
      <c r="BI102" s="101">
        <f t="shared" ref="BI102:BI124" si="203">SUM(BG102:BH102)</f>
        <v>214403539</v>
      </c>
      <c r="BJ102" s="94">
        <f>SUMIFS('Federal Data'!AG2:AG501,'Federal Data'!$G2:$G501,"Non-Cash Programs",'Federal Data'!$D2:$D501,"Nongrant")</f>
        <v>35459000</v>
      </c>
      <c r="BK102" s="101">
        <f>'State and Local P&amp;L (detailed)'!$W$59</f>
        <v>198103096</v>
      </c>
      <c r="BL102" s="101">
        <f t="shared" ref="BL102:BL124" si="204">SUM(BJ102:BK102)</f>
        <v>233562096</v>
      </c>
      <c r="BM102" s="94">
        <f>SUMIFS('Federal Data'!AH2:AH501,'Federal Data'!$G2:$G501,"Non-Cash Programs",'Federal Data'!$D2:$D501,"Nongrant")</f>
        <v>37445000</v>
      </c>
      <c r="BN102" s="101">
        <f>'State and Local P&amp;L (detailed)'!$X$59</f>
        <v>219685468</v>
      </c>
      <c r="BO102" s="101">
        <f t="shared" ref="BO102:BO124" si="205">SUM(BM102:BN102)</f>
        <v>257130468</v>
      </c>
      <c r="BP102" s="94">
        <f>SUMIFS('Federal Data'!AI2:AI501,'Federal Data'!$G2:$G501,"Non-Cash Programs",'Federal Data'!$D2:$D501,"Nongrant")</f>
        <v>42990000</v>
      </c>
      <c r="BQ102" s="101">
        <f>'State and Local P&amp;L (detailed)'!$Y$59</f>
        <v>243405834</v>
      </c>
      <c r="BR102" s="101">
        <f t="shared" ref="BR102:BR124" si="206">SUM(BP102:BQ102)</f>
        <v>286395834</v>
      </c>
      <c r="BS102" s="94">
        <f>SUMIFS('Federal Data'!AJ2:AJ501,'Federal Data'!$G2:$G501,"Non-Cash Programs",'Federal Data'!$D2:$D501,"Nongrant")</f>
        <v>47869000</v>
      </c>
      <c r="BT102" s="101">
        <f>'State and Local P&amp;L (detailed)'!$Z$59</f>
        <v>268507273</v>
      </c>
      <c r="BU102" s="101">
        <f t="shared" ref="BU102:BU124" si="207">SUM(BS102:BT102)</f>
        <v>316376273</v>
      </c>
      <c r="BV102" s="94">
        <f>SUMIFS('Federal Data'!AK2:AK501,'Federal Data'!$G2:$G501,"Non-Cash Programs",'Federal Data'!$D2:$D501,"Nongrant")</f>
        <v>52437000</v>
      </c>
      <c r="BW102" s="101">
        <f>'State and Local P&amp;L (detailed)'!$AA$59</f>
        <v>300293844</v>
      </c>
      <c r="BX102" s="101">
        <f t="shared" ref="BX102:BX124" si="208">SUM(BV102:BW102)</f>
        <v>352730844</v>
      </c>
      <c r="BY102" s="94">
        <f>SUMIFS('Federal Data'!AL2:AL501,'Federal Data'!$G2:$G501,"Non-Cash Programs",'Federal Data'!$D2:$D501,"Nongrant")</f>
        <v>54520000</v>
      </c>
      <c r="BZ102" s="101">
        <f>'State and Local P&amp;L (detailed)'!$AB$59</f>
        <v>332632851</v>
      </c>
      <c r="CA102" s="101">
        <f t="shared" ref="CA102:CA124" si="209">SUM(BY102:BZ102)</f>
        <v>387152851</v>
      </c>
      <c r="CB102" s="94">
        <f>SUMIFS('Federal Data'!AM2:AM501,'Federal Data'!$G2:$G501,"Non-Cash Programs",'Federal Data'!$D2:$D501,"Nongrant")</f>
        <v>58711000</v>
      </c>
      <c r="CC102" s="101">
        <f>'State and Local P&amp;L (detailed)'!$AC$59</f>
        <v>330921471</v>
      </c>
      <c r="CD102" s="101">
        <f t="shared" ref="CD102:CD124" si="210">SUM(CB102:CC102)</f>
        <v>389632471</v>
      </c>
      <c r="CE102" s="94">
        <f>SUMIFS('Federal Data'!AN2:AN501,'Federal Data'!$G2:$G501,"Non-Cash Programs",'Federal Data'!$D2:$D501,"Nongrant")</f>
        <v>59728000</v>
      </c>
      <c r="CF102" s="101">
        <f>'State and Local P&amp;L (detailed)'!$AD$59</f>
        <v>352939893</v>
      </c>
      <c r="CG102" s="101">
        <f t="shared" ref="CG102:CG124" si="211">SUM(CE102:CF102)</f>
        <v>412667893</v>
      </c>
      <c r="CH102" s="94">
        <f>SUMIFS('Federal Data'!AO2:AO501,'Federal Data'!$G2:$G501,"Non-Cash Programs",'Federal Data'!$D2:$D501,"Nongrant")</f>
        <v>66487000</v>
      </c>
      <c r="CI102" s="101">
        <f>'State and Local P&amp;L (detailed)'!$AE$59</f>
        <v>371614162</v>
      </c>
      <c r="CJ102" s="101">
        <f t="shared" ref="CJ102:CJ124" si="212">SUM(CH102:CI102)</f>
        <v>438101162</v>
      </c>
      <c r="CK102" s="94">
        <f>SUMIFS('Federal Data'!AP2:AP501,'Federal Data'!$G2:$G501,"Non-Cash Programs",'Federal Data'!$D2:$D501,"Nongrant")</f>
        <v>98471000</v>
      </c>
      <c r="CL102" s="101">
        <f>'State and Local P&amp;L (detailed)'!$AF$59</f>
        <v>393066524</v>
      </c>
      <c r="CM102" s="101">
        <f t="shared" ref="CM102:CM124" si="213">SUM(CK102:CL102)</f>
        <v>491537524</v>
      </c>
      <c r="CN102" s="94">
        <f>SUMIFS('Federal Data'!AQ2:AQ501,'Federal Data'!$G2:$G501,"Non-Cash Programs",'Federal Data'!$D2:$D501,"Nongrant")</f>
        <v>128589000</v>
      </c>
      <c r="CO102" s="101">
        <f>'State and Local P&amp;L (detailed)'!$AG$59</f>
        <v>424819191</v>
      </c>
      <c r="CP102" s="101">
        <f t="shared" ref="CP102:CP124" si="214">SUM(CN102:CO102)</f>
        <v>553408191</v>
      </c>
      <c r="CQ102" s="94">
        <f>SUMIFS('Federal Data'!AR2:AR501,'Federal Data'!$G2:$G501,"Non-Cash Programs",'Federal Data'!$D2:$D501,"Nongrant")</f>
        <v>136072000</v>
      </c>
      <c r="CR102" s="101">
        <f>'State and Local P&amp;L (detailed)'!$AH$59</f>
        <v>459335538</v>
      </c>
      <c r="CS102" s="101">
        <f t="shared" ref="CS102:CS124" si="215">SUM(CQ102:CR102)</f>
        <v>595407538</v>
      </c>
      <c r="CT102" s="94">
        <f>SUMIFS('Federal Data'!AS2:AS501,'Federal Data'!$G2:$G501,"Non-Cash Programs",'Federal Data'!$D2:$D501,"Nongrant")</f>
        <v>131779000</v>
      </c>
      <c r="CU102" s="101">
        <f>'State and Local P&amp;L (detailed)'!$AI$59</f>
        <v>459689018</v>
      </c>
      <c r="CV102" s="101">
        <f t="shared" ref="CV102:CV124" si="216">SUM(CT102:CU102)</f>
        <v>591468018</v>
      </c>
      <c r="CW102" s="94">
        <f>SUMIFS('Federal Data'!AT2:AT501,'Federal Data'!$G2:$G501,"Non-Cash Programs",'Federal Data'!$D2:$D501,"Nongrant")</f>
        <v>134006000</v>
      </c>
      <c r="CX102" s="101">
        <f>'State and Local P&amp;L (detailed)'!$AJ$59</f>
        <v>486029988</v>
      </c>
      <c r="CY102" s="101">
        <f t="shared" ref="CY102:CY124" si="217">SUM(CW102:CX102)</f>
        <v>620035988</v>
      </c>
      <c r="CZ102" s="94">
        <f>SUMIFS('Federal Data'!AU2:AU501,'Federal Data'!$G2:$G501,"Non-Cash Programs",'Federal Data'!$D2:$D501,"Nongrant")</f>
        <v>140762000</v>
      </c>
      <c r="DA102" s="101">
        <f>'State and Local P&amp;L (detailed)'!$AK$59</f>
        <v>509395465</v>
      </c>
      <c r="DB102" s="101">
        <f t="shared" ref="DB102:DB124" si="218">SUM(CZ102:DA102)</f>
        <v>650157465</v>
      </c>
      <c r="DC102" s="37">
        <f>SUMIFS('Federal Data'!AV2:AV501,'Federal Data'!$G2:$G501,"Non-Cash Programs",'Federal Data'!$D2:$D501,"Nongrant")</f>
        <v>163019000</v>
      </c>
      <c r="DD102" s="85">
        <f>'State and Local P&amp;L (detailed)'!$AL$59</f>
        <v>0</v>
      </c>
      <c r="DE102" s="85">
        <f t="shared" ref="DE102:DE124" si="219">SUM(DC102:DD102)</f>
        <v>163019000</v>
      </c>
    </row>
    <row r="103" spans="1:109" outlineLevel="3">
      <c r="A103" s="31" t="s">
        <v>110</v>
      </c>
      <c r="B103" s="94">
        <f>SUMIFS('Federal Data'!M2:M501,'Federal Data'!$H2:$H501,"Child Care Assistance",'Federal Data'!$D2:$D501,"Nongrant")</f>
        <v>0</v>
      </c>
      <c r="C103" s="101" t="s">
        <v>487</v>
      </c>
      <c r="D103" s="101">
        <f t="shared" si="184"/>
        <v>0</v>
      </c>
      <c r="E103" s="94">
        <f>SUMIFS('Federal Data'!N2:N501,'Federal Data'!$H2:$H501,"Child Care Assistance",'Federal Data'!$D2:$D501,"Nongrant")</f>
        <v>0</v>
      </c>
      <c r="F103" s="101" t="s">
        <v>487</v>
      </c>
      <c r="G103" s="101">
        <f t="shared" si="185"/>
        <v>0</v>
      </c>
      <c r="H103" s="94">
        <f>SUMIFS('Federal Data'!O2:O501,'Federal Data'!$H2:$H501,"Child Care Assistance",'Federal Data'!$D2:$D501,"Nongrant")</f>
        <v>0</v>
      </c>
      <c r="I103" s="101" t="s">
        <v>487</v>
      </c>
      <c r="J103" s="101">
        <f t="shared" si="186"/>
        <v>0</v>
      </c>
      <c r="K103" s="94">
        <f>SUMIFS('Federal Data'!P2:P501,'Federal Data'!$H2:$H501,"Child Care Assistance",'Federal Data'!$D2:$D501,"Nongrant")</f>
        <v>0</v>
      </c>
      <c r="L103" s="101" t="s">
        <v>487</v>
      </c>
      <c r="M103" s="101">
        <f t="shared" si="187"/>
        <v>0</v>
      </c>
      <c r="N103" s="94">
        <f>SUMIFS('Federal Data'!Q2:Q501,'Federal Data'!$H2:$H501,"Child Care Assistance",'Federal Data'!$D2:$D501,"Nongrant")</f>
        <v>0</v>
      </c>
      <c r="O103" s="101" t="s">
        <v>487</v>
      </c>
      <c r="P103" s="101">
        <f t="shared" si="188"/>
        <v>0</v>
      </c>
      <c r="Q103" s="94">
        <f>SUMIFS('Federal Data'!R2:R501,'Federal Data'!$H2:$H501,"Child Care Assistance",'Federal Data'!$D2:$D501,"Nongrant")</f>
        <v>0</v>
      </c>
      <c r="R103" s="101" t="s">
        <v>487</v>
      </c>
      <c r="S103" s="101">
        <f t="shared" si="189"/>
        <v>0</v>
      </c>
      <c r="T103" s="94">
        <f>SUMIFS('Federal Data'!S2:S501,'Federal Data'!$H2:$H501,"Child Care Assistance",'Federal Data'!$D2:$D501,"Nongrant")</f>
        <v>0</v>
      </c>
      <c r="U103" s="101" t="s">
        <v>487</v>
      </c>
      <c r="V103" s="101">
        <f t="shared" si="190"/>
        <v>0</v>
      </c>
      <c r="W103" s="94">
        <f>SUMIFS('Federal Data'!T2:T501,'Federal Data'!$H2:$H501,"Child Care Assistance",'Federal Data'!$D2:$D501,"Nongrant")</f>
        <v>0</v>
      </c>
      <c r="X103" s="101" t="s">
        <v>487</v>
      </c>
      <c r="Y103" s="101">
        <f t="shared" si="191"/>
        <v>0</v>
      </c>
      <c r="Z103" s="94">
        <f>SUMIFS('Federal Data'!U2:U501,'Federal Data'!$H2:$H501,"Child Care Assistance",'Federal Data'!$D2:$D501,"Nongrant")</f>
        <v>0</v>
      </c>
      <c r="AA103" s="101" t="s">
        <v>487</v>
      </c>
      <c r="AB103" s="101">
        <f t="shared" si="192"/>
        <v>0</v>
      </c>
      <c r="AC103" s="94">
        <f>SUMIFS('Federal Data'!V2:V501,'Federal Data'!$H2:$H501,"Child Care Assistance",'Federal Data'!$D2:$D501,"Nongrant")</f>
        <v>0</v>
      </c>
      <c r="AD103" s="101" t="s">
        <v>487</v>
      </c>
      <c r="AE103" s="101">
        <f t="shared" si="193"/>
        <v>0</v>
      </c>
      <c r="AF103" s="94">
        <f>SUMIFS('Federal Data'!W2:W501,'Federal Data'!$H2:$H501,"Child Care Assistance",'Federal Data'!$D2:$D501,"Nongrant")</f>
        <v>0</v>
      </c>
      <c r="AG103" s="101" t="s">
        <v>487</v>
      </c>
      <c r="AH103" s="101">
        <f t="shared" si="194"/>
        <v>0</v>
      </c>
      <c r="AI103" s="94">
        <f>SUMIFS('Federal Data'!X2:X501,'Federal Data'!$H2:$H501,"Child Care Assistance",'Federal Data'!$D2:$D501,"Nongrant")</f>
        <v>0</v>
      </c>
      <c r="AJ103" s="101" t="s">
        <v>487</v>
      </c>
      <c r="AK103" s="101">
        <f t="shared" si="195"/>
        <v>0</v>
      </c>
      <c r="AL103" s="94">
        <f>SUMIFS('Federal Data'!Y2:Y501,'Federal Data'!$H2:$H501,"Child Care Assistance",'Federal Data'!$D2:$D501,"Nongrant")</f>
        <v>0</v>
      </c>
      <c r="AM103" s="101" t="s">
        <v>487</v>
      </c>
      <c r="AN103" s="101">
        <f t="shared" si="196"/>
        <v>0</v>
      </c>
      <c r="AO103" s="94">
        <f>SUMIFS('Federal Data'!Z2:Z501,'Federal Data'!$H2:$H501,"Child Care Assistance",'Federal Data'!$D2:$D501,"Nongrant")</f>
        <v>0</v>
      </c>
      <c r="AP103" s="101" t="s">
        <v>487</v>
      </c>
      <c r="AQ103" s="101">
        <f t="shared" si="197"/>
        <v>0</v>
      </c>
      <c r="AR103" s="94">
        <f>SUMIFS('Federal Data'!AA2:AA501,'Federal Data'!$H2:$H501,"Child Care Assistance",'Federal Data'!$D2:$D501,"Nongrant")</f>
        <v>0</v>
      </c>
      <c r="AS103" s="101" t="s">
        <v>487</v>
      </c>
      <c r="AT103" s="101">
        <f t="shared" si="198"/>
        <v>0</v>
      </c>
      <c r="AU103" s="94">
        <f>SUMIFS('Federal Data'!AB2:AB501,'Federal Data'!$H2:$H501,"Child Care Assistance",'Federal Data'!$D2:$D501,"Nongrant")</f>
        <v>0</v>
      </c>
      <c r="AV103" s="101" t="s">
        <v>487</v>
      </c>
      <c r="AW103" s="101">
        <f t="shared" si="199"/>
        <v>0</v>
      </c>
      <c r="AX103" s="94">
        <f>SUMIFS('Federal Data'!AC2:AC501,'Federal Data'!$H2:$H501,"Child Care Assistance",'Federal Data'!$D2:$D501,"Nongrant")</f>
        <v>0</v>
      </c>
      <c r="AY103" s="101" t="s">
        <v>487</v>
      </c>
      <c r="AZ103" s="101">
        <f t="shared" si="200"/>
        <v>0</v>
      </c>
      <c r="BA103" s="94">
        <f>SUMIFS('Federal Data'!AD2:AD501,'Federal Data'!$H2:$H501,"Child Care Assistance",'Federal Data'!$D2:$D501,"Nongrant")</f>
        <v>0</v>
      </c>
      <c r="BB103" s="101" t="s">
        <v>487</v>
      </c>
      <c r="BC103" s="101">
        <f t="shared" si="201"/>
        <v>0</v>
      </c>
      <c r="BD103" s="94">
        <f>SUMIFS('Federal Data'!AE2:AE501,'Federal Data'!$H2:$H501,"Child Care Assistance",'Federal Data'!$D2:$D501,"Nongrant")</f>
        <v>2000</v>
      </c>
      <c r="BE103" s="101" t="s">
        <v>487</v>
      </c>
      <c r="BF103" s="101">
        <f t="shared" si="202"/>
        <v>2000</v>
      </c>
      <c r="BG103" s="94">
        <f>SUMIFS('Federal Data'!AF2:AF501,'Federal Data'!$H2:$H501,"Child Care Assistance",'Federal Data'!$D2:$D501,"Nongrant")</f>
        <v>3000</v>
      </c>
      <c r="BH103" s="101" t="s">
        <v>487</v>
      </c>
      <c r="BI103" s="101">
        <f t="shared" si="203"/>
        <v>3000</v>
      </c>
      <c r="BJ103" s="94">
        <f>SUMIFS('Federal Data'!AG2:AG501,'Federal Data'!$H2:$H501,"Child Care Assistance",'Federal Data'!$D2:$D501,"Nongrant")</f>
        <v>5000</v>
      </c>
      <c r="BK103" s="101" t="s">
        <v>487</v>
      </c>
      <c r="BL103" s="101">
        <f t="shared" si="204"/>
        <v>5000</v>
      </c>
      <c r="BM103" s="94">
        <f>SUMIFS('Federal Data'!AH2:AH501,'Federal Data'!$H2:$H501,"Child Care Assistance",'Federal Data'!$D2:$D501,"Nongrant")</f>
        <v>12000</v>
      </c>
      <c r="BN103" s="101" t="s">
        <v>487</v>
      </c>
      <c r="BO103" s="101">
        <f t="shared" si="205"/>
        <v>12000</v>
      </c>
      <c r="BP103" s="94">
        <f>SUMIFS('Federal Data'!AI2:AI501,'Federal Data'!$H2:$H501,"Child Care Assistance",'Federal Data'!$D2:$D501,"Nongrant")</f>
        <v>14000</v>
      </c>
      <c r="BQ103" s="101" t="s">
        <v>487</v>
      </c>
      <c r="BR103" s="101">
        <f t="shared" si="206"/>
        <v>14000</v>
      </c>
      <c r="BS103" s="94">
        <f>SUMIFS('Federal Data'!AJ2:AJ501,'Federal Data'!$H2:$H501,"Child Care Assistance",'Federal Data'!$D2:$D501,"Nongrant")</f>
        <v>14000</v>
      </c>
      <c r="BT103" s="101" t="s">
        <v>487</v>
      </c>
      <c r="BU103" s="101">
        <f t="shared" si="207"/>
        <v>14000</v>
      </c>
      <c r="BV103" s="94">
        <f>SUMIFS('Federal Data'!AK2:AK501,'Federal Data'!$H2:$H501,"Child Care Assistance",'Federal Data'!$D2:$D501,"Nongrant")</f>
        <v>7000</v>
      </c>
      <c r="BW103" s="101" t="s">
        <v>487</v>
      </c>
      <c r="BX103" s="101">
        <f t="shared" si="208"/>
        <v>7000</v>
      </c>
      <c r="BY103" s="94">
        <f>SUMIFS('Federal Data'!AL2:AL501,'Federal Data'!$H2:$H501,"Child Care Assistance",'Federal Data'!$D2:$D501,"Nongrant")</f>
        <v>7000</v>
      </c>
      <c r="BZ103" s="101" t="s">
        <v>487</v>
      </c>
      <c r="CA103" s="101">
        <f t="shared" si="209"/>
        <v>7000</v>
      </c>
      <c r="CB103" s="94">
        <f>SUMIFS('Federal Data'!AM2:AM501,'Federal Data'!$H2:$H501,"Child Care Assistance",'Federal Data'!$D2:$D501,"Nongrant")</f>
        <v>7000</v>
      </c>
      <c r="CC103" s="101" t="s">
        <v>487</v>
      </c>
      <c r="CD103" s="101">
        <f t="shared" si="210"/>
        <v>7000</v>
      </c>
      <c r="CE103" s="94">
        <f>SUMIFS('Federal Data'!AN2:AN501,'Federal Data'!$H2:$H501,"Child Care Assistance",'Federal Data'!$D2:$D501,"Nongrant")</f>
        <v>7000</v>
      </c>
      <c r="CF103" s="101" t="s">
        <v>487</v>
      </c>
      <c r="CG103" s="101">
        <f t="shared" si="211"/>
        <v>7000</v>
      </c>
      <c r="CH103" s="94">
        <f>SUMIFS('Federal Data'!AO2:AO501,'Federal Data'!$H2:$H501,"Child Care Assistance",'Federal Data'!$D2:$D501,"Nongrant")</f>
        <v>6000</v>
      </c>
      <c r="CI103" s="101" t="s">
        <v>487</v>
      </c>
      <c r="CJ103" s="101">
        <f t="shared" si="212"/>
        <v>6000</v>
      </c>
      <c r="CK103" s="94">
        <f>SUMIFS('Federal Data'!AP2:AP501,'Federal Data'!$H2:$H501,"Child Care Assistance",'Federal Data'!$D2:$D501,"Nongrant")</f>
        <v>7000</v>
      </c>
      <c r="CL103" s="101" t="s">
        <v>487</v>
      </c>
      <c r="CM103" s="101">
        <f t="shared" si="213"/>
        <v>7000</v>
      </c>
      <c r="CN103" s="94">
        <f>SUMIFS('Federal Data'!AQ2:AQ501,'Federal Data'!$H2:$H501,"Child Care Assistance",'Federal Data'!$D2:$D501,"Nongrant")</f>
        <v>7000</v>
      </c>
      <c r="CO103" s="101" t="s">
        <v>487</v>
      </c>
      <c r="CP103" s="101">
        <f t="shared" si="214"/>
        <v>7000</v>
      </c>
      <c r="CQ103" s="94">
        <f>SUMIFS('Federal Data'!AR2:AR501,'Federal Data'!$H2:$H501,"Child Care Assistance",'Federal Data'!$D2:$D501,"Nongrant")</f>
        <v>9000</v>
      </c>
      <c r="CR103" s="101" t="s">
        <v>487</v>
      </c>
      <c r="CS103" s="101">
        <f t="shared" si="215"/>
        <v>9000</v>
      </c>
      <c r="CT103" s="94">
        <f>SUMIFS('Federal Data'!AS2:AS501,'Federal Data'!$H2:$H501,"Child Care Assistance",'Federal Data'!$D2:$D501,"Nongrant")</f>
        <v>9000</v>
      </c>
      <c r="CU103" s="101" t="s">
        <v>487</v>
      </c>
      <c r="CV103" s="101">
        <f t="shared" si="216"/>
        <v>9000</v>
      </c>
      <c r="CW103" s="94">
        <f>SUMIFS('Federal Data'!AT2:AT501,'Federal Data'!$H2:$H501,"Child Care Assistance",'Federal Data'!$D2:$D501,"Nongrant")</f>
        <v>9000</v>
      </c>
      <c r="CX103" s="101" t="s">
        <v>487</v>
      </c>
      <c r="CY103" s="101">
        <f t="shared" si="217"/>
        <v>9000</v>
      </c>
      <c r="CZ103" s="94">
        <f>SUMIFS('Federal Data'!AU2:AU501,'Federal Data'!$H2:$H501,"Child Care Assistance",'Federal Data'!$D2:$D501,"Nongrant")</f>
        <v>9000</v>
      </c>
      <c r="DA103" s="101" t="s">
        <v>487</v>
      </c>
      <c r="DB103" s="101">
        <f t="shared" si="218"/>
        <v>9000</v>
      </c>
      <c r="DC103" s="37">
        <f>SUMIFS('Federal Data'!AV2:AV501,'Federal Data'!$H2:$H501,"Child Care Assistance",'Federal Data'!$D2:$D501,"Nongrant")</f>
        <v>12000</v>
      </c>
      <c r="DD103" s="85" t="s">
        <v>487</v>
      </c>
      <c r="DE103" s="85">
        <f t="shared" si="219"/>
        <v>12000</v>
      </c>
    </row>
    <row r="104" spans="1:109" outlineLevel="3">
      <c r="A104" s="31" t="s">
        <v>111</v>
      </c>
      <c r="B104" s="94">
        <f>SUMIFS('Federal Data'!M2:M501,'Federal Data'!$H2:$H501,"Housing Assistance",'Federal Data'!$D2:$D501,"Nongrant")</f>
        <v>2187172</v>
      </c>
      <c r="C104" s="101">
        <f>'State and Local P&amp;L (detailed)'!$C$60</f>
        <v>5061989</v>
      </c>
      <c r="D104" s="101">
        <f t="shared" si="184"/>
        <v>7249161</v>
      </c>
      <c r="E104" s="94">
        <f>SUMIFS('Federal Data'!N2:N501,'Federal Data'!$H2:$H501,"Housing Assistance",'Federal Data'!$D2:$D501,"Nongrant")</f>
        <v>3698515</v>
      </c>
      <c r="F104" s="101">
        <f>'State and Local P&amp;L (detailed)'!$D$60</f>
        <v>6071388</v>
      </c>
      <c r="G104" s="101">
        <f t="shared" si="185"/>
        <v>9769903</v>
      </c>
      <c r="H104" s="94">
        <f>SUMIFS('Federal Data'!O2:O501,'Federal Data'!$H2:$H501,"Housing Assistance",'Federal Data'!$D2:$D501,"Nongrant")</f>
        <v>3819400</v>
      </c>
      <c r="I104" s="101">
        <f>'State and Local P&amp;L (detailed)'!$E$60</f>
        <v>7430589</v>
      </c>
      <c r="J104" s="101">
        <f t="shared" si="186"/>
        <v>11249989</v>
      </c>
      <c r="K104" s="94">
        <f>SUMIFS('Federal Data'!P2:P501,'Federal Data'!$H2:$H501,"Housing Assistance",'Federal Data'!$D2:$D501,"Nongrant")</f>
        <v>4283284</v>
      </c>
      <c r="L104" s="101">
        <f>'State and Local P&amp;L (detailed)'!$F$60</f>
        <v>7276703</v>
      </c>
      <c r="M104" s="101">
        <f t="shared" si="187"/>
        <v>11559987</v>
      </c>
      <c r="N104" s="94">
        <f>SUMIFS('Federal Data'!Q2:Q501,'Federal Data'!$H2:$H501,"Housing Assistance",'Federal Data'!$D2:$D501,"Nongrant")</f>
        <v>5504272</v>
      </c>
      <c r="O104" s="101">
        <f>'State and Local P&amp;L (detailed)'!$G$60</f>
        <v>7854343</v>
      </c>
      <c r="P104" s="101">
        <f t="shared" si="188"/>
        <v>13358615</v>
      </c>
      <c r="Q104" s="94">
        <f>SUMIFS('Federal Data'!R2:R501,'Federal Data'!$H2:$H501,"Housing Assistance",'Federal Data'!$D2:$D501,"Nongrant")</f>
        <v>18848995</v>
      </c>
      <c r="R104" s="101">
        <f>'State and Local P&amp;L (detailed)'!$H$60</f>
        <v>8805953</v>
      </c>
      <c r="S104" s="101">
        <f t="shared" si="189"/>
        <v>27654948</v>
      </c>
      <c r="T104" s="94">
        <f>SUMIFS('Federal Data'!S2:S501,'Federal Data'!$H2:$H501,"Housing Assistance",'Federal Data'!$D2:$D501,"Nongrant")</f>
        <v>4943041</v>
      </c>
      <c r="U104" s="101">
        <f>'State and Local P&amp;L (detailed)'!$I$60</f>
        <v>9645066</v>
      </c>
      <c r="V104" s="101">
        <f t="shared" si="190"/>
        <v>14588107</v>
      </c>
      <c r="W104" s="94">
        <f>SUMIFS('Federal Data'!T2:T501,'Federal Data'!$H2:$H501,"Housing Assistance",'Federal Data'!$D2:$D501,"Nongrant")</f>
        <v>5258312</v>
      </c>
      <c r="X104" s="101">
        <f>'State and Local P&amp;L (detailed)'!$J$60</f>
        <v>9999627</v>
      </c>
      <c r="Y104" s="101">
        <f t="shared" si="191"/>
        <v>15257939</v>
      </c>
      <c r="Z104" s="94">
        <f>SUMIFS('Federal Data'!U2:U501,'Federal Data'!$H2:$H501,"Housing Assistance",'Federal Data'!$D2:$D501,"Nongrant")</f>
        <v>5258669</v>
      </c>
      <c r="AA104" s="101">
        <f>'State and Local P&amp;L (detailed)'!$K$60</f>
        <v>11381455</v>
      </c>
      <c r="AB104" s="101">
        <f t="shared" si="192"/>
        <v>16640124</v>
      </c>
      <c r="AC104" s="94">
        <f>SUMIFS('Federal Data'!V2:V501,'Federal Data'!$H2:$H501,"Housing Assistance",'Federal Data'!$D2:$D501,"Nongrant")</f>
        <v>6164042</v>
      </c>
      <c r="AD104" s="101">
        <f>'State and Local P&amp;L (detailed)'!$L$60</f>
        <v>12749635</v>
      </c>
      <c r="AE104" s="101">
        <f t="shared" si="193"/>
        <v>18913677</v>
      </c>
      <c r="AF104" s="94">
        <f>SUMIFS('Federal Data'!W2:W501,'Federal Data'!$H2:$H501,"Housing Assistance",'Federal Data'!$D2:$D501,"Nongrant")</f>
        <v>6354607</v>
      </c>
      <c r="AG104" s="101">
        <f>'State and Local P&amp;L (detailed)'!$M$60</f>
        <v>13456105</v>
      </c>
      <c r="AH104" s="101">
        <f t="shared" si="194"/>
        <v>19810712</v>
      </c>
      <c r="AI104" s="94">
        <f>SUMIFS('Federal Data'!X2:X501,'Federal Data'!$H2:$H501,"Housing Assistance",'Federal Data'!$D2:$D501,"Nongrant")</f>
        <v>6731975</v>
      </c>
      <c r="AJ104" s="101">
        <f>'State and Local P&amp;L (detailed)'!$N$60</f>
        <v>14607339</v>
      </c>
      <c r="AK104" s="101">
        <f t="shared" si="195"/>
        <v>21339314</v>
      </c>
      <c r="AL104" s="94">
        <f>SUMIFS('Federal Data'!Y2:Y501,'Federal Data'!$H2:$H501,"Housing Assistance",'Federal Data'!$D2:$D501,"Nongrant")</f>
        <v>6654119</v>
      </c>
      <c r="AM104" s="101">
        <f>'State and Local P&amp;L (detailed)'!$O$60</f>
        <v>15147724</v>
      </c>
      <c r="AN104" s="101">
        <f t="shared" si="196"/>
        <v>21801843</v>
      </c>
      <c r="AO104" s="94">
        <f>SUMIFS('Federal Data'!Z2:Z501,'Federal Data'!$H2:$H501,"Housing Assistance",'Federal Data'!$D2:$D501,"Nongrant")</f>
        <v>7455953</v>
      </c>
      <c r="AP104" s="101">
        <f>'State and Local P&amp;L (detailed)'!$P$60</f>
        <v>16234548</v>
      </c>
      <c r="AQ104" s="101">
        <f t="shared" si="197"/>
        <v>23690501</v>
      </c>
      <c r="AR104" s="94">
        <f>SUMIFS('Federal Data'!AA2:AA501,'Federal Data'!$H2:$H501,"Housing Assistance",'Federal Data'!$D2:$D501,"Nongrant")</f>
        <v>8130857</v>
      </c>
      <c r="AS104" s="101">
        <f>'State and Local P&amp;L (detailed)'!$Q$60</f>
        <v>17381145</v>
      </c>
      <c r="AT104" s="101">
        <f t="shared" si="198"/>
        <v>25512002</v>
      </c>
      <c r="AU104" s="94">
        <f>SUMIFS('Federal Data'!AB2:AB501,'Federal Data'!$H2:$H501,"Housing Assistance",'Federal Data'!$D2:$D501,"Nongrant")</f>
        <v>9156000</v>
      </c>
      <c r="AV104" s="101">
        <f>'State and Local P&amp;L (detailed)'!$R$60</f>
        <v>18951796</v>
      </c>
      <c r="AW104" s="101">
        <f t="shared" si="199"/>
        <v>28107796</v>
      </c>
      <c r="AX104" s="94">
        <f>SUMIFS('Federal Data'!AC2:AC501,'Federal Data'!$H2:$H501,"Housing Assistance",'Federal Data'!$D2:$D501,"Nongrant")</f>
        <v>10048000</v>
      </c>
      <c r="AY104" s="101">
        <f>'State and Local P&amp;L (detailed)'!$S$60</f>
        <v>20031042</v>
      </c>
      <c r="AZ104" s="101">
        <f t="shared" si="200"/>
        <v>30079042</v>
      </c>
      <c r="BA104" s="94">
        <f>SUMIFS('Federal Data'!AD2:AD501,'Federal Data'!$H2:$H501,"Housing Assistance",'Federal Data'!$D2:$D501,"Nongrant")</f>
        <v>10165000</v>
      </c>
      <c r="BB104" s="101">
        <f>'State and Local P&amp;L (detailed)'!$T$60</f>
        <v>20353038</v>
      </c>
      <c r="BC104" s="101">
        <f t="shared" si="201"/>
        <v>30518038</v>
      </c>
      <c r="BD104" s="94">
        <f>SUMIFS('Federal Data'!AE2:AE501,'Federal Data'!$H2:$H501,"Housing Assistance",'Federal Data'!$D2:$D501,"Nongrant")</f>
        <v>9163000</v>
      </c>
      <c r="BE104" s="101">
        <f>'State and Local P&amp;L (detailed)'!$U$60</f>
        <v>21711161</v>
      </c>
      <c r="BF104" s="101">
        <f t="shared" si="202"/>
        <v>30874161</v>
      </c>
      <c r="BG104" s="94">
        <f>SUMIFS('Federal Data'!AF2:AF501,'Federal Data'!$H2:$H501,"Housing Assistance",'Federal Data'!$D2:$D501,"Nongrant")</f>
        <v>4971000</v>
      </c>
      <c r="BH104" s="101">
        <f>'State and Local P&amp;L (detailed)'!$V$60</f>
        <v>22367883</v>
      </c>
      <c r="BI104" s="101">
        <f t="shared" si="203"/>
        <v>27338883</v>
      </c>
      <c r="BJ104" s="94">
        <f>SUMIFS('Federal Data'!AG2:AG501,'Federal Data'!$H2:$H501,"Housing Assistance",'Federal Data'!$D2:$D501,"Nongrant")</f>
        <v>8977000</v>
      </c>
      <c r="BK104" s="101">
        <f>'State and Local P&amp;L (detailed)'!$W$60</f>
        <v>23587216</v>
      </c>
      <c r="BL104" s="101">
        <f t="shared" si="204"/>
        <v>32564216</v>
      </c>
      <c r="BM104" s="94">
        <f>SUMIFS('Federal Data'!AH2:AH501,'Federal Data'!$H2:$H501,"Housing Assistance",'Federal Data'!$D2:$D501,"Nongrant")</f>
        <v>9112000</v>
      </c>
      <c r="BN104" s="101">
        <f>'State and Local P&amp;L (detailed)'!$X$60</f>
        <v>24452880</v>
      </c>
      <c r="BO104" s="101">
        <f t="shared" si="205"/>
        <v>33564880</v>
      </c>
      <c r="BP104" s="94">
        <f>SUMIFS('Federal Data'!AI2:AI501,'Federal Data'!$H2:$H501,"Housing Assistance",'Federal Data'!$D2:$D501,"Nongrant")</f>
        <v>9591000</v>
      </c>
      <c r="BQ104" s="101">
        <f>'State and Local P&amp;L (detailed)'!$Y$60</f>
        <v>28739662</v>
      </c>
      <c r="BR104" s="101">
        <f t="shared" si="206"/>
        <v>38330662</v>
      </c>
      <c r="BS104" s="94">
        <f>SUMIFS('Federal Data'!AJ2:AJ501,'Federal Data'!$H2:$H501,"Housing Assistance",'Federal Data'!$D2:$D501,"Nongrant")</f>
        <v>9552000</v>
      </c>
      <c r="BT104" s="101">
        <f>'State and Local P&amp;L (detailed)'!$Z$60</f>
        <v>31101947</v>
      </c>
      <c r="BU104" s="101">
        <f t="shared" si="207"/>
        <v>40653947</v>
      </c>
      <c r="BV104" s="94">
        <f>SUMIFS('Federal Data'!AK2:AK501,'Federal Data'!$H2:$H501,"Housing Assistance",'Federal Data'!$D2:$D501,"Nongrant")</f>
        <v>9754000</v>
      </c>
      <c r="BW104" s="101">
        <f>'State and Local P&amp;L (detailed)'!$AA$60</f>
        <v>34147266</v>
      </c>
      <c r="BX104" s="101">
        <f t="shared" si="208"/>
        <v>43901266</v>
      </c>
      <c r="BY104" s="94">
        <f>SUMIFS('Federal Data'!AL2:AL501,'Federal Data'!$H2:$H501,"Housing Assistance",'Federal Data'!$D2:$D501,"Nongrant")</f>
        <v>7698000</v>
      </c>
      <c r="BZ104" s="101">
        <f>'State and Local P&amp;L (detailed)'!$AB$60</f>
        <v>39789359</v>
      </c>
      <c r="CA104" s="101">
        <f t="shared" si="209"/>
        <v>47487359</v>
      </c>
      <c r="CB104" s="94">
        <f>SUMIFS('Federal Data'!AM2:AM501,'Federal Data'!$H2:$H501,"Housing Assistance",'Federal Data'!$D2:$D501,"Nongrant")</f>
        <v>10343000</v>
      </c>
      <c r="CC104" s="101">
        <f>'State and Local P&amp;L (detailed)'!$AC$60</f>
        <v>33978993</v>
      </c>
      <c r="CD104" s="101">
        <f t="shared" si="210"/>
        <v>44321993</v>
      </c>
      <c r="CE104" s="94">
        <f>SUMIFS('Federal Data'!AN2:AN501,'Federal Data'!$H2:$H501,"Housing Assistance",'Federal Data'!$D2:$D501,"Nongrant")</f>
        <v>10838000</v>
      </c>
      <c r="CF104" s="101">
        <f>'State and Local P&amp;L (detailed)'!$AD$60</f>
        <v>46817204</v>
      </c>
      <c r="CG104" s="101">
        <f t="shared" si="211"/>
        <v>57655204</v>
      </c>
      <c r="CH104" s="94">
        <f>SUMIFS('Federal Data'!AO2:AO501,'Federal Data'!$H2:$H501,"Housing Assistance",'Federal Data'!$D2:$D501,"Nongrant")</f>
        <v>11378000</v>
      </c>
      <c r="CI104" s="101">
        <f>'State and Local P&amp;L (detailed)'!$AE$60</f>
        <v>50958545</v>
      </c>
      <c r="CJ104" s="101">
        <f t="shared" si="212"/>
        <v>62336545</v>
      </c>
      <c r="CK104" s="94">
        <f>SUMIFS('Federal Data'!AP2:AP501,'Federal Data'!$H2:$H501,"Housing Assistance",'Federal Data'!$D2:$D501,"Nongrant")</f>
        <v>20958000</v>
      </c>
      <c r="CL104" s="101">
        <f>'State and Local P&amp;L (detailed)'!$AF$60</f>
        <v>50317590</v>
      </c>
      <c r="CM104" s="101">
        <f t="shared" si="213"/>
        <v>71275590</v>
      </c>
      <c r="CN104" s="94">
        <f>SUMIFS('Federal Data'!AQ2:AQ501,'Federal Data'!$H2:$H501,"Housing Assistance",'Federal Data'!$D2:$D501,"Nongrant")</f>
        <v>21154000</v>
      </c>
      <c r="CO104" s="101">
        <f>'State and Local P&amp;L (detailed)'!$AG$60</f>
        <v>54372196</v>
      </c>
      <c r="CP104" s="101">
        <f t="shared" si="214"/>
        <v>75526196</v>
      </c>
      <c r="CQ104" s="94">
        <f>SUMIFS('Federal Data'!AR2:AR501,'Federal Data'!$H2:$H501,"Housing Assistance",'Federal Data'!$D2:$D501,"Nongrant")</f>
        <v>19603000</v>
      </c>
      <c r="CR104" s="101">
        <f>'State and Local P&amp;L (detailed)'!$AH$60</f>
        <v>56434691</v>
      </c>
      <c r="CS104" s="101">
        <f t="shared" si="215"/>
        <v>76037691</v>
      </c>
      <c r="CT104" s="94">
        <f>SUMIFS('Federal Data'!AS2:AS501,'Federal Data'!$H2:$H501,"Housing Assistance",'Federal Data'!$D2:$D501,"Nongrant")</f>
        <v>18101000</v>
      </c>
      <c r="CU104" s="101">
        <f>'State and Local P&amp;L (detailed)'!$AI$60</f>
        <v>53422053</v>
      </c>
      <c r="CV104" s="101">
        <f t="shared" si="216"/>
        <v>71523053</v>
      </c>
      <c r="CW104" s="94">
        <f>SUMIFS('Federal Data'!AT2:AT501,'Federal Data'!$H2:$H501,"Housing Assistance",'Federal Data'!$D2:$D501,"Nongrant")</f>
        <v>18763000</v>
      </c>
      <c r="CX104" s="101">
        <f>'State and Local P&amp;L (detailed)'!$AJ$60</f>
        <v>49985105</v>
      </c>
      <c r="CY104" s="101">
        <f t="shared" si="217"/>
        <v>68748105</v>
      </c>
      <c r="CZ104" s="94">
        <f>SUMIFS('Federal Data'!AU2:AU501,'Federal Data'!$H2:$H501,"Housing Assistance",'Federal Data'!$D2:$D501,"Nongrant")</f>
        <v>19254000</v>
      </c>
      <c r="DA104" s="101">
        <f>'State and Local P&amp;L (detailed)'!$AK$60</f>
        <v>49338659</v>
      </c>
      <c r="DB104" s="101">
        <f t="shared" si="218"/>
        <v>68592659</v>
      </c>
      <c r="DC104" s="37">
        <f>SUMIFS('Federal Data'!AV2:AV501,'Federal Data'!$H2:$H501,"Housing Assistance",'Federal Data'!$D2:$D501,"Nongrant")</f>
        <v>19280000</v>
      </c>
      <c r="DD104" s="85">
        <f>'State and Local P&amp;L (detailed)'!$AL$60</f>
        <v>0</v>
      </c>
      <c r="DE104" s="85">
        <f t="shared" si="219"/>
        <v>19280000</v>
      </c>
    </row>
    <row r="105" spans="1:109" outlineLevel="3">
      <c r="A105" s="31" t="s">
        <v>112</v>
      </c>
      <c r="B105" s="94">
        <f>SUMIFS('Federal Data'!M2:M501,'Federal Data'!$H2:$H501,"Medicaid and CHIP",'Federal Data'!$D2:$D501,"Nongrant")</f>
        <v>0</v>
      </c>
      <c r="C105" s="101">
        <f>'State and Local P&amp;L (detailed)'!$C$61</f>
        <v>20630918</v>
      </c>
      <c r="D105" s="101">
        <f t="shared" si="184"/>
        <v>20630918</v>
      </c>
      <c r="E105" s="94">
        <f>SUMIFS('Federal Data'!N2:N501,'Federal Data'!$H2:$H501,"Medicaid and CHIP",'Federal Data'!$D2:$D501,"Nongrant")</f>
        <v>0</v>
      </c>
      <c r="F105" s="101">
        <f>'State and Local P&amp;L (detailed)'!$D$61</f>
        <v>23940260</v>
      </c>
      <c r="G105" s="101">
        <f t="shared" si="185"/>
        <v>23940260</v>
      </c>
      <c r="H105" s="94">
        <f>SUMIFS('Federal Data'!O2:O501,'Federal Data'!$H2:$H501,"Medicaid and CHIP",'Federal Data'!$D2:$D501,"Nongrant")</f>
        <v>0</v>
      </c>
      <c r="I105" s="101">
        <f>'State and Local P&amp;L (detailed)'!$E$61</f>
        <v>26092255</v>
      </c>
      <c r="J105" s="101">
        <f t="shared" si="186"/>
        <v>26092255</v>
      </c>
      <c r="K105" s="94">
        <f>SUMIFS('Federal Data'!P2:P501,'Federal Data'!$H2:$H501,"Medicaid and CHIP",'Federal Data'!$D2:$D501,"Nongrant")</f>
        <v>0</v>
      </c>
      <c r="L105" s="101">
        <f>'State and Local P&amp;L (detailed)'!$F$61</f>
        <v>27631556</v>
      </c>
      <c r="M105" s="101">
        <f t="shared" si="187"/>
        <v>27631556</v>
      </c>
      <c r="N105" s="94">
        <f>SUMIFS('Federal Data'!Q2:Q501,'Federal Data'!$H2:$H501,"Medicaid and CHIP",'Federal Data'!$D2:$D501,"Nongrant")</f>
        <v>0</v>
      </c>
      <c r="O105" s="101">
        <f>'State and Local P&amp;L (detailed)'!$G$61</f>
        <v>30815647</v>
      </c>
      <c r="P105" s="101">
        <f t="shared" si="188"/>
        <v>30815647</v>
      </c>
      <c r="Q105" s="94">
        <f>SUMIFS('Federal Data'!R2:R501,'Federal Data'!$H2:$H501,"Medicaid and CHIP",'Federal Data'!$D2:$D501,"Nongrant")</f>
        <v>0</v>
      </c>
      <c r="R105" s="101">
        <f>'State and Local P&amp;L (detailed)'!$H$61</f>
        <v>33240350</v>
      </c>
      <c r="S105" s="101">
        <f t="shared" si="189"/>
        <v>33240350</v>
      </c>
      <c r="T105" s="94">
        <f>SUMIFS('Federal Data'!S2:S501,'Federal Data'!$H2:$H501,"Medicaid and CHIP",'Federal Data'!$D2:$D501,"Nongrant")</f>
        <v>0</v>
      </c>
      <c r="U105" s="101">
        <f>'State and Local P&amp;L (detailed)'!$I$61</f>
        <v>35511240</v>
      </c>
      <c r="V105" s="101">
        <f t="shared" si="190"/>
        <v>35511240</v>
      </c>
      <c r="W105" s="94">
        <f>SUMIFS('Federal Data'!T2:T501,'Federal Data'!$H2:$H501,"Medicaid and CHIP",'Federal Data'!$D2:$D501,"Nongrant")</f>
        <v>0</v>
      </c>
      <c r="X105" s="101">
        <f>'State and Local P&amp;L (detailed)'!$J$61</f>
        <v>39379119</v>
      </c>
      <c r="Y105" s="101">
        <f t="shared" si="191"/>
        <v>39379119</v>
      </c>
      <c r="Z105" s="94">
        <f>SUMIFS('Federal Data'!U2:U501,'Federal Data'!$H2:$H501,"Medicaid and CHIP",'Federal Data'!$D2:$D501,"Nongrant")</f>
        <v>0</v>
      </c>
      <c r="AA105" s="101">
        <f>'State and Local P&amp;L (detailed)'!$K$61</f>
        <v>43764981</v>
      </c>
      <c r="AB105" s="101">
        <f t="shared" si="192"/>
        <v>43764981</v>
      </c>
      <c r="AC105" s="94">
        <f>SUMIFS('Federal Data'!V2:V501,'Federal Data'!$H2:$H501,"Medicaid and CHIP",'Federal Data'!$D2:$D501,"Nongrant")</f>
        <v>0</v>
      </c>
      <c r="AD105" s="101">
        <f>'State and Local P&amp;L (detailed)'!$L$61</f>
        <v>49061316</v>
      </c>
      <c r="AE105" s="101">
        <f t="shared" si="193"/>
        <v>49061316</v>
      </c>
      <c r="AF105" s="94">
        <f>SUMIFS('Federal Data'!W2:W501,'Federal Data'!$H2:$H501,"Medicaid and CHIP",'Federal Data'!$D2:$D501,"Nongrant")</f>
        <v>0</v>
      </c>
      <c r="AG105" s="101">
        <f>'State and Local P&amp;L (detailed)'!$M$61</f>
        <v>57375142</v>
      </c>
      <c r="AH105" s="101">
        <f t="shared" si="194"/>
        <v>57375142</v>
      </c>
      <c r="AI105" s="94">
        <f>SUMIFS('Federal Data'!X2:X501,'Federal Data'!$H2:$H501,"Medicaid and CHIP",'Federal Data'!$D2:$D501,"Nongrant")</f>
        <v>0</v>
      </c>
      <c r="AJ105" s="101">
        <f>'State and Local P&amp;L (detailed)'!$N$61</f>
        <v>71429490</v>
      </c>
      <c r="AK105" s="101">
        <f t="shared" si="195"/>
        <v>71429490</v>
      </c>
      <c r="AL105" s="94">
        <f>SUMIFS('Federal Data'!Y2:Y501,'Federal Data'!$H2:$H501,"Medicaid and CHIP",'Federal Data'!$D2:$D501,"Nongrant")</f>
        <v>0</v>
      </c>
      <c r="AM105" s="101">
        <f>'State and Local P&amp;L (detailed)'!$O$61</f>
        <v>109991676</v>
      </c>
      <c r="AN105" s="101">
        <f t="shared" si="196"/>
        <v>109991676</v>
      </c>
      <c r="AO105" s="94">
        <f>SUMIFS('Federal Data'!Z2:Z501,'Federal Data'!$H2:$H501,"Medicaid and CHIP",'Federal Data'!$D2:$D501,"Nongrant")</f>
        <v>0</v>
      </c>
      <c r="AP105" s="101">
        <f>'State and Local P&amp;L (detailed)'!$P$61</f>
        <v>119558699</v>
      </c>
      <c r="AQ105" s="101">
        <f t="shared" si="197"/>
        <v>119558699</v>
      </c>
      <c r="AR105" s="94">
        <f>SUMIFS('Federal Data'!AA2:AA501,'Federal Data'!$H2:$H501,"Medicaid and CHIP",'Federal Data'!$D2:$D501,"Nongrant")</f>
        <v>0</v>
      </c>
      <c r="AS105" s="101">
        <f>'State and Local P&amp;L (detailed)'!$Q$61</f>
        <v>130802913</v>
      </c>
      <c r="AT105" s="101">
        <f t="shared" si="198"/>
        <v>130802913</v>
      </c>
      <c r="AU105" s="94">
        <f>SUMIFS('Federal Data'!AB2:AB501,'Federal Data'!$H2:$H501,"Medicaid and CHIP",'Federal Data'!$D2:$D501,"Nongrant")</f>
        <v>0</v>
      </c>
      <c r="AV105" s="101">
        <f>'State and Local P&amp;L (detailed)'!$R$61</f>
        <v>140429746</v>
      </c>
      <c r="AW105" s="101">
        <f t="shared" si="199"/>
        <v>140429746</v>
      </c>
      <c r="AX105" s="94">
        <f>SUMIFS('Federal Data'!AC2:AC501,'Federal Data'!$H2:$H501,"Medicaid and CHIP",'Federal Data'!$D2:$D501,"Nongrant")</f>
        <v>0</v>
      </c>
      <c r="AY105" s="101">
        <f>'State and Local P&amp;L (detailed)'!$S$61</f>
        <v>141770725</v>
      </c>
      <c r="AZ105" s="101">
        <f t="shared" si="200"/>
        <v>141770725</v>
      </c>
      <c r="BA105" s="94">
        <f>SUMIFS('Federal Data'!AD2:AD501,'Federal Data'!$H2:$H501,"Medicaid and CHIP",'Federal Data'!$D2:$D501,"Nongrant")</f>
        <v>0</v>
      </c>
      <c r="BB105" s="101">
        <f>'State and Local P&amp;L (detailed)'!$T$61</f>
        <v>148127427</v>
      </c>
      <c r="BC105" s="101">
        <f t="shared" si="201"/>
        <v>148127427</v>
      </c>
      <c r="BD105" s="94">
        <f>SUMIFS('Federal Data'!AE2:AE501,'Federal Data'!$H2:$H501,"Medicaid and CHIP",'Federal Data'!$D2:$D501,"Nongrant")</f>
        <v>0</v>
      </c>
      <c r="BE105" s="101">
        <f>'State and Local P&amp;L (detailed)'!$U$61</f>
        <v>150176972</v>
      </c>
      <c r="BF105" s="101">
        <f t="shared" si="202"/>
        <v>150176972</v>
      </c>
      <c r="BG105" s="94">
        <f>SUMIFS('Federal Data'!AF2:AF501,'Federal Data'!$H2:$H501,"Medicaid and CHIP",'Federal Data'!$D2:$D501,"Nongrant")</f>
        <v>0</v>
      </c>
      <c r="BH105" s="101">
        <f>'State and Local P&amp;L (detailed)'!$V$61</f>
        <v>158041669</v>
      </c>
      <c r="BI105" s="101">
        <f t="shared" si="203"/>
        <v>158041669</v>
      </c>
      <c r="BJ105" s="94">
        <f>SUMIFS('Federal Data'!AG2:AG501,'Federal Data'!$H2:$H501,"Medicaid and CHIP",'Federal Data'!$D2:$D501,"Nongrant")</f>
        <v>0</v>
      </c>
      <c r="BK105" s="101">
        <f>'State and Local P&amp;L (detailed)'!$W$61</f>
        <v>172403743</v>
      </c>
      <c r="BL105" s="101">
        <f t="shared" si="204"/>
        <v>172403743</v>
      </c>
      <c r="BM105" s="94">
        <f>SUMIFS('Federal Data'!AH2:AH501,'Federal Data'!$H2:$H501,"Medicaid and CHIP",'Federal Data'!$D2:$D501,"Nongrant")</f>
        <v>-60000</v>
      </c>
      <c r="BN105" s="101">
        <f>'State and Local P&amp;L (detailed)'!$X$61</f>
        <v>193019301</v>
      </c>
      <c r="BO105" s="101">
        <f t="shared" si="205"/>
        <v>192959301</v>
      </c>
      <c r="BP105" s="94">
        <f>SUMIFS('Federal Data'!AI2:AI501,'Federal Data'!$H2:$H501,"Medicaid and CHIP",'Federal Data'!$D2:$D501,"Nongrant")</f>
        <v>-138000</v>
      </c>
      <c r="BQ105" s="101">
        <f>'State and Local P&amp;L (detailed)'!$Y$61</f>
        <v>212622838</v>
      </c>
      <c r="BR105" s="101">
        <f t="shared" si="206"/>
        <v>212484838</v>
      </c>
      <c r="BS105" s="94">
        <f>SUMIFS('Federal Data'!AJ2:AJ501,'Federal Data'!$H2:$H501,"Medicaid and CHIP",'Federal Data'!$D2:$D501,"Nongrant")</f>
        <v>-112000</v>
      </c>
      <c r="BT105" s="101">
        <f>'State and Local P&amp;L (detailed)'!$Z$61</f>
        <v>235174973</v>
      </c>
      <c r="BU105" s="101">
        <f t="shared" si="207"/>
        <v>235062973</v>
      </c>
      <c r="BV105" s="94">
        <f>SUMIFS('Federal Data'!AK2:AK501,'Federal Data'!$H2:$H501,"Medicaid and CHIP",'Federal Data'!$D2:$D501,"Nongrant")</f>
        <v>0</v>
      </c>
      <c r="BW105" s="101">
        <f>'State and Local P&amp;L (detailed)'!$AA$61</f>
        <v>261877054</v>
      </c>
      <c r="BX105" s="101">
        <f t="shared" si="208"/>
        <v>261877054</v>
      </c>
      <c r="BY105" s="94">
        <f>SUMIFS('Federal Data'!AL2:AL501,'Federal Data'!$H2:$H501,"Medicaid and CHIP",'Federal Data'!$D2:$D501,"Nongrant")</f>
        <v>0</v>
      </c>
      <c r="BZ105" s="101">
        <f>'State and Local P&amp;L (detailed)'!$AB$61</f>
        <v>286705180</v>
      </c>
      <c r="CA105" s="101">
        <f t="shared" si="209"/>
        <v>286705180</v>
      </c>
      <c r="CB105" s="94">
        <f>SUMIFS('Federal Data'!AM2:AM501,'Federal Data'!$H2:$H501,"Medicaid and CHIP",'Federal Data'!$D2:$D501,"Nongrant")</f>
        <v>0</v>
      </c>
      <c r="CC105" s="101">
        <f>'State and Local P&amp;L (detailed)'!$AC$61</f>
        <v>288665189</v>
      </c>
      <c r="CD105" s="101">
        <f t="shared" si="210"/>
        <v>288665189</v>
      </c>
      <c r="CE105" s="94">
        <f>SUMIFS('Federal Data'!AN2:AN501,'Federal Data'!$H2:$H501,"Medicaid and CHIP",'Federal Data'!$D2:$D501,"Nongrant")</f>
        <v>0</v>
      </c>
      <c r="CF105" s="101">
        <f>'State and Local P&amp;L (detailed)'!$AD$61</f>
        <v>296358198</v>
      </c>
      <c r="CG105" s="101">
        <f t="shared" si="211"/>
        <v>296358198</v>
      </c>
      <c r="CH105" s="94">
        <f>SUMIFS('Federal Data'!AO2:AO501,'Federal Data'!$H2:$H501,"Medicaid and CHIP",'Federal Data'!$D2:$D501,"Nongrant")</f>
        <v>0</v>
      </c>
      <c r="CI105" s="101">
        <f>'State and Local P&amp;L (detailed)'!$AE$61</f>
        <v>310249563</v>
      </c>
      <c r="CJ105" s="101">
        <f t="shared" si="212"/>
        <v>310249563</v>
      </c>
      <c r="CK105" s="94">
        <f>SUMIFS('Federal Data'!AP2:AP501,'Federal Data'!$H2:$H501,"Medicaid and CHIP",'Federal Data'!$D2:$D501,"Nongrant")</f>
        <v>1000</v>
      </c>
      <c r="CL105" s="101">
        <f>'State and Local P&amp;L (detailed)'!$AF$61</f>
        <v>330320096</v>
      </c>
      <c r="CM105" s="101">
        <f t="shared" si="213"/>
        <v>330321096</v>
      </c>
      <c r="CN105" s="94">
        <f>SUMIFS('Federal Data'!AQ2:AQ501,'Federal Data'!$H2:$H501,"Medicaid and CHIP",'Federal Data'!$D2:$D501,"Nongrant")</f>
        <v>0</v>
      </c>
      <c r="CO105" s="101">
        <f>'State and Local P&amp;L (detailed)'!$AG$61</f>
        <v>356181593</v>
      </c>
      <c r="CP105" s="101">
        <f t="shared" si="214"/>
        <v>356181593</v>
      </c>
      <c r="CQ105" s="94">
        <f>SUMIFS('Federal Data'!AR2:AR501,'Federal Data'!$H2:$H501,"Medicaid and CHIP",'Federal Data'!$D2:$D501,"Nongrant")</f>
        <v>6000</v>
      </c>
      <c r="CR105" s="101">
        <f>'State and Local P&amp;L (detailed)'!$AH$61</f>
        <v>388626578</v>
      </c>
      <c r="CS105" s="101">
        <f t="shared" si="215"/>
        <v>388632578</v>
      </c>
      <c r="CT105" s="94">
        <f>SUMIFS('Federal Data'!AS2:AS501,'Federal Data'!$H2:$H501,"Medicaid and CHIP",'Federal Data'!$D2:$D501,"Nongrant")</f>
        <v>6000</v>
      </c>
      <c r="CU105" s="101">
        <f>'State and Local P&amp;L (detailed)'!$AI$61</f>
        <v>393156476</v>
      </c>
      <c r="CV105" s="101">
        <f t="shared" si="216"/>
        <v>393162476</v>
      </c>
      <c r="CW105" s="94">
        <f>SUMIFS('Federal Data'!AT2:AT501,'Federal Data'!$H2:$H501,"Medicaid and CHIP",'Federal Data'!$D2:$D501,"Nongrant")</f>
        <v>8000</v>
      </c>
      <c r="CX105" s="101">
        <f>'State and Local P&amp;L (detailed)'!$AJ$61</f>
        <v>423997662</v>
      </c>
      <c r="CY105" s="101">
        <f t="shared" si="217"/>
        <v>424005662</v>
      </c>
      <c r="CZ105" s="94">
        <f>SUMIFS('Federal Data'!AU2:AU501,'Federal Data'!$H2:$H501,"Medicaid and CHIP",'Federal Data'!$D2:$D501,"Nongrant")</f>
        <v>8000</v>
      </c>
      <c r="DA105" s="101">
        <f>'State and Local P&amp;L (detailed)'!$AK$61</f>
        <v>447827472</v>
      </c>
      <c r="DB105" s="101">
        <f t="shared" si="218"/>
        <v>447835472</v>
      </c>
      <c r="DC105" s="37">
        <f>SUMIFS('Federal Data'!AV2:AV501,'Federal Data'!$H2:$H501,"Medicaid and CHIP",'Federal Data'!$D2:$D501,"Nongrant")</f>
        <v>9000</v>
      </c>
      <c r="DD105" s="85">
        <f>'State and Local P&amp;L (detailed)'!$AL$61</f>
        <v>0</v>
      </c>
      <c r="DE105" s="85">
        <f t="shared" si="219"/>
        <v>9000</v>
      </c>
    </row>
    <row r="106" spans="1:109" outlineLevel="3">
      <c r="A106" s="31" t="s">
        <v>57</v>
      </c>
      <c r="B106" s="94">
        <f>SUMIFS('Federal Data'!M2:M501,'Federal Data'!$H2:$H501,"Other Medical Assistance to Persons",'Federal Data'!$D2:$D501,"Nongrant")</f>
        <v>668959</v>
      </c>
      <c r="C106" s="101">
        <f>'State and Local P&amp;L (detailed)'!$C$62</f>
        <v>413003</v>
      </c>
      <c r="D106" s="101">
        <f t="shared" si="184"/>
        <v>1081962</v>
      </c>
      <c r="E106" s="94">
        <f>SUMIFS('Federal Data'!N2:N501,'Federal Data'!$H2:$H501,"Other Medical Assistance to Persons",'Federal Data'!$D2:$D501,"Nongrant")</f>
        <v>695845</v>
      </c>
      <c r="F106" s="101">
        <f>'State and Local P&amp;L (detailed)'!$D$62</f>
        <v>514005</v>
      </c>
      <c r="G106" s="101">
        <f t="shared" si="185"/>
        <v>1209850</v>
      </c>
      <c r="H106" s="94">
        <f>SUMIFS('Federal Data'!O2:O501,'Federal Data'!$H2:$H501,"Other Medical Assistance to Persons",'Federal Data'!$D2:$D501,"Nongrant")</f>
        <v>667808</v>
      </c>
      <c r="I106" s="101">
        <f>'State and Local P&amp;L (detailed)'!$E$62</f>
        <v>654654</v>
      </c>
      <c r="J106" s="101">
        <f t="shared" si="186"/>
        <v>1322462</v>
      </c>
      <c r="K106" s="94">
        <f>SUMIFS('Federal Data'!P2:P501,'Federal Data'!$H2:$H501,"Other Medical Assistance to Persons",'Federal Data'!$D2:$D501,"Nongrant")</f>
        <v>698333</v>
      </c>
      <c r="L106" s="101">
        <f>'State and Local P&amp;L (detailed)'!$F$62</f>
        <v>847794</v>
      </c>
      <c r="M106" s="101">
        <f t="shared" si="187"/>
        <v>1546127</v>
      </c>
      <c r="N106" s="94">
        <f>SUMIFS('Federal Data'!Q2:Q501,'Federal Data'!$H2:$H501,"Other Medical Assistance to Persons",'Federal Data'!$D2:$D501,"Nongrant")</f>
        <v>787765</v>
      </c>
      <c r="O106" s="101">
        <f>'State and Local P&amp;L (detailed)'!$G$62</f>
        <v>919989</v>
      </c>
      <c r="P106" s="101">
        <f t="shared" si="188"/>
        <v>1707754</v>
      </c>
      <c r="Q106" s="94">
        <f>SUMIFS('Federal Data'!R2:R501,'Federal Data'!$H2:$H501,"Other Medical Assistance to Persons",'Federal Data'!$D2:$D501,"Nongrant")</f>
        <v>863210</v>
      </c>
      <c r="R106" s="101">
        <f>'State and Local P&amp;L (detailed)'!$H$62</f>
        <v>1067618</v>
      </c>
      <c r="S106" s="101">
        <f t="shared" si="189"/>
        <v>1930828</v>
      </c>
      <c r="T106" s="94">
        <f>SUMIFS('Federal Data'!S2:S501,'Federal Data'!$H2:$H501,"Other Medical Assistance to Persons",'Federal Data'!$D2:$D501,"Nongrant")</f>
        <v>858710</v>
      </c>
      <c r="U106" s="101">
        <f>'State and Local P&amp;L (detailed)'!$I$62</f>
        <v>1088434</v>
      </c>
      <c r="V106" s="101">
        <f t="shared" si="190"/>
        <v>1947144</v>
      </c>
      <c r="W106" s="94">
        <f>SUMIFS('Federal Data'!T2:T501,'Federal Data'!$H2:$H501,"Other Medical Assistance to Persons",'Federal Data'!$D2:$D501,"Nongrant")</f>
        <v>855649</v>
      </c>
      <c r="X106" s="101">
        <f>'State and Local P&amp;L (detailed)'!$J$62</f>
        <v>1123768</v>
      </c>
      <c r="Y106" s="101">
        <f t="shared" si="191"/>
        <v>1979417</v>
      </c>
      <c r="Z106" s="94">
        <f>SUMIFS('Federal Data'!U2:U501,'Federal Data'!$H2:$H501,"Other Medical Assistance to Persons",'Federal Data'!$D2:$D501,"Nongrant")</f>
        <v>941235</v>
      </c>
      <c r="AA106" s="101">
        <f>'State and Local P&amp;L (detailed)'!$K$62</f>
        <v>1082778</v>
      </c>
      <c r="AB106" s="101">
        <f t="shared" si="192"/>
        <v>2024013</v>
      </c>
      <c r="AC106" s="94">
        <f>SUMIFS('Federal Data'!V2:V501,'Federal Data'!$H2:$H501,"Other Medical Assistance to Persons",'Federal Data'!$D2:$D501,"Nongrant")</f>
        <v>1047364</v>
      </c>
      <c r="AD106" s="101">
        <f>'State and Local P&amp;L (detailed)'!$L$62</f>
        <v>1266606</v>
      </c>
      <c r="AE106" s="101">
        <f t="shared" si="193"/>
        <v>2313970</v>
      </c>
      <c r="AF106" s="94">
        <f>SUMIFS('Federal Data'!W2:W501,'Federal Data'!$H2:$H501,"Other Medical Assistance to Persons",'Federal Data'!$D2:$D501,"Nongrant")</f>
        <v>1110404</v>
      </c>
      <c r="AG106" s="101">
        <f>'State and Local P&amp;L (detailed)'!$M$62</f>
        <v>1333719</v>
      </c>
      <c r="AH106" s="101">
        <f t="shared" si="194"/>
        <v>2444123</v>
      </c>
      <c r="AI106" s="94">
        <f>SUMIFS('Federal Data'!X2:X501,'Federal Data'!$H2:$H501,"Other Medical Assistance to Persons",'Federal Data'!$D2:$D501,"Nongrant")</f>
        <v>1305660</v>
      </c>
      <c r="AJ106" s="101">
        <f>'State and Local P&amp;L (detailed)'!$N$62</f>
        <v>1436243</v>
      </c>
      <c r="AK106" s="101">
        <f t="shared" si="195"/>
        <v>2741903</v>
      </c>
      <c r="AL106" s="94">
        <f>SUMIFS('Federal Data'!Y2:Y501,'Federal Data'!$H2:$H501,"Other Medical Assistance to Persons",'Federal Data'!$D2:$D501,"Nongrant")</f>
        <v>1963253</v>
      </c>
      <c r="AM106" s="101">
        <f>'State and Local P&amp;L (detailed)'!$O$62</f>
        <v>1495079</v>
      </c>
      <c r="AN106" s="101">
        <f t="shared" si="196"/>
        <v>3458332</v>
      </c>
      <c r="AO106" s="94">
        <f>SUMIFS('Federal Data'!Z2:Z501,'Federal Data'!$H2:$H501,"Other Medical Assistance to Persons",'Federal Data'!$D2:$D501,"Nongrant")</f>
        <v>2383694</v>
      </c>
      <c r="AP106" s="101">
        <f>'State and Local P&amp;L (detailed)'!$P$62</f>
        <v>1538781</v>
      </c>
      <c r="AQ106" s="101">
        <f t="shared" si="197"/>
        <v>3922475</v>
      </c>
      <c r="AR106" s="94">
        <f>SUMIFS('Federal Data'!AA2:AA501,'Federal Data'!$H2:$H501,"Other Medical Assistance to Persons",'Federal Data'!$D2:$D501,"Nongrant")</f>
        <v>2589227</v>
      </c>
      <c r="AS106" s="101">
        <f>'State and Local P&amp;L (detailed)'!$Q$62</f>
        <v>1599781</v>
      </c>
      <c r="AT106" s="101">
        <f t="shared" si="198"/>
        <v>4189008</v>
      </c>
      <c r="AU106" s="94">
        <f>SUMIFS('Federal Data'!AB2:AB501,'Federal Data'!$H2:$H501,"Other Medical Assistance to Persons",'Federal Data'!$D2:$D501,"Nongrant")</f>
        <v>2008000</v>
      </c>
      <c r="AV106" s="101">
        <f>'State and Local P&amp;L (detailed)'!$R$62</f>
        <v>1569946</v>
      </c>
      <c r="AW106" s="101">
        <f t="shared" si="199"/>
        <v>3577946</v>
      </c>
      <c r="AX106" s="94">
        <f>SUMIFS('Federal Data'!AC2:AC501,'Federal Data'!$H2:$H501,"Other Medical Assistance to Persons",'Federal Data'!$D2:$D501,"Nongrant")</f>
        <v>2028000</v>
      </c>
      <c r="AY106" s="101">
        <f>'State and Local P&amp;L (detailed)'!$S$62</f>
        <v>1495599</v>
      </c>
      <c r="AZ106" s="101">
        <f t="shared" si="200"/>
        <v>3523599</v>
      </c>
      <c r="BA106" s="94">
        <f>SUMIFS('Federal Data'!AD2:AD501,'Federal Data'!$H2:$H501,"Other Medical Assistance to Persons",'Federal Data'!$D2:$D501,"Nongrant")</f>
        <v>2173000</v>
      </c>
      <c r="BB106" s="101">
        <f>'State and Local P&amp;L (detailed)'!$T$62</f>
        <v>1607766</v>
      </c>
      <c r="BC106" s="101">
        <f t="shared" si="201"/>
        <v>3780766</v>
      </c>
      <c r="BD106" s="94">
        <f>SUMIFS('Federal Data'!AE2:AE501,'Federal Data'!$H2:$H501,"Other Medical Assistance to Persons",'Federal Data'!$D2:$D501,"Nongrant")</f>
        <v>2149000</v>
      </c>
      <c r="BE106" s="101">
        <f>'State and Local P&amp;L (detailed)'!$U$62</f>
        <v>1759292</v>
      </c>
      <c r="BF106" s="101">
        <f t="shared" si="202"/>
        <v>3908292</v>
      </c>
      <c r="BG106" s="94">
        <f>SUMIFS('Federal Data'!AF2:AF501,'Federal Data'!$H2:$H501,"Other Medical Assistance to Persons",'Federal Data'!$D2:$D501,"Nongrant")</f>
        <v>2199000</v>
      </c>
      <c r="BH106" s="101">
        <f>'State and Local P&amp;L (detailed)'!$V$62</f>
        <v>1811987</v>
      </c>
      <c r="BI106" s="101">
        <f t="shared" si="203"/>
        <v>4010987</v>
      </c>
      <c r="BJ106" s="94">
        <f>SUMIFS('Federal Data'!AG2:AG501,'Federal Data'!$H2:$H501,"Other Medical Assistance to Persons",'Federal Data'!$D2:$D501,"Nongrant")</f>
        <v>2378000</v>
      </c>
      <c r="BK106" s="101">
        <f>'State and Local P&amp;L (detailed)'!$W$62</f>
        <v>2112137</v>
      </c>
      <c r="BL106" s="101">
        <f t="shared" si="204"/>
        <v>4490137</v>
      </c>
      <c r="BM106" s="94">
        <f>SUMIFS('Federal Data'!AH2:AH501,'Federal Data'!$H2:$H501,"Other Medical Assistance to Persons",'Federal Data'!$D2:$D501,"Nongrant")</f>
        <v>2561000</v>
      </c>
      <c r="BN106" s="101">
        <f>'State and Local P&amp;L (detailed)'!$X$62</f>
        <v>2213287</v>
      </c>
      <c r="BO106" s="101">
        <f t="shared" si="205"/>
        <v>4774287</v>
      </c>
      <c r="BP106" s="94">
        <f>SUMIFS('Federal Data'!AI2:AI501,'Federal Data'!$H2:$H501,"Other Medical Assistance to Persons",'Federal Data'!$D2:$D501,"Nongrant")</f>
        <v>2817000</v>
      </c>
      <c r="BQ106" s="101">
        <f>'State and Local P&amp;L (detailed)'!$Y$62</f>
        <v>2043334</v>
      </c>
      <c r="BR106" s="101">
        <f t="shared" si="206"/>
        <v>4860334</v>
      </c>
      <c r="BS106" s="94">
        <f>SUMIFS('Federal Data'!AJ2:AJ501,'Federal Data'!$H2:$H501,"Other Medical Assistance to Persons",'Federal Data'!$D2:$D501,"Nongrant")</f>
        <v>2948000</v>
      </c>
      <c r="BT106" s="101">
        <f>'State and Local P&amp;L (detailed)'!$Z$62</f>
        <v>2230353</v>
      </c>
      <c r="BU106" s="101">
        <f t="shared" si="207"/>
        <v>5178353</v>
      </c>
      <c r="BV106" s="94">
        <f>SUMIFS('Federal Data'!AK2:AK501,'Federal Data'!$H2:$H501,"Other Medical Assistance to Persons",'Federal Data'!$D2:$D501,"Nongrant")</f>
        <v>3145000</v>
      </c>
      <c r="BW106" s="101">
        <f>'State and Local P&amp;L (detailed)'!$AA$62</f>
        <v>4269524</v>
      </c>
      <c r="BX106" s="101">
        <f t="shared" si="208"/>
        <v>7414524</v>
      </c>
      <c r="BY106" s="94">
        <f>SUMIFS('Federal Data'!AL2:AL501,'Federal Data'!$H2:$H501,"Other Medical Assistance to Persons",'Federal Data'!$D2:$D501,"Nongrant")</f>
        <v>3207000</v>
      </c>
      <c r="BZ106" s="101">
        <f>'State and Local P&amp;L (detailed)'!$AB$62</f>
        <v>6138312</v>
      </c>
      <c r="CA106" s="101">
        <f t="shared" si="209"/>
        <v>9345312</v>
      </c>
      <c r="CB106" s="94">
        <f>SUMIFS('Federal Data'!AM2:AM501,'Federal Data'!$H2:$H501,"Other Medical Assistance to Persons",'Federal Data'!$D2:$D501,"Nongrant")</f>
        <v>3347000</v>
      </c>
      <c r="CC106" s="101">
        <f>'State and Local P&amp;L (detailed)'!$AC$62</f>
        <v>8277289</v>
      </c>
      <c r="CD106" s="101">
        <f t="shared" si="210"/>
        <v>11624289</v>
      </c>
      <c r="CE106" s="94">
        <f>SUMIFS('Federal Data'!AN2:AN501,'Federal Data'!$H2:$H501,"Other Medical Assistance to Persons",'Federal Data'!$D2:$D501,"Nongrant")</f>
        <v>3375000</v>
      </c>
      <c r="CF106" s="101">
        <f>'State and Local P&amp;L (detailed)'!$AD$62</f>
        <v>9764491</v>
      </c>
      <c r="CG106" s="101">
        <f t="shared" si="211"/>
        <v>13139491</v>
      </c>
      <c r="CH106" s="94">
        <f>SUMIFS('Federal Data'!AO2:AO501,'Federal Data'!$H2:$H501,"Other Medical Assistance to Persons",'Federal Data'!$D2:$D501,"Nongrant")</f>
        <v>3347000</v>
      </c>
      <c r="CI106" s="101">
        <f>'State and Local P&amp;L (detailed)'!$AE$62</f>
        <v>10406054</v>
      </c>
      <c r="CJ106" s="101">
        <f t="shared" si="212"/>
        <v>13753054</v>
      </c>
      <c r="CK106" s="94">
        <f>SUMIFS('Federal Data'!AP2:AP501,'Federal Data'!$H2:$H501,"Other Medical Assistance to Persons",'Federal Data'!$D2:$D501,"Nongrant")</f>
        <v>4070000</v>
      </c>
      <c r="CL106" s="101">
        <f>'State and Local P&amp;L (detailed)'!$AF$62</f>
        <v>12428838</v>
      </c>
      <c r="CM106" s="101">
        <f t="shared" si="213"/>
        <v>16498838</v>
      </c>
      <c r="CN106" s="94">
        <f>SUMIFS('Federal Data'!AQ2:AQ501,'Federal Data'!$H2:$H501,"Other Medical Assistance to Persons",'Federal Data'!$D2:$D501,"Nongrant")</f>
        <v>8421000</v>
      </c>
      <c r="CO106" s="101">
        <f>'State and Local P&amp;L (detailed)'!$AG$62</f>
        <v>14265402</v>
      </c>
      <c r="CP106" s="101">
        <f t="shared" si="214"/>
        <v>22686402</v>
      </c>
      <c r="CQ106" s="94">
        <f>SUMIFS('Federal Data'!AR2:AR501,'Federal Data'!$H2:$H501,"Other Medical Assistance to Persons",'Federal Data'!$D2:$D501,"Nongrant")</f>
        <v>6582000</v>
      </c>
      <c r="CR106" s="101">
        <f>'State and Local P&amp;L (detailed)'!$AH$62</f>
        <v>14274269</v>
      </c>
      <c r="CS106" s="101">
        <f t="shared" si="215"/>
        <v>20856269</v>
      </c>
      <c r="CT106" s="94">
        <f>SUMIFS('Federal Data'!AS2:AS501,'Federal Data'!$H2:$H501,"Other Medical Assistance to Persons",'Federal Data'!$D2:$D501,"Nongrant")</f>
        <v>4914000</v>
      </c>
      <c r="CU106" s="101">
        <f>'State and Local P&amp;L (detailed)'!$AI$62</f>
        <v>13110489</v>
      </c>
      <c r="CV106" s="101">
        <f t="shared" si="216"/>
        <v>18024489</v>
      </c>
      <c r="CW106" s="94">
        <f>SUMIFS('Federal Data'!AT2:AT501,'Federal Data'!$H2:$H501,"Other Medical Assistance to Persons",'Federal Data'!$D2:$D501,"Nongrant")</f>
        <v>4500000</v>
      </c>
      <c r="CX106" s="101">
        <f>'State and Local P&amp;L (detailed)'!$AJ$62</f>
        <v>12047221</v>
      </c>
      <c r="CY106" s="101">
        <f t="shared" si="217"/>
        <v>16547221</v>
      </c>
      <c r="CZ106" s="94">
        <f>SUMIFS('Federal Data'!AU2:AU501,'Federal Data'!$H2:$H501,"Other Medical Assistance to Persons",'Federal Data'!$D2:$D501,"Nongrant")</f>
        <v>17675000</v>
      </c>
      <c r="DA106" s="101">
        <f>'State and Local P&amp;L (detailed)'!$AK$62</f>
        <v>12229334</v>
      </c>
      <c r="DB106" s="101">
        <f t="shared" si="218"/>
        <v>29904334</v>
      </c>
      <c r="DC106" s="37">
        <f>SUMIFS('Federal Data'!AV2:AV501,'Federal Data'!$H2:$H501,"Other Medical Assistance to Persons",'Federal Data'!$D2:$D501,"Nongrant")</f>
        <v>40868000</v>
      </c>
      <c r="DD106" s="85">
        <f>'State and Local P&amp;L (detailed)'!$AL$62</f>
        <v>0</v>
      </c>
      <c r="DE106" s="85">
        <f t="shared" si="219"/>
        <v>40868000</v>
      </c>
    </row>
    <row r="107" spans="1:109" outlineLevel="3">
      <c r="A107" s="31" t="s">
        <v>113</v>
      </c>
      <c r="B107" s="94">
        <f>SUMIFS('Federal Data'!M2:M501,'Federal Data'!$H2:$H501,"Pell Grants",'Federal Data'!$D2:$D501,"Nongrant")</f>
        <v>3604504</v>
      </c>
      <c r="C107" s="101" t="s">
        <v>487</v>
      </c>
      <c r="D107" s="101">
        <f t="shared" si="184"/>
        <v>3604504</v>
      </c>
      <c r="E107" s="94">
        <f>SUMIFS('Federal Data'!N2:N501,'Federal Data'!$H2:$H501,"Pell Grants",'Federal Data'!$D2:$D501,"Nongrant")</f>
        <v>3827935</v>
      </c>
      <c r="F107" s="101" t="s">
        <v>487</v>
      </c>
      <c r="G107" s="101">
        <f t="shared" si="185"/>
        <v>3827935</v>
      </c>
      <c r="H107" s="94">
        <f>SUMIFS('Federal Data'!O2:O501,'Federal Data'!$H2:$H501,"Pell Grants",'Federal Data'!$D2:$D501,"Nongrant")</f>
        <v>2675717</v>
      </c>
      <c r="I107" s="101" t="s">
        <v>487</v>
      </c>
      <c r="J107" s="101">
        <f t="shared" si="186"/>
        <v>2675717</v>
      </c>
      <c r="K107" s="94">
        <f>SUMIFS('Federal Data'!P2:P501,'Federal Data'!$H2:$H501,"Pell Grants",'Federal Data'!$D2:$D501,"Nongrant")</f>
        <v>3992842</v>
      </c>
      <c r="L107" s="101" t="s">
        <v>487</v>
      </c>
      <c r="M107" s="101">
        <f t="shared" si="187"/>
        <v>3992842</v>
      </c>
      <c r="N107" s="94">
        <f>SUMIFS('Federal Data'!Q2:Q501,'Federal Data'!$H2:$H501,"Pell Grants",'Federal Data'!$D2:$D501,"Nongrant")</f>
        <v>3673678</v>
      </c>
      <c r="O107" s="101" t="s">
        <v>487</v>
      </c>
      <c r="P107" s="101">
        <f t="shared" si="188"/>
        <v>3673678</v>
      </c>
      <c r="Q107" s="94">
        <f>SUMIFS('Federal Data'!R2:R501,'Federal Data'!$H2:$H501,"Pell Grants",'Federal Data'!$D2:$D501,"Nongrant")</f>
        <v>4086709</v>
      </c>
      <c r="R107" s="101" t="s">
        <v>487</v>
      </c>
      <c r="S107" s="101">
        <f t="shared" si="189"/>
        <v>4086709</v>
      </c>
      <c r="T107" s="94">
        <f>SUMIFS('Federal Data'!S2:S501,'Federal Data'!$H2:$H501,"Pell Grants",'Federal Data'!$D2:$D501,"Nongrant")</f>
        <v>4503138</v>
      </c>
      <c r="U107" s="101" t="s">
        <v>487</v>
      </c>
      <c r="V107" s="101">
        <f t="shared" si="190"/>
        <v>4503138</v>
      </c>
      <c r="W107" s="94">
        <f>SUMIFS('Federal Data'!T2:T501,'Federal Data'!$H2:$H501,"Pell Grants",'Federal Data'!$D2:$D501,"Nongrant")</f>
        <v>4713396</v>
      </c>
      <c r="X107" s="101" t="s">
        <v>487</v>
      </c>
      <c r="Y107" s="101">
        <f t="shared" si="191"/>
        <v>4713396</v>
      </c>
      <c r="Z107" s="94">
        <f>SUMIFS('Federal Data'!U2:U501,'Federal Data'!$H2:$H501,"Pell Grants",'Federal Data'!$D2:$D501,"Nongrant")</f>
        <v>5151582</v>
      </c>
      <c r="AA107" s="101" t="s">
        <v>487</v>
      </c>
      <c r="AB107" s="101">
        <f t="shared" si="192"/>
        <v>5151582</v>
      </c>
      <c r="AC107" s="94">
        <f>SUMIFS('Federal Data'!V2:V501,'Federal Data'!$H2:$H501,"Pell Grants",'Federal Data'!$D2:$D501,"Nongrant")</f>
        <v>5791801</v>
      </c>
      <c r="AD107" s="101" t="s">
        <v>487</v>
      </c>
      <c r="AE107" s="101">
        <f t="shared" si="193"/>
        <v>5791801</v>
      </c>
      <c r="AF107" s="94">
        <f>SUMIFS('Federal Data'!W2:W501,'Federal Data'!$H2:$H501,"Pell Grants",'Federal Data'!$D2:$D501,"Nongrant")</f>
        <v>5846916</v>
      </c>
      <c r="AG107" s="101" t="s">
        <v>487</v>
      </c>
      <c r="AH107" s="101">
        <f t="shared" si="194"/>
        <v>5846916</v>
      </c>
      <c r="AI107" s="94">
        <f>SUMIFS('Federal Data'!X2:X501,'Federal Data'!$H2:$H501,"Pell Grants",'Federal Data'!$D2:$D501,"Nongrant")</f>
        <v>6273668</v>
      </c>
      <c r="AJ107" s="101" t="s">
        <v>487</v>
      </c>
      <c r="AK107" s="101">
        <f t="shared" si="195"/>
        <v>6273668</v>
      </c>
      <c r="AL107" s="94">
        <f>SUMIFS('Federal Data'!Y2:Y501,'Federal Data'!$H2:$H501,"Pell Grants",'Federal Data'!$D2:$D501,"Nongrant")</f>
        <v>6998060</v>
      </c>
      <c r="AM107" s="101" t="s">
        <v>487</v>
      </c>
      <c r="AN107" s="101">
        <f t="shared" si="196"/>
        <v>6998060</v>
      </c>
      <c r="AO107" s="94">
        <f>SUMIFS('Federal Data'!Z2:Z501,'Federal Data'!$H2:$H501,"Pell Grants",'Federal Data'!$D2:$D501,"Nongrant")</f>
        <v>7589005</v>
      </c>
      <c r="AP107" s="101" t="s">
        <v>487</v>
      </c>
      <c r="AQ107" s="101">
        <f t="shared" si="197"/>
        <v>7589005</v>
      </c>
      <c r="AR107" s="94">
        <f>SUMIFS('Federal Data'!AA2:AA501,'Federal Data'!$H2:$H501,"Pell Grants",'Federal Data'!$D2:$D501,"Nongrant")</f>
        <v>7037115</v>
      </c>
      <c r="AS107" s="101" t="s">
        <v>487</v>
      </c>
      <c r="AT107" s="101">
        <f t="shared" si="198"/>
        <v>7037115</v>
      </c>
      <c r="AU107" s="94">
        <f>SUMIFS('Federal Data'!AB2:AB501,'Federal Data'!$H2:$H501,"Pell Grants",'Federal Data'!$D2:$D501,"Nongrant")</f>
        <v>6965000</v>
      </c>
      <c r="AV107" s="101" t="s">
        <v>487</v>
      </c>
      <c r="AW107" s="101">
        <f t="shared" si="199"/>
        <v>6965000</v>
      </c>
      <c r="AX107" s="94">
        <f>SUMIFS('Federal Data'!AC2:AC501,'Federal Data'!$H2:$H501,"Pell Grants",'Federal Data'!$D2:$D501,"Nongrant")</f>
        <v>6783000</v>
      </c>
      <c r="AY107" s="101" t="s">
        <v>487</v>
      </c>
      <c r="AZ107" s="101">
        <f t="shared" si="200"/>
        <v>6783000</v>
      </c>
      <c r="BA107" s="94">
        <f>SUMIFS('Federal Data'!AD2:AD501,'Federal Data'!$H2:$H501,"Pell Grants",'Federal Data'!$D2:$D501,"Nongrant")</f>
        <v>7205000</v>
      </c>
      <c r="BB107" s="101" t="s">
        <v>487</v>
      </c>
      <c r="BC107" s="101">
        <f t="shared" si="201"/>
        <v>7205000</v>
      </c>
      <c r="BD107" s="94">
        <f>SUMIFS('Federal Data'!AE2:AE501,'Federal Data'!$H2:$H501,"Pell Grants",'Federal Data'!$D2:$D501,"Nongrant")</f>
        <v>7883000</v>
      </c>
      <c r="BE107" s="101" t="s">
        <v>487</v>
      </c>
      <c r="BF107" s="101">
        <f t="shared" si="202"/>
        <v>7883000</v>
      </c>
      <c r="BG107" s="94">
        <f>SUMIFS('Federal Data'!AF2:AF501,'Federal Data'!$H2:$H501,"Pell Grants",'Federal Data'!$D2:$D501,"Nongrant")</f>
        <v>9102000</v>
      </c>
      <c r="BH107" s="101" t="s">
        <v>487</v>
      </c>
      <c r="BI107" s="101">
        <f t="shared" si="203"/>
        <v>9102000</v>
      </c>
      <c r="BJ107" s="94">
        <f>SUMIFS('Federal Data'!AG2:AG501,'Federal Data'!$H2:$H501,"Pell Grants",'Federal Data'!$D2:$D501,"Nongrant")</f>
        <v>9036000</v>
      </c>
      <c r="BK107" s="101" t="s">
        <v>487</v>
      </c>
      <c r="BL107" s="101">
        <f t="shared" si="204"/>
        <v>9036000</v>
      </c>
      <c r="BM107" s="94">
        <f>SUMIFS('Federal Data'!AH2:AH501,'Federal Data'!$H2:$H501,"Pell Grants",'Federal Data'!$D2:$D501,"Nongrant")</f>
        <v>10118000</v>
      </c>
      <c r="BN107" s="101" t="s">
        <v>487</v>
      </c>
      <c r="BO107" s="101">
        <f t="shared" si="205"/>
        <v>10118000</v>
      </c>
      <c r="BP107" s="94">
        <f>SUMIFS('Federal Data'!AI2:AI501,'Federal Data'!$H2:$H501,"Pell Grants",'Federal Data'!$D2:$D501,"Nongrant")</f>
        <v>12307000</v>
      </c>
      <c r="BQ107" s="101" t="s">
        <v>487</v>
      </c>
      <c r="BR107" s="101">
        <f t="shared" si="206"/>
        <v>12307000</v>
      </c>
      <c r="BS107" s="94">
        <f>SUMIFS('Federal Data'!AJ2:AJ501,'Federal Data'!$H2:$H501,"Pell Grants",'Federal Data'!$D2:$D501,"Nongrant")</f>
        <v>13983000</v>
      </c>
      <c r="BT107" s="101" t="s">
        <v>487</v>
      </c>
      <c r="BU107" s="101">
        <f t="shared" si="207"/>
        <v>13983000</v>
      </c>
      <c r="BV107" s="94">
        <f>SUMIFS('Federal Data'!AK2:AK501,'Federal Data'!$H2:$H501,"Pell Grants",'Federal Data'!$D2:$D501,"Nongrant")</f>
        <v>14789000</v>
      </c>
      <c r="BW107" s="101" t="s">
        <v>487</v>
      </c>
      <c r="BX107" s="101">
        <f t="shared" si="208"/>
        <v>14789000</v>
      </c>
      <c r="BY107" s="94">
        <f>SUMIFS('Federal Data'!AL2:AL501,'Federal Data'!$H2:$H501,"Pell Grants",'Federal Data'!$D2:$D501,"Nongrant")</f>
        <v>15042000</v>
      </c>
      <c r="BZ107" s="101" t="s">
        <v>487</v>
      </c>
      <c r="CA107" s="101">
        <f t="shared" si="209"/>
        <v>15042000</v>
      </c>
      <c r="CB107" s="94">
        <f>SUMIFS('Federal Data'!AM2:AM501,'Federal Data'!$H2:$H501,"Pell Grants",'Federal Data'!$D2:$D501,"Nongrant")</f>
        <v>14642000</v>
      </c>
      <c r="CC107" s="101" t="s">
        <v>487</v>
      </c>
      <c r="CD107" s="101">
        <f t="shared" si="210"/>
        <v>14642000</v>
      </c>
      <c r="CE107" s="94">
        <f>SUMIFS('Federal Data'!AN2:AN501,'Federal Data'!$H2:$H501,"Pell Grants",'Federal Data'!$D2:$D501,"Nongrant")</f>
        <v>14867000</v>
      </c>
      <c r="CF107" s="101" t="s">
        <v>487</v>
      </c>
      <c r="CG107" s="101">
        <f t="shared" si="211"/>
        <v>14867000</v>
      </c>
      <c r="CH107" s="94">
        <f>SUMIFS('Federal Data'!AO2:AO501,'Federal Data'!$H2:$H501,"Pell Grants",'Federal Data'!$D2:$D501,"Nongrant")</f>
        <v>17013000</v>
      </c>
      <c r="CI107" s="101" t="s">
        <v>487</v>
      </c>
      <c r="CJ107" s="101">
        <f t="shared" si="212"/>
        <v>17013000</v>
      </c>
      <c r="CK107" s="94">
        <f>SUMIFS('Federal Data'!AP2:AP501,'Federal Data'!$H2:$H501,"Pell Grants",'Federal Data'!$D2:$D501,"Nongrant")</f>
        <v>23124000</v>
      </c>
      <c r="CL107" s="101" t="s">
        <v>487</v>
      </c>
      <c r="CM107" s="101">
        <f t="shared" si="213"/>
        <v>23124000</v>
      </c>
      <c r="CN107" s="94">
        <f>SUMIFS('Federal Data'!AQ2:AQ501,'Federal Data'!$H2:$H501,"Pell Grants",'Federal Data'!$D2:$D501,"Nongrant")</f>
        <v>33891000</v>
      </c>
      <c r="CO107" s="101" t="s">
        <v>487</v>
      </c>
      <c r="CP107" s="101">
        <f t="shared" si="214"/>
        <v>33891000</v>
      </c>
      <c r="CQ107" s="94">
        <f>SUMIFS('Federal Data'!AR2:AR501,'Federal Data'!$H2:$H501,"Pell Grants",'Federal Data'!$D2:$D501,"Nongrant")</f>
        <v>37847000</v>
      </c>
      <c r="CR107" s="101" t="s">
        <v>487</v>
      </c>
      <c r="CS107" s="101">
        <f t="shared" si="215"/>
        <v>37847000</v>
      </c>
      <c r="CT107" s="94">
        <f>SUMIFS('Federal Data'!AS2:AS501,'Federal Data'!$H2:$H501,"Pell Grants",'Federal Data'!$D2:$D501,"Nongrant")</f>
        <v>34974000</v>
      </c>
      <c r="CU107" s="101" t="s">
        <v>487</v>
      </c>
      <c r="CV107" s="101">
        <f t="shared" si="216"/>
        <v>34974000</v>
      </c>
      <c r="CW107" s="94">
        <f>SUMIFS('Federal Data'!AT2:AT501,'Federal Data'!$H2:$H501,"Pell Grants",'Federal Data'!$D2:$D501,"Nongrant")</f>
        <v>34037000</v>
      </c>
      <c r="CX107" s="101" t="s">
        <v>487</v>
      </c>
      <c r="CY107" s="101">
        <f t="shared" si="217"/>
        <v>34037000</v>
      </c>
      <c r="CZ107" s="94">
        <f>SUMIFS('Federal Data'!AU2:AU501,'Federal Data'!$H2:$H501,"Pell Grants",'Federal Data'!$D2:$D501,"Nongrant")</f>
        <v>33176000</v>
      </c>
      <c r="DA107" s="101" t="s">
        <v>487</v>
      </c>
      <c r="DB107" s="101">
        <f t="shared" si="218"/>
        <v>33176000</v>
      </c>
      <c r="DC107" s="37">
        <f>SUMIFS('Federal Data'!AV2:AV501,'Federal Data'!$H2:$H501,"Pell Grants",'Federal Data'!$D2:$D501,"Nongrant")</f>
        <v>31588000</v>
      </c>
      <c r="DD107" s="85" t="s">
        <v>487</v>
      </c>
      <c r="DE107" s="85">
        <f t="shared" si="219"/>
        <v>31588000</v>
      </c>
    </row>
    <row r="108" spans="1:109" outlineLevel="3">
      <c r="A108" s="31" t="s">
        <v>114</v>
      </c>
      <c r="B108" s="94">
        <f>SUMIFS('Federal Data'!M2:M501,'Federal Data'!$H2:$H501,"SNAP (and other nutritional programs)",'Federal Data'!$D2:$D501,"Nongrant")</f>
        <v>8942004</v>
      </c>
      <c r="C108" s="101" t="s">
        <v>487</v>
      </c>
      <c r="D108" s="101">
        <f t="shared" si="184"/>
        <v>8942004</v>
      </c>
      <c r="E108" s="94">
        <f>SUMIFS('Federal Data'!N2:N501,'Federal Data'!$H2:$H501,"SNAP (and other nutritional programs)",'Federal Data'!$D2:$D501,"Nongrant")</f>
        <v>11039193</v>
      </c>
      <c r="F108" s="101" t="s">
        <v>487</v>
      </c>
      <c r="G108" s="101">
        <f t="shared" si="185"/>
        <v>11039193</v>
      </c>
      <c r="H108" s="94">
        <f>SUMIFS('Federal Data'!O2:O501,'Federal Data'!$H2:$H501,"SNAP (and other nutritional programs)",'Federal Data'!$D2:$D501,"Nongrant")</f>
        <v>10524444</v>
      </c>
      <c r="I108" s="101" t="s">
        <v>487</v>
      </c>
      <c r="J108" s="101">
        <f t="shared" si="186"/>
        <v>10524444</v>
      </c>
      <c r="K108" s="94">
        <f>SUMIFS('Federal Data'!P2:P501,'Federal Data'!$H2:$H501,"SNAP (and other nutritional programs)",'Federal Data'!$D2:$D501,"Nongrant")</f>
        <v>11478759</v>
      </c>
      <c r="L108" s="101" t="s">
        <v>487</v>
      </c>
      <c r="M108" s="101">
        <f t="shared" si="187"/>
        <v>11478759</v>
      </c>
      <c r="N108" s="94">
        <f>SUMIFS('Federal Data'!Q2:Q501,'Federal Data'!$H2:$H501,"SNAP (and other nutritional programs)",'Federal Data'!$D2:$D501,"Nongrant")</f>
        <v>11113932</v>
      </c>
      <c r="O108" s="101" t="s">
        <v>487</v>
      </c>
      <c r="P108" s="101">
        <f t="shared" si="188"/>
        <v>11113932</v>
      </c>
      <c r="Q108" s="94">
        <f>SUMIFS('Federal Data'!R2:R501,'Federal Data'!$H2:$H501,"SNAP (and other nutritional programs)",'Federal Data'!$D2:$D501,"Nongrant")</f>
        <v>11108630</v>
      </c>
      <c r="R108" s="101" t="s">
        <v>487</v>
      </c>
      <c r="S108" s="101">
        <f t="shared" si="189"/>
        <v>11108630</v>
      </c>
      <c r="T108" s="94">
        <f>SUMIFS('Federal Data'!S2:S501,'Federal Data'!$H2:$H501,"SNAP (and other nutritional programs)",'Federal Data'!$D2:$D501,"Nongrant")</f>
        <v>10895071</v>
      </c>
      <c r="U108" s="101" t="s">
        <v>487</v>
      </c>
      <c r="V108" s="101">
        <f t="shared" si="190"/>
        <v>10895071</v>
      </c>
      <c r="W108" s="94">
        <f>SUMIFS('Federal Data'!T2:T501,'Federal Data'!$H2:$H501,"SNAP (and other nutritional programs)",'Federal Data'!$D2:$D501,"Nongrant")</f>
        <v>10673718</v>
      </c>
      <c r="X108" s="101" t="s">
        <v>487</v>
      </c>
      <c r="Y108" s="101">
        <f t="shared" si="191"/>
        <v>10673718</v>
      </c>
      <c r="Z108" s="94">
        <f>SUMIFS('Federal Data'!U2:U501,'Federal Data'!$H2:$H501,"SNAP (and other nutritional programs)",'Federal Data'!$D2:$D501,"Nongrant")</f>
        <v>11394882</v>
      </c>
      <c r="AA108" s="101" t="s">
        <v>487</v>
      </c>
      <c r="AB108" s="101">
        <f t="shared" si="192"/>
        <v>11394882</v>
      </c>
      <c r="AC108" s="94">
        <f>SUMIFS('Federal Data'!V2:V501,'Federal Data'!$H2:$H501,"SNAP (and other nutritional programs)",'Federal Data'!$D2:$D501,"Nongrant")</f>
        <v>11869554</v>
      </c>
      <c r="AD108" s="101" t="s">
        <v>487</v>
      </c>
      <c r="AE108" s="101">
        <f t="shared" si="193"/>
        <v>11869554</v>
      </c>
      <c r="AF108" s="94">
        <f>SUMIFS('Federal Data'!W2:W501,'Federal Data'!$H2:$H501,"SNAP (and other nutritional programs)",'Federal Data'!$D2:$D501,"Nongrant")</f>
        <v>14024265</v>
      </c>
      <c r="AG108" s="101" t="s">
        <v>487</v>
      </c>
      <c r="AH108" s="101">
        <f t="shared" si="194"/>
        <v>14024265</v>
      </c>
      <c r="AI108" s="94">
        <f>SUMIFS('Federal Data'!X2:X501,'Federal Data'!$H2:$H501,"SNAP (and other nutritional programs)",'Federal Data'!$D2:$D501,"Nongrant")</f>
        <v>17528209</v>
      </c>
      <c r="AJ108" s="101" t="s">
        <v>487</v>
      </c>
      <c r="AK108" s="101">
        <f t="shared" si="195"/>
        <v>17528209</v>
      </c>
      <c r="AL108" s="94">
        <f>SUMIFS('Federal Data'!Y2:Y501,'Federal Data'!$H2:$H501,"SNAP (and other nutritional programs)",'Federal Data'!$D2:$D501,"Nongrant")</f>
        <v>20463697</v>
      </c>
      <c r="AM108" s="101" t="s">
        <v>487</v>
      </c>
      <c r="AN108" s="101">
        <f t="shared" si="196"/>
        <v>20463697</v>
      </c>
      <c r="AO108" s="94">
        <f>SUMIFS('Federal Data'!Z2:Z501,'Federal Data'!$H2:$H501,"SNAP (and other nutritional programs)",'Federal Data'!$D2:$D501,"Nongrant")</f>
        <v>22250853</v>
      </c>
      <c r="AP108" s="101" t="s">
        <v>487</v>
      </c>
      <c r="AQ108" s="101">
        <f t="shared" si="197"/>
        <v>22250853</v>
      </c>
      <c r="AR108" s="94">
        <f>SUMIFS('Federal Data'!AA2:AA501,'Federal Data'!$H2:$H501,"SNAP (and other nutritional programs)",'Federal Data'!$D2:$D501,"Nongrant")</f>
        <v>23076121</v>
      </c>
      <c r="AS108" s="101" t="s">
        <v>487</v>
      </c>
      <c r="AT108" s="101">
        <f t="shared" si="198"/>
        <v>23076121</v>
      </c>
      <c r="AU108" s="94">
        <f>SUMIFS('Federal Data'!AB2:AB501,'Federal Data'!$H2:$H501,"SNAP (and other nutritional programs)",'Federal Data'!$D2:$D501,"Nongrant")</f>
        <v>23053000</v>
      </c>
      <c r="AV108" s="101" t="s">
        <v>487</v>
      </c>
      <c r="AW108" s="101">
        <f t="shared" si="199"/>
        <v>23053000</v>
      </c>
      <c r="AX108" s="94">
        <f>SUMIFS('Federal Data'!AC2:AC501,'Federal Data'!$H2:$H501,"SNAP (and other nutritional programs)",'Federal Data'!$D2:$D501,"Nongrant")</f>
        <v>22634000</v>
      </c>
      <c r="AY108" s="101" t="s">
        <v>487</v>
      </c>
      <c r="AZ108" s="101">
        <f t="shared" si="200"/>
        <v>22634000</v>
      </c>
      <c r="BA108" s="94">
        <f>SUMIFS('Federal Data'!AD2:AD501,'Federal Data'!$H2:$H501,"SNAP (and other nutritional programs)",'Federal Data'!$D2:$D501,"Nongrant")</f>
        <v>19982000</v>
      </c>
      <c r="BB108" s="101" t="s">
        <v>487</v>
      </c>
      <c r="BC108" s="101">
        <f t="shared" si="201"/>
        <v>19982000</v>
      </c>
      <c r="BD108" s="94">
        <f>SUMIFS('Federal Data'!AE2:AE501,'Federal Data'!$H2:$H501,"SNAP (and other nutritional programs)",'Federal Data'!$D2:$D501,"Nongrant")</f>
        <v>16714000</v>
      </c>
      <c r="BE108" s="101" t="s">
        <v>487</v>
      </c>
      <c r="BF108" s="101">
        <f t="shared" si="202"/>
        <v>16714000</v>
      </c>
      <c r="BG108" s="94">
        <f>SUMIFS('Federal Data'!AF2:AF501,'Federal Data'!$H2:$H501,"SNAP (and other nutritional programs)",'Federal Data'!$D2:$D501,"Nongrant")</f>
        <v>15907000</v>
      </c>
      <c r="BH108" s="101" t="s">
        <v>487</v>
      </c>
      <c r="BI108" s="101">
        <f t="shared" si="203"/>
        <v>15907000</v>
      </c>
      <c r="BJ108" s="94">
        <f>SUMIFS('Federal Data'!AG2:AG501,'Federal Data'!$H2:$H501,"SNAP (and other nutritional programs)",'Federal Data'!$D2:$D501,"Nongrant")</f>
        <v>15063000</v>
      </c>
      <c r="BK108" s="101" t="s">
        <v>487</v>
      </c>
      <c r="BL108" s="101">
        <f t="shared" si="204"/>
        <v>15063000</v>
      </c>
      <c r="BM108" s="94">
        <f>SUMIFS('Federal Data'!AH2:AH501,'Federal Data'!$H2:$H501,"SNAP (and other nutritional programs)",'Federal Data'!$D2:$D501,"Nongrant")</f>
        <v>15702000</v>
      </c>
      <c r="BN108" s="101" t="s">
        <v>487</v>
      </c>
      <c r="BO108" s="101">
        <f t="shared" si="205"/>
        <v>15702000</v>
      </c>
      <c r="BP108" s="94">
        <f>SUMIFS('Federal Data'!AI2:AI501,'Federal Data'!$H2:$H501,"SNAP (and other nutritional programs)",'Federal Data'!$D2:$D501,"Nongrant")</f>
        <v>18399000</v>
      </c>
      <c r="BQ108" s="101" t="s">
        <v>487</v>
      </c>
      <c r="BR108" s="101">
        <f t="shared" si="206"/>
        <v>18399000</v>
      </c>
      <c r="BS108" s="94">
        <f>SUMIFS('Federal Data'!AJ2:AJ501,'Federal Data'!$H2:$H501,"SNAP (and other nutritional programs)",'Federal Data'!$D2:$D501,"Nongrant")</f>
        <v>21484000</v>
      </c>
      <c r="BT108" s="101" t="s">
        <v>487</v>
      </c>
      <c r="BU108" s="101">
        <f t="shared" si="207"/>
        <v>21484000</v>
      </c>
      <c r="BV108" s="94">
        <f>SUMIFS('Federal Data'!AK2:AK501,'Federal Data'!$H2:$H501,"SNAP (and other nutritional programs)",'Federal Data'!$D2:$D501,"Nongrant")</f>
        <v>24742000</v>
      </c>
      <c r="BW108" s="101" t="s">
        <v>487</v>
      </c>
      <c r="BX108" s="101">
        <f t="shared" si="208"/>
        <v>24742000</v>
      </c>
      <c r="BY108" s="94">
        <f>SUMIFS('Federal Data'!AL2:AL501,'Federal Data'!$H2:$H501,"SNAP (and other nutritional programs)",'Federal Data'!$D2:$D501,"Nongrant")</f>
        <v>28566000</v>
      </c>
      <c r="BZ108" s="101" t="s">
        <v>487</v>
      </c>
      <c r="CA108" s="101">
        <f t="shared" si="209"/>
        <v>28566000</v>
      </c>
      <c r="CB108" s="94">
        <f>SUMIFS('Federal Data'!AM2:AM501,'Federal Data'!$H2:$H501,"SNAP (and other nutritional programs)",'Federal Data'!$D2:$D501,"Nongrant")</f>
        <v>30372000</v>
      </c>
      <c r="CC108" s="101" t="s">
        <v>487</v>
      </c>
      <c r="CD108" s="101">
        <f t="shared" si="210"/>
        <v>30372000</v>
      </c>
      <c r="CE108" s="94">
        <f>SUMIFS('Federal Data'!AN2:AN501,'Federal Data'!$H2:$H501,"SNAP (and other nutritional programs)",'Federal Data'!$D2:$D501,"Nongrant")</f>
        <v>30641000</v>
      </c>
      <c r="CF108" s="101" t="s">
        <v>487</v>
      </c>
      <c r="CG108" s="101">
        <f t="shared" si="211"/>
        <v>30641000</v>
      </c>
      <c r="CH108" s="94">
        <f>SUMIFS('Federal Data'!AO2:AO501,'Federal Data'!$H2:$H501,"SNAP (and other nutritional programs)",'Federal Data'!$D2:$D501,"Nongrant")</f>
        <v>34743000</v>
      </c>
      <c r="CI108" s="101" t="s">
        <v>487</v>
      </c>
      <c r="CJ108" s="101">
        <f t="shared" si="212"/>
        <v>34743000</v>
      </c>
      <c r="CK108" s="94">
        <f>SUMIFS('Federal Data'!AP2:AP501,'Federal Data'!$H2:$H501,"SNAP (and other nutritional programs)",'Federal Data'!$D2:$D501,"Nongrant")</f>
        <v>50311000</v>
      </c>
      <c r="CL108" s="101" t="s">
        <v>487</v>
      </c>
      <c r="CM108" s="101">
        <f t="shared" si="213"/>
        <v>50311000</v>
      </c>
      <c r="CN108" s="94">
        <f>SUMIFS('Federal Data'!AQ2:AQ501,'Federal Data'!$H2:$H501,"SNAP (and other nutritional programs)",'Federal Data'!$D2:$D501,"Nongrant")</f>
        <v>65116000</v>
      </c>
      <c r="CO108" s="101" t="s">
        <v>487</v>
      </c>
      <c r="CP108" s="101">
        <f t="shared" si="214"/>
        <v>65116000</v>
      </c>
      <c r="CQ108" s="94">
        <f>SUMIFS('Federal Data'!AR2:AR501,'Federal Data'!$H2:$H501,"SNAP (and other nutritional programs)",'Federal Data'!$D2:$D501,"Nongrant")</f>
        <v>72025000</v>
      </c>
      <c r="CR108" s="101" t="s">
        <v>487</v>
      </c>
      <c r="CS108" s="101">
        <f t="shared" si="215"/>
        <v>72025000</v>
      </c>
      <c r="CT108" s="94">
        <f>SUMIFS('Federal Data'!AS2:AS501,'Federal Data'!$H2:$H501,"SNAP (and other nutritional programs)",'Federal Data'!$D2:$D501,"Nongrant")</f>
        <v>73775000</v>
      </c>
      <c r="CU108" s="101" t="s">
        <v>487</v>
      </c>
      <c r="CV108" s="101">
        <f t="shared" si="216"/>
        <v>73775000</v>
      </c>
      <c r="CW108" s="94">
        <f>SUMIFS('Federal Data'!AT2:AT501,'Federal Data'!$H2:$H501,"SNAP (and other nutritional programs)",'Federal Data'!$D2:$D501,"Nongrant")</f>
        <v>76689000</v>
      </c>
      <c r="CX108" s="101" t="s">
        <v>487</v>
      </c>
      <c r="CY108" s="101">
        <f t="shared" si="217"/>
        <v>76689000</v>
      </c>
      <c r="CZ108" s="94">
        <f>SUMIFS('Federal Data'!AU2:AU501,'Federal Data'!$H2:$H501,"SNAP (and other nutritional programs)",'Federal Data'!$D2:$D501,"Nongrant")</f>
        <v>70640000</v>
      </c>
      <c r="DA108" s="101" t="s">
        <v>487</v>
      </c>
      <c r="DB108" s="101">
        <f t="shared" si="218"/>
        <v>70640000</v>
      </c>
      <c r="DC108" s="37">
        <f>SUMIFS('Federal Data'!AV2:AV501,'Federal Data'!$H2:$H501,"SNAP (and other nutritional programs)",'Federal Data'!$D2:$D501,"Nongrant")</f>
        <v>71262000</v>
      </c>
      <c r="DD108" s="85" t="s">
        <v>487</v>
      </c>
      <c r="DE108" s="85">
        <f t="shared" si="219"/>
        <v>71262000</v>
      </c>
    </row>
    <row r="109" spans="1:109" outlineLevel="3">
      <c r="A109" s="31" t="s">
        <v>115</v>
      </c>
      <c r="B109" s="94">
        <f>SUMIFS('Federal Data'!M2:M501,'Federal Data'!$H2:$H501,"Other",'Federal Data'!$D2:$D501,"Nongrant",'Federal Data'!$G2:$G501,"Non-Cash Programs")</f>
        <v>620412</v>
      </c>
      <c r="C109" s="101" t="s">
        <v>487</v>
      </c>
      <c r="D109" s="101">
        <f t="shared" si="184"/>
        <v>620412</v>
      </c>
      <c r="E109" s="94">
        <f>SUMIFS('Federal Data'!N2:N501,'Federal Data'!$H2:$H501,"Other",'Federal Data'!$D2:$D501,"Nongrant",'Federal Data'!$G2:$G501,"Non-Cash Programs")</f>
        <v>329282</v>
      </c>
      <c r="F109" s="101" t="s">
        <v>487</v>
      </c>
      <c r="G109" s="101">
        <f t="shared" si="185"/>
        <v>329282</v>
      </c>
      <c r="H109" s="94">
        <f>SUMIFS('Federal Data'!O2:O501,'Federal Data'!$H2:$H501,"Other",'Federal Data'!$D2:$D501,"Nongrant",'Federal Data'!$G2:$G501,"Non-Cash Programs")</f>
        <v>210027</v>
      </c>
      <c r="I109" s="101" t="s">
        <v>487</v>
      </c>
      <c r="J109" s="101">
        <f t="shared" si="186"/>
        <v>210027</v>
      </c>
      <c r="K109" s="94">
        <f>SUMIFS('Federal Data'!P2:P501,'Federal Data'!$H2:$H501,"Other",'Federal Data'!$D2:$D501,"Nongrant",'Federal Data'!$G2:$G501,"Non-Cash Programs")</f>
        <v>252457</v>
      </c>
      <c r="L109" s="101" t="s">
        <v>487</v>
      </c>
      <c r="M109" s="101">
        <f t="shared" si="187"/>
        <v>252457</v>
      </c>
      <c r="N109" s="94">
        <f>SUMIFS('Federal Data'!Q2:Q501,'Federal Data'!$H2:$H501,"Other",'Federal Data'!$D2:$D501,"Nongrant",'Federal Data'!$G2:$G501,"Non-Cash Programs")</f>
        <v>256287</v>
      </c>
      <c r="O109" s="101" t="s">
        <v>487</v>
      </c>
      <c r="P109" s="101">
        <f t="shared" si="188"/>
        <v>256287</v>
      </c>
      <c r="Q109" s="94">
        <f>SUMIFS('Federal Data'!R2:R501,'Federal Data'!$H2:$H501,"Other",'Federal Data'!$D2:$D501,"Nongrant",'Federal Data'!$G2:$G501,"Non-Cash Programs")</f>
        <v>203314</v>
      </c>
      <c r="R109" s="101" t="s">
        <v>487</v>
      </c>
      <c r="S109" s="101">
        <f t="shared" si="189"/>
        <v>203314</v>
      </c>
      <c r="T109" s="94">
        <f>SUMIFS('Federal Data'!S2:S501,'Federal Data'!$H2:$H501,"Other",'Federal Data'!$D2:$D501,"Nongrant",'Federal Data'!$G2:$G501,"Non-Cash Programs")</f>
        <v>241015</v>
      </c>
      <c r="U109" s="101" t="s">
        <v>487</v>
      </c>
      <c r="V109" s="101">
        <f t="shared" si="190"/>
        <v>241015</v>
      </c>
      <c r="W109" s="94">
        <f>SUMIFS('Federal Data'!T2:T501,'Federal Data'!$H2:$H501,"Other",'Federal Data'!$D2:$D501,"Nongrant",'Federal Data'!$G2:$G501,"Non-Cash Programs")</f>
        <v>185330</v>
      </c>
      <c r="X109" s="101" t="s">
        <v>487</v>
      </c>
      <c r="Y109" s="101">
        <f t="shared" si="191"/>
        <v>185330</v>
      </c>
      <c r="Z109" s="94">
        <f>SUMIFS('Federal Data'!U2:U501,'Federal Data'!$H2:$H501,"Other",'Federal Data'!$D2:$D501,"Nongrant",'Federal Data'!$G2:$G501,"Non-Cash Programs")</f>
        <v>176242</v>
      </c>
      <c r="AA109" s="101" t="s">
        <v>487</v>
      </c>
      <c r="AB109" s="101">
        <f t="shared" si="192"/>
        <v>176242</v>
      </c>
      <c r="AC109" s="94">
        <f>SUMIFS('Federal Data'!V2:V501,'Federal Data'!$H2:$H501,"Other",'Federal Data'!$D2:$D501,"Nongrant",'Federal Data'!$G2:$G501,"Non-Cash Programs")</f>
        <v>197810</v>
      </c>
      <c r="AD109" s="101" t="s">
        <v>487</v>
      </c>
      <c r="AE109" s="101">
        <f t="shared" si="193"/>
        <v>197810</v>
      </c>
      <c r="AF109" s="94">
        <f>SUMIFS('Federal Data'!W2:W501,'Federal Data'!$H2:$H501,"Other",'Federal Data'!$D2:$D501,"Nongrant",'Federal Data'!$G2:$G501,"Non-Cash Programs")</f>
        <v>218305</v>
      </c>
      <c r="AG109" s="101" t="s">
        <v>487</v>
      </c>
      <c r="AH109" s="101">
        <f t="shared" si="194"/>
        <v>218305</v>
      </c>
      <c r="AI109" s="94">
        <f>SUMIFS('Federal Data'!X2:X501,'Federal Data'!$H2:$H501,"Other",'Federal Data'!$D2:$D501,"Nongrant",'Federal Data'!$G2:$G501,"Non-Cash Programs")</f>
        <v>142811</v>
      </c>
      <c r="AJ109" s="101" t="s">
        <v>487</v>
      </c>
      <c r="AK109" s="101">
        <f t="shared" si="195"/>
        <v>142811</v>
      </c>
      <c r="AL109" s="94">
        <f>SUMIFS('Federal Data'!Y2:Y501,'Federal Data'!$H2:$H501,"Other",'Federal Data'!$D2:$D501,"Nongrant",'Federal Data'!$G2:$G501,"Non-Cash Programs")</f>
        <v>152409</v>
      </c>
      <c r="AM109" s="101" t="s">
        <v>487</v>
      </c>
      <c r="AN109" s="101">
        <f t="shared" si="196"/>
        <v>152409</v>
      </c>
      <c r="AO109" s="94">
        <f>SUMIFS('Federal Data'!Z2:Z501,'Federal Data'!$H2:$H501,"Other",'Federal Data'!$D2:$D501,"Nongrant",'Federal Data'!$G2:$G501,"Non-Cash Programs")</f>
        <v>211658</v>
      </c>
      <c r="AP109" s="101" t="s">
        <v>487</v>
      </c>
      <c r="AQ109" s="101">
        <f t="shared" si="197"/>
        <v>211658</v>
      </c>
      <c r="AR109" s="94">
        <f>SUMIFS('Federal Data'!AA2:AA501,'Federal Data'!$H2:$H501,"Other",'Federal Data'!$D2:$D501,"Nongrant",'Federal Data'!$G2:$G501,"Non-Cash Programs")</f>
        <v>210693</v>
      </c>
      <c r="AS109" s="101" t="s">
        <v>487</v>
      </c>
      <c r="AT109" s="101">
        <f t="shared" si="198"/>
        <v>210693</v>
      </c>
      <c r="AU109" s="94">
        <f>SUMIFS('Federal Data'!AB2:AB501,'Federal Data'!$H2:$H501,"Other",'Federal Data'!$D2:$D501,"Nongrant",'Federal Data'!$G2:$G501,"Non-Cash Programs")</f>
        <v>70000</v>
      </c>
      <c r="AV109" s="101" t="s">
        <v>487</v>
      </c>
      <c r="AW109" s="101">
        <f t="shared" si="199"/>
        <v>70000</v>
      </c>
      <c r="AX109" s="94">
        <f>SUMIFS('Federal Data'!AC2:AC501,'Federal Data'!$H2:$H501,"Other",'Federal Data'!$D2:$D501,"Nongrant",'Federal Data'!$G2:$G501,"Non-Cash Programs")</f>
        <v>0</v>
      </c>
      <c r="AY109" s="101" t="s">
        <v>487</v>
      </c>
      <c r="AZ109" s="101">
        <f t="shared" si="200"/>
        <v>0</v>
      </c>
      <c r="BA109" s="94">
        <f>SUMIFS('Federal Data'!AD2:AD501,'Federal Data'!$H2:$H501,"Other",'Federal Data'!$D2:$D501,"Nongrant",'Federal Data'!$G2:$G501,"Non-Cash Programs")</f>
        <v>0</v>
      </c>
      <c r="BB109" s="101" t="s">
        <v>487</v>
      </c>
      <c r="BC109" s="101">
        <f t="shared" si="201"/>
        <v>0</v>
      </c>
      <c r="BD109" s="94">
        <f>SUMIFS('Federal Data'!AE2:AE501,'Federal Data'!$H2:$H501,"Other",'Federal Data'!$D2:$D501,"Nongrant",'Federal Data'!$G2:$G501,"Non-Cash Programs")</f>
        <v>0</v>
      </c>
      <c r="BE109" s="101" t="s">
        <v>487</v>
      </c>
      <c r="BF109" s="101">
        <f t="shared" si="202"/>
        <v>0</v>
      </c>
      <c r="BG109" s="94">
        <f>SUMIFS('Federal Data'!AF2:AF501,'Federal Data'!$H2:$H501,"Other",'Federal Data'!$D2:$D501,"Nongrant",'Federal Data'!$G2:$G501,"Non-Cash Programs")</f>
        <v>0</v>
      </c>
      <c r="BH109" s="101" t="s">
        <v>487</v>
      </c>
      <c r="BI109" s="101">
        <f t="shared" si="203"/>
        <v>0</v>
      </c>
      <c r="BJ109" s="94">
        <f>SUMIFS('Federal Data'!AG2:AG501,'Federal Data'!$H2:$H501,"Other",'Federal Data'!$D2:$D501,"Nongrant",'Federal Data'!$G2:$G501,"Non-Cash Programs")</f>
        <v>0</v>
      </c>
      <c r="BK109" s="101" t="s">
        <v>487</v>
      </c>
      <c r="BL109" s="101">
        <f t="shared" si="204"/>
        <v>0</v>
      </c>
      <c r="BM109" s="94">
        <f>SUMIFS('Federal Data'!AH2:AH501,'Federal Data'!$H2:$H501,"Other",'Federal Data'!$D2:$D501,"Nongrant",'Federal Data'!$G2:$G501,"Non-Cash Programs")</f>
        <v>0</v>
      </c>
      <c r="BN109" s="101" t="s">
        <v>487</v>
      </c>
      <c r="BO109" s="101">
        <f t="shared" si="205"/>
        <v>0</v>
      </c>
      <c r="BP109" s="94">
        <f>SUMIFS('Federal Data'!AI2:AI501,'Federal Data'!$H2:$H501,"Other",'Federal Data'!$D2:$D501,"Nongrant",'Federal Data'!$G2:$G501,"Non-Cash Programs")</f>
        <v>0</v>
      </c>
      <c r="BQ109" s="101" t="s">
        <v>487</v>
      </c>
      <c r="BR109" s="101">
        <f t="shared" si="206"/>
        <v>0</v>
      </c>
      <c r="BS109" s="94">
        <f>SUMIFS('Federal Data'!AJ2:AJ501,'Federal Data'!$H2:$H501,"Other",'Federal Data'!$D2:$D501,"Nongrant",'Federal Data'!$G2:$G501,"Non-Cash Programs")</f>
        <v>0</v>
      </c>
      <c r="BT109" s="101" t="s">
        <v>487</v>
      </c>
      <c r="BU109" s="101">
        <f t="shared" si="207"/>
        <v>0</v>
      </c>
      <c r="BV109" s="94">
        <f>SUMIFS('Federal Data'!AK2:AK501,'Federal Data'!$H2:$H501,"Other",'Federal Data'!$D2:$D501,"Nongrant",'Federal Data'!$G2:$G501,"Non-Cash Programs")</f>
        <v>0</v>
      </c>
      <c r="BW109" s="101" t="s">
        <v>487</v>
      </c>
      <c r="BX109" s="101">
        <f t="shared" si="208"/>
        <v>0</v>
      </c>
      <c r="BY109" s="94">
        <f>SUMIFS('Federal Data'!AL2:AL501,'Federal Data'!$H2:$H501,"Other",'Federal Data'!$D2:$D501,"Nongrant",'Federal Data'!$G2:$G501,"Non-Cash Programs")</f>
        <v>0</v>
      </c>
      <c r="BZ109" s="101" t="s">
        <v>487</v>
      </c>
      <c r="CA109" s="101">
        <f t="shared" si="209"/>
        <v>0</v>
      </c>
      <c r="CB109" s="94">
        <f>SUMIFS('Federal Data'!AM2:AM501,'Federal Data'!$H2:$H501,"Other",'Federal Data'!$D2:$D501,"Nongrant",'Federal Data'!$G2:$G501,"Non-Cash Programs")</f>
        <v>0</v>
      </c>
      <c r="CC109" s="101" t="s">
        <v>487</v>
      </c>
      <c r="CD109" s="101">
        <f t="shared" si="210"/>
        <v>0</v>
      </c>
      <c r="CE109" s="94">
        <f>SUMIFS('Federal Data'!AN2:AN501,'Federal Data'!$H2:$H501,"Other",'Federal Data'!$D2:$D501,"Nongrant",'Federal Data'!$G2:$G501,"Non-Cash Programs")</f>
        <v>0</v>
      </c>
      <c r="CF109" s="101" t="s">
        <v>487</v>
      </c>
      <c r="CG109" s="101">
        <f t="shared" si="211"/>
        <v>0</v>
      </c>
      <c r="CH109" s="94">
        <f>SUMIFS('Federal Data'!AO2:AO501,'Federal Data'!$H2:$H501,"Other",'Federal Data'!$D2:$D501,"Nongrant",'Federal Data'!$G2:$G501,"Non-Cash Programs")</f>
        <v>0</v>
      </c>
      <c r="CI109" s="101" t="s">
        <v>487</v>
      </c>
      <c r="CJ109" s="101">
        <f t="shared" si="212"/>
        <v>0</v>
      </c>
      <c r="CK109" s="94">
        <f>SUMIFS('Federal Data'!AP2:AP501,'Federal Data'!$H2:$H501,"Other",'Federal Data'!$D2:$D501,"Nongrant",'Federal Data'!$G2:$G501,"Non-Cash Programs")</f>
        <v>0</v>
      </c>
      <c r="CL109" s="101" t="s">
        <v>487</v>
      </c>
      <c r="CM109" s="101">
        <f t="shared" si="213"/>
        <v>0</v>
      </c>
      <c r="CN109" s="94">
        <f>SUMIFS('Federal Data'!AQ2:AQ501,'Federal Data'!$H2:$H501,"Other",'Federal Data'!$D2:$D501,"Nongrant",'Federal Data'!$G2:$G501,"Non-Cash Programs")</f>
        <v>0</v>
      </c>
      <c r="CO109" s="101" t="s">
        <v>487</v>
      </c>
      <c r="CP109" s="101">
        <f t="shared" si="214"/>
        <v>0</v>
      </c>
      <c r="CQ109" s="94">
        <f>SUMIFS('Federal Data'!AR2:AR501,'Federal Data'!$H2:$H501,"Other",'Federal Data'!$D2:$D501,"Nongrant",'Federal Data'!$G2:$G501,"Non-Cash Programs")</f>
        <v>0</v>
      </c>
      <c r="CR109" s="101" t="s">
        <v>487</v>
      </c>
      <c r="CS109" s="101">
        <f t="shared" si="215"/>
        <v>0</v>
      </c>
      <c r="CT109" s="94">
        <f>SUMIFS('Federal Data'!AS2:AS501,'Federal Data'!$H2:$H501,"Other",'Federal Data'!$D2:$D501,"Nongrant",'Federal Data'!$G2:$G501,"Non-Cash Programs")</f>
        <v>0</v>
      </c>
      <c r="CU109" s="101" t="s">
        <v>487</v>
      </c>
      <c r="CV109" s="101">
        <f t="shared" si="216"/>
        <v>0</v>
      </c>
      <c r="CW109" s="94">
        <f>SUMIFS('Federal Data'!AT2:AT501,'Federal Data'!$H2:$H501,"Other",'Federal Data'!$D2:$D501,"Nongrant",'Federal Data'!$G2:$G501,"Non-Cash Programs")</f>
        <v>0</v>
      </c>
      <c r="CX109" s="101" t="s">
        <v>487</v>
      </c>
      <c r="CY109" s="101">
        <f t="shared" si="217"/>
        <v>0</v>
      </c>
      <c r="CZ109" s="94">
        <f>SUMIFS('Federal Data'!AU2:AU501,'Federal Data'!$H2:$H501,"Other",'Federal Data'!$D2:$D501,"Nongrant",'Federal Data'!$G2:$G501,"Non-Cash Programs")</f>
        <v>0</v>
      </c>
      <c r="DA109" s="101" t="s">
        <v>487</v>
      </c>
      <c r="DB109" s="101">
        <f t="shared" si="218"/>
        <v>0</v>
      </c>
      <c r="DC109" s="37">
        <f>SUMIFS('Federal Data'!AV2:AV501,'Federal Data'!$H2:$H501,"Other",'Federal Data'!$D2:$D501,"Nongrant",'Federal Data'!$G2:$G501,"Non-Cash Programs")</f>
        <v>0</v>
      </c>
      <c r="DD109" s="85" t="s">
        <v>487</v>
      </c>
      <c r="DE109" s="85">
        <f t="shared" si="219"/>
        <v>0</v>
      </c>
    </row>
    <row r="110" spans="1:109" outlineLevel="2">
      <c r="A110" s="29" t="s">
        <v>315</v>
      </c>
      <c r="B110" s="94">
        <f>SUMIFS('Federal Data'!M2:M501,'Federal Data'!$G2:$G501,"Unemployment Insurance",'Federal Data'!$D2:$D501,"Nongrant")</f>
        <v>16913119</v>
      </c>
      <c r="C110" s="101">
        <f>'State and Local P&amp;L (detailed)'!$C$63</f>
        <v>2008792</v>
      </c>
      <c r="D110" s="101">
        <f t="shared" si="184"/>
        <v>18921911</v>
      </c>
      <c r="E110" s="94">
        <f>SUMIFS('Federal Data'!N2:N501,'Federal Data'!$G2:$G501,"Unemployment Insurance",'Federal Data'!$D2:$D501,"Nongrant")</f>
        <v>18340985</v>
      </c>
      <c r="F110" s="101">
        <f>'State and Local P&amp;L (detailed)'!$D$63</f>
        <v>2276431</v>
      </c>
      <c r="G110" s="101">
        <f t="shared" si="185"/>
        <v>20617416</v>
      </c>
      <c r="H110" s="94">
        <f>SUMIFS('Federal Data'!O2:O501,'Federal Data'!$G2:$G501,"Unemployment Insurance",'Federal Data'!$D2:$D501,"Nongrant")</f>
        <v>22341745</v>
      </c>
      <c r="I110" s="101">
        <f>'State and Local P&amp;L (detailed)'!$E$63</f>
        <v>2285868</v>
      </c>
      <c r="J110" s="101">
        <f t="shared" si="186"/>
        <v>24627613</v>
      </c>
      <c r="K110" s="94">
        <f>SUMIFS('Federal Data'!P2:P501,'Federal Data'!$G2:$G501,"Unemployment Insurance",'Federal Data'!$D2:$D501,"Nongrant")</f>
        <v>29993662</v>
      </c>
      <c r="L110" s="101">
        <f>'State and Local P&amp;L (detailed)'!$F$63</f>
        <v>2473187</v>
      </c>
      <c r="M110" s="101">
        <f t="shared" si="187"/>
        <v>32466849</v>
      </c>
      <c r="N110" s="94">
        <f>SUMIFS('Federal Data'!Q2:Q501,'Federal Data'!$G2:$G501,"Unemployment Insurance",'Federal Data'!$D2:$D501,"Nongrant")</f>
        <v>17038028</v>
      </c>
      <c r="O110" s="101">
        <f>'State and Local P&amp;L (detailed)'!$G$63</f>
        <v>2555711</v>
      </c>
      <c r="P110" s="101">
        <f t="shared" si="188"/>
        <v>19593739</v>
      </c>
      <c r="Q110" s="94">
        <f>SUMIFS('Federal Data'!R2:R501,'Federal Data'!$G2:$G501,"Unemployment Insurance",'Federal Data'!$D2:$D501,"Nongrant")</f>
        <v>16240750</v>
      </c>
      <c r="R110" s="101">
        <f>'State and Local P&amp;L (detailed)'!$H$63</f>
        <v>2592119</v>
      </c>
      <c r="S110" s="101">
        <f t="shared" si="189"/>
        <v>18832869</v>
      </c>
      <c r="T110" s="94">
        <f>SUMIFS('Federal Data'!S2:S501,'Federal Data'!$G2:$G501,"Unemployment Insurance",'Federal Data'!$D2:$D501,"Nongrant")</f>
        <v>16475820</v>
      </c>
      <c r="U110" s="101">
        <f>'State and Local P&amp;L (detailed)'!$I$63</f>
        <v>2707220</v>
      </c>
      <c r="V110" s="101">
        <f t="shared" si="190"/>
        <v>19183040</v>
      </c>
      <c r="W110" s="94">
        <f>SUMIFS('Federal Data'!T2:T501,'Federal Data'!$G2:$G501,"Unemployment Insurance",'Federal Data'!$D2:$D501,"Nongrant")</f>
        <v>15806021</v>
      </c>
      <c r="X110" s="101">
        <f>'State and Local P&amp;L (detailed)'!$J$63</f>
        <v>2751691</v>
      </c>
      <c r="Y110" s="101">
        <f t="shared" si="191"/>
        <v>18557712</v>
      </c>
      <c r="Z110" s="94">
        <f>SUMIFS('Federal Data'!U2:U501,'Federal Data'!$G2:$G501,"Unemployment Insurance",'Federal Data'!$D2:$D501,"Nongrant")</f>
        <v>13876964</v>
      </c>
      <c r="AA110" s="101">
        <f>'State and Local P&amp;L (detailed)'!$K$63</f>
        <v>2853110</v>
      </c>
      <c r="AB110" s="101">
        <f t="shared" si="192"/>
        <v>16730074</v>
      </c>
      <c r="AC110" s="94">
        <f>SUMIFS('Federal Data'!V2:V501,'Federal Data'!$G2:$G501,"Unemployment Insurance",'Federal Data'!$D2:$D501,"Nongrant")</f>
        <v>14145291</v>
      </c>
      <c r="AD110" s="101">
        <f>'State and Local P&amp;L (detailed)'!$L$63</f>
        <v>2947169</v>
      </c>
      <c r="AE110" s="101">
        <f t="shared" si="193"/>
        <v>17092460</v>
      </c>
      <c r="AF110" s="94">
        <f>SUMIFS('Federal Data'!W2:W501,'Federal Data'!$G2:$G501,"Unemployment Insurance",'Federal Data'!$D2:$D501,"Nongrant")</f>
        <v>17464552</v>
      </c>
      <c r="AG110" s="101">
        <f>'State and Local P&amp;L (detailed)'!$M$63</f>
        <v>3014354</v>
      </c>
      <c r="AH110" s="101">
        <f t="shared" si="194"/>
        <v>20478906</v>
      </c>
      <c r="AI110" s="94">
        <f>SUMIFS('Federal Data'!X2:X501,'Federal Data'!$G2:$G501,"Unemployment Insurance",'Federal Data'!$D2:$D501,"Nongrant")</f>
        <v>25469338</v>
      </c>
      <c r="AJ110" s="101">
        <f>'State and Local P&amp;L (detailed)'!$N$63</f>
        <v>3249688</v>
      </c>
      <c r="AK110" s="101">
        <f t="shared" si="195"/>
        <v>28719026</v>
      </c>
      <c r="AL110" s="94">
        <f>SUMIFS('Federal Data'!Y2:Y501,'Federal Data'!$G2:$G501,"Unemployment Insurance",'Federal Data'!$D2:$D501,"Nongrant")</f>
        <v>37722499</v>
      </c>
      <c r="AM110" s="101">
        <f>'State and Local P&amp;L (detailed)'!$O$63</f>
        <v>3716776</v>
      </c>
      <c r="AN110" s="101">
        <f t="shared" si="196"/>
        <v>41439275</v>
      </c>
      <c r="AO110" s="94">
        <f>SUMIFS('Federal Data'!Z2:Z501,'Federal Data'!$G2:$G501,"Unemployment Insurance",'Federal Data'!$D2:$D501,"Nongrant")</f>
        <v>36230267</v>
      </c>
      <c r="AP110" s="101">
        <f>'State and Local P&amp;L (detailed)'!$P$63</f>
        <v>3945023</v>
      </c>
      <c r="AQ110" s="101">
        <f t="shared" si="197"/>
        <v>40175290</v>
      </c>
      <c r="AR110" s="94">
        <f>SUMIFS('Federal Data'!AA2:AA501,'Federal Data'!$G2:$G501,"Unemployment Insurance",'Federal Data'!$D2:$D501,"Nongrant")</f>
        <v>27222191</v>
      </c>
      <c r="AS110" s="101">
        <f>'State and Local P&amp;L (detailed)'!$Q$63</f>
        <v>4070807</v>
      </c>
      <c r="AT110" s="101">
        <f t="shared" si="198"/>
        <v>31292998</v>
      </c>
      <c r="AU110" s="94">
        <f>SUMIFS('Federal Data'!AB2:AB501,'Federal Data'!$G2:$G501,"Unemployment Insurance",'Federal Data'!$D2:$D501,"Nongrant")</f>
        <v>21982000</v>
      </c>
      <c r="AV110" s="101">
        <f>'State and Local P&amp;L (detailed)'!$R$63</f>
        <v>3946014</v>
      </c>
      <c r="AW110" s="101">
        <f t="shared" si="199"/>
        <v>25928014</v>
      </c>
      <c r="AX110" s="94">
        <f>SUMIFS('Federal Data'!AC2:AC501,'Federal Data'!$G2:$G501,"Unemployment Insurance",'Federal Data'!$D2:$D501,"Nongrant")</f>
        <v>23199000</v>
      </c>
      <c r="AY110" s="101">
        <f>'State and Local P&amp;L (detailed)'!$S$63</f>
        <v>3930611</v>
      </c>
      <c r="AZ110" s="101">
        <f t="shared" si="200"/>
        <v>27129611</v>
      </c>
      <c r="BA110" s="94">
        <f>SUMIFS('Federal Data'!AD2:AD501,'Federal Data'!$G2:$G501,"Unemployment Insurance",'Federal Data'!$D2:$D501,"Nongrant")</f>
        <v>21197000</v>
      </c>
      <c r="BB110" s="101">
        <f>'State and Local P&amp;L (detailed)'!$T$63</f>
        <v>4009035</v>
      </c>
      <c r="BC110" s="101">
        <f t="shared" si="201"/>
        <v>25206035</v>
      </c>
      <c r="BD110" s="94">
        <f>SUMIFS('Federal Data'!AE2:AE501,'Federal Data'!$G2:$G501,"Unemployment Insurance",'Federal Data'!$D2:$D501,"Nongrant")</f>
        <v>20251000</v>
      </c>
      <c r="BE110" s="101">
        <f>'State and Local P&amp;L (detailed)'!$U$63</f>
        <v>4133183</v>
      </c>
      <c r="BF110" s="101">
        <f t="shared" si="202"/>
        <v>24384183</v>
      </c>
      <c r="BG110" s="94">
        <f>SUMIFS('Federal Data'!AF2:AF501,'Federal Data'!$G2:$G501,"Unemployment Insurance",'Federal Data'!$D2:$D501,"Nongrant")</f>
        <v>21538000</v>
      </c>
      <c r="BH110" s="101">
        <f>'State and Local P&amp;L (detailed)'!$V$63</f>
        <v>4130347</v>
      </c>
      <c r="BI110" s="101">
        <f t="shared" si="203"/>
        <v>25668347</v>
      </c>
      <c r="BJ110" s="94">
        <f>SUMIFS('Federal Data'!AG2:AG501,'Federal Data'!$G2:$G501,"Unemployment Insurance",'Federal Data'!$D2:$D501,"Nongrant")</f>
        <v>21050000</v>
      </c>
      <c r="BK110" s="101">
        <f>'State and Local P&amp;L (detailed)'!$W$63</f>
        <v>4177665</v>
      </c>
      <c r="BL110" s="101">
        <f t="shared" si="204"/>
        <v>25227665</v>
      </c>
      <c r="BM110" s="94">
        <f>SUMIFS('Federal Data'!AH2:AH501,'Federal Data'!$G2:$G501,"Unemployment Insurance",'Federal Data'!$D2:$D501,"Nongrant")</f>
        <v>28310000</v>
      </c>
      <c r="BN110" s="101">
        <f>'State and Local P&amp;L (detailed)'!$X$63</f>
        <v>4358830</v>
      </c>
      <c r="BO110" s="101">
        <f t="shared" si="205"/>
        <v>32668830</v>
      </c>
      <c r="BP110" s="94">
        <f>SUMIFS('Federal Data'!AI2:AI501,'Federal Data'!$G2:$G501,"Unemployment Insurance",'Federal Data'!$D2:$D501,"Nongrant")</f>
        <v>50913000</v>
      </c>
      <c r="BQ110" s="101">
        <f>'State and Local P&amp;L (detailed)'!$Y$63</f>
        <v>5082130</v>
      </c>
      <c r="BR110" s="101">
        <f t="shared" si="206"/>
        <v>55995130</v>
      </c>
      <c r="BS110" s="94">
        <f>SUMIFS('Federal Data'!AJ2:AJ501,'Federal Data'!$G2:$G501,"Unemployment Insurance",'Federal Data'!$D2:$D501,"Nongrant")</f>
        <v>55056000</v>
      </c>
      <c r="BT110" s="101">
        <f>'State and Local P&amp;L (detailed)'!$Z$63</f>
        <v>5267050</v>
      </c>
      <c r="BU110" s="101">
        <f t="shared" si="207"/>
        <v>60323050</v>
      </c>
      <c r="BV110" s="94">
        <f>SUMIFS('Federal Data'!AK2:AK501,'Federal Data'!$G2:$G501,"Unemployment Insurance",'Federal Data'!$D2:$D501,"Nongrant")</f>
        <v>43088000</v>
      </c>
      <c r="BW110" s="101">
        <f>'State and Local P&amp;L (detailed)'!$AA$63</f>
        <v>4363626</v>
      </c>
      <c r="BX110" s="101">
        <f t="shared" si="208"/>
        <v>47451626</v>
      </c>
      <c r="BY110" s="94">
        <f>SUMIFS('Federal Data'!AL2:AL501,'Federal Data'!$G2:$G501,"Unemployment Insurance",'Federal Data'!$D2:$D501,"Nongrant")</f>
        <v>33010000</v>
      </c>
      <c r="BZ110" s="101">
        <f>'State and Local P&amp;L (detailed)'!$AB$63</f>
        <v>4264545</v>
      </c>
      <c r="CA110" s="101">
        <f t="shared" si="209"/>
        <v>37274545</v>
      </c>
      <c r="CB110" s="94">
        <f>SUMIFS('Federal Data'!AM2:AM501,'Federal Data'!$G2:$G501,"Unemployment Insurance",'Federal Data'!$D2:$D501,"Nongrant")</f>
        <v>31974000</v>
      </c>
      <c r="CC110" s="101">
        <f>'State and Local P&amp;L (detailed)'!$AC$63</f>
        <v>4556093</v>
      </c>
      <c r="CD110" s="101">
        <f t="shared" si="210"/>
        <v>36530093</v>
      </c>
      <c r="CE110" s="94">
        <f>SUMIFS('Federal Data'!AN2:AN501,'Federal Data'!$G2:$G501,"Unemployment Insurance",'Federal Data'!$D2:$D501,"Nongrant")</f>
        <v>33334000</v>
      </c>
      <c r="CF110" s="101">
        <f>'State and Local P&amp;L (detailed)'!$AD$63</f>
        <v>3982904</v>
      </c>
      <c r="CG110" s="101">
        <f t="shared" si="211"/>
        <v>37316904</v>
      </c>
      <c r="CH110" s="94">
        <f>SUMIFS('Federal Data'!AO2:AO501,'Federal Data'!$G2:$G501,"Unemployment Insurance",'Federal Data'!$D2:$D501,"Nongrant")</f>
        <v>43511000</v>
      </c>
      <c r="CI110" s="101">
        <f>'State and Local P&amp;L (detailed)'!$AE$63</f>
        <v>4054823</v>
      </c>
      <c r="CJ110" s="101">
        <f t="shared" si="212"/>
        <v>47565823</v>
      </c>
      <c r="CK110" s="94">
        <f>SUMIFS('Federal Data'!AP2:AP501,'Federal Data'!$G2:$G501,"Unemployment Insurance",'Federal Data'!$D2:$D501,"Nongrant")</f>
        <v>119690000</v>
      </c>
      <c r="CL110" s="101">
        <f>'State and Local P&amp;L (detailed)'!$AF$63</f>
        <v>4569908</v>
      </c>
      <c r="CM110" s="101">
        <f t="shared" si="213"/>
        <v>124259908</v>
      </c>
      <c r="CN110" s="94">
        <f>SUMIFS('Federal Data'!AQ2:AQ501,'Federal Data'!$G2:$G501,"Unemployment Insurance",'Federal Data'!$D2:$D501,"Nongrant")</f>
        <v>156550000</v>
      </c>
      <c r="CO110" s="101">
        <f>'State and Local P&amp;L (detailed)'!$AG$63</f>
        <v>5156720</v>
      </c>
      <c r="CP110" s="101">
        <f t="shared" si="214"/>
        <v>161706720</v>
      </c>
      <c r="CQ110" s="94">
        <f>SUMIFS('Federal Data'!AR2:AR501,'Federal Data'!$G2:$G501,"Unemployment Insurance",'Federal Data'!$D2:$D501,"Nongrant")</f>
        <v>116603000</v>
      </c>
      <c r="CR110" s="101">
        <f>'State and Local P&amp;L (detailed)'!$AH$63</f>
        <v>5255857</v>
      </c>
      <c r="CS110" s="101">
        <f t="shared" si="215"/>
        <v>121858857</v>
      </c>
      <c r="CT110" s="94">
        <f>SUMIFS('Federal Data'!AS2:AS501,'Federal Data'!$G2:$G501,"Unemployment Insurance",'Federal Data'!$D2:$D501,"Nongrant")</f>
        <v>92641000</v>
      </c>
      <c r="CU110" s="101">
        <f>'State and Local P&amp;L (detailed)'!$AI$63</f>
        <v>5116142</v>
      </c>
      <c r="CV110" s="101">
        <f t="shared" si="216"/>
        <v>97757142</v>
      </c>
      <c r="CW110" s="94">
        <f>SUMIFS('Federal Data'!AT2:AT501,'Federal Data'!$G2:$G501,"Unemployment Insurance",'Federal Data'!$D2:$D501,"Nongrant")</f>
        <v>68152000</v>
      </c>
      <c r="CX110" s="101">
        <f>'State and Local P&amp;L (detailed)'!$AJ$63</f>
        <v>4900837</v>
      </c>
      <c r="CY110" s="101">
        <f t="shared" si="217"/>
        <v>73052837</v>
      </c>
      <c r="CZ110" s="94">
        <f>SUMIFS('Federal Data'!AU2:AU501,'Federal Data'!$G2:$G501,"Unemployment Insurance",'Federal Data'!$D2:$D501,"Nongrant")</f>
        <v>43746000</v>
      </c>
      <c r="DA110" s="101">
        <f>'State and Local P&amp;L (detailed)'!$AK$63</f>
        <v>4400029</v>
      </c>
      <c r="DB110" s="101">
        <f t="shared" si="218"/>
        <v>48146029</v>
      </c>
      <c r="DC110" s="37">
        <f>SUMIFS('Federal Data'!AV2:AV501,'Federal Data'!$G2:$G501,"Unemployment Insurance",'Federal Data'!$D2:$D501,"Nongrant")</f>
        <v>34162000</v>
      </c>
      <c r="DD110" s="85">
        <f>'State and Local P&amp;L (detailed)'!$AL$63</f>
        <v>0</v>
      </c>
      <c r="DE110" s="85">
        <f t="shared" si="219"/>
        <v>34162000</v>
      </c>
    </row>
    <row r="111" spans="1:109" outlineLevel="2">
      <c r="A111" s="29" t="s">
        <v>62</v>
      </c>
      <c r="B111" s="94">
        <f>SUMIFS('Federal Data'!M2:M501,'Federal Data'!$G2:$G501,"Employment and Training",'Federal Data'!$D2:$D501,"Nongrant")</f>
        <v>1190738</v>
      </c>
      <c r="C111" s="101" t="s">
        <v>487</v>
      </c>
      <c r="D111" s="101">
        <f t="shared" si="184"/>
        <v>1190738</v>
      </c>
      <c r="E111" s="94">
        <f>SUMIFS('Federal Data'!N2:N501,'Federal Data'!$G2:$G501,"Employment and Training",'Federal Data'!$D2:$D501,"Nongrant")</f>
        <v>1261621</v>
      </c>
      <c r="F111" s="101" t="s">
        <v>487</v>
      </c>
      <c r="G111" s="101">
        <f t="shared" si="185"/>
        <v>1261621</v>
      </c>
      <c r="H111" s="94">
        <f>SUMIFS('Federal Data'!O2:O501,'Federal Data'!$G2:$G501,"Employment and Training",'Federal Data'!$D2:$D501,"Nongrant")</f>
        <v>1142790</v>
      </c>
      <c r="I111" s="101" t="s">
        <v>487</v>
      </c>
      <c r="J111" s="101">
        <f t="shared" si="186"/>
        <v>1142790</v>
      </c>
      <c r="K111" s="94">
        <f>SUMIFS('Federal Data'!P2:P501,'Federal Data'!$G2:$G501,"Employment and Training",'Federal Data'!$D2:$D501,"Nongrant")</f>
        <v>1010169</v>
      </c>
      <c r="L111" s="101" t="s">
        <v>487</v>
      </c>
      <c r="M111" s="101">
        <f t="shared" si="187"/>
        <v>1010169</v>
      </c>
      <c r="N111" s="94">
        <f>SUMIFS('Federal Data'!Q2:Q501,'Federal Data'!$G2:$G501,"Employment and Training",'Federal Data'!$D2:$D501,"Nongrant")</f>
        <v>1006297</v>
      </c>
      <c r="O111" s="101" t="s">
        <v>487</v>
      </c>
      <c r="P111" s="101">
        <f t="shared" si="188"/>
        <v>1006297</v>
      </c>
      <c r="Q111" s="94">
        <f>SUMIFS('Federal Data'!R2:R501,'Federal Data'!$G2:$G501,"Employment and Training",'Federal Data'!$D2:$D501,"Nongrant")</f>
        <v>978474</v>
      </c>
      <c r="R111" s="101" t="s">
        <v>487</v>
      </c>
      <c r="S111" s="101">
        <f t="shared" si="189"/>
        <v>978474</v>
      </c>
      <c r="T111" s="94">
        <f>SUMIFS('Federal Data'!S2:S501,'Federal Data'!$G2:$G501,"Employment and Training",'Federal Data'!$D2:$D501,"Nongrant")</f>
        <v>983455</v>
      </c>
      <c r="U111" s="101" t="s">
        <v>487</v>
      </c>
      <c r="V111" s="101">
        <f t="shared" si="190"/>
        <v>983455</v>
      </c>
      <c r="W111" s="94">
        <f>SUMIFS('Federal Data'!T2:T501,'Federal Data'!$G2:$G501,"Employment and Training",'Federal Data'!$D2:$D501,"Nongrant")</f>
        <v>1010929</v>
      </c>
      <c r="X111" s="101" t="s">
        <v>487</v>
      </c>
      <c r="Y111" s="101">
        <f t="shared" si="191"/>
        <v>1010929</v>
      </c>
      <c r="Z111" s="94">
        <f>SUMIFS('Federal Data'!U2:U501,'Federal Data'!$G2:$G501,"Employment and Training",'Federal Data'!$D2:$D501,"Nongrant")</f>
        <v>1127538</v>
      </c>
      <c r="AA111" s="101" t="s">
        <v>487</v>
      </c>
      <c r="AB111" s="101">
        <f t="shared" si="192"/>
        <v>1127538</v>
      </c>
      <c r="AC111" s="94">
        <f>SUMIFS('Federal Data'!V2:V501,'Federal Data'!$G2:$G501,"Employment and Training",'Federal Data'!$D2:$D501,"Nongrant")</f>
        <v>1127840</v>
      </c>
      <c r="AD111" s="101" t="s">
        <v>487</v>
      </c>
      <c r="AE111" s="101">
        <f t="shared" si="193"/>
        <v>1127840</v>
      </c>
      <c r="AF111" s="94">
        <f>SUMIFS('Federal Data'!W2:W501,'Federal Data'!$G2:$G501,"Employment and Training",'Federal Data'!$D2:$D501,"Nongrant")</f>
        <v>1202853</v>
      </c>
      <c r="AG111" s="101" t="s">
        <v>487</v>
      </c>
      <c r="AH111" s="101">
        <f t="shared" si="194"/>
        <v>1202853</v>
      </c>
      <c r="AI111" s="94">
        <f>SUMIFS('Federal Data'!X2:X501,'Federal Data'!$G2:$G501,"Employment and Training",'Federal Data'!$D2:$D501,"Nongrant")</f>
        <v>1252689</v>
      </c>
      <c r="AJ111" s="101" t="s">
        <v>487</v>
      </c>
      <c r="AK111" s="101">
        <f t="shared" si="195"/>
        <v>1252689</v>
      </c>
      <c r="AL111" s="94">
        <f>SUMIFS('Federal Data'!Y2:Y501,'Federal Data'!$G2:$G501,"Employment and Training",'Federal Data'!$D2:$D501,"Nongrant")</f>
        <v>1358778</v>
      </c>
      <c r="AM111" s="101" t="s">
        <v>487</v>
      </c>
      <c r="AN111" s="101">
        <f t="shared" si="196"/>
        <v>1358778</v>
      </c>
      <c r="AO111" s="94">
        <f>SUMIFS('Federal Data'!Z2:Z501,'Federal Data'!$G2:$G501,"Employment and Training",'Federal Data'!$D2:$D501,"Nongrant")</f>
        <v>1456548</v>
      </c>
      <c r="AP111" s="101" t="s">
        <v>487</v>
      </c>
      <c r="AQ111" s="101">
        <f t="shared" si="197"/>
        <v>1456548</v>
      </c>
      <c r="AR111" s="94">
        <f>SUMIFS('Federal Data'!AA2:AA501,'Federal Data'!$G2:$G501,"Employment and Training",'Federal Data'!$D2:$D501,"Nongrant")</f>
        <v>1507144</v>
      </c>
      <c r="AS111" s="101" t="s">
        <v>487</v>
      </c>
      <c r="AT111" s="101">
        <f t="shared" si="198"/>
        <v>1507144</v>
      </c>
      <c r="AU111" s="94">
        <f>SUMIFS('Federal Data'!AB2:AB501,'Federal Data'!$G2:$G501,"Employment and Training",'Federal Data'!$D2:$D501,"Nongrant")</f>
        <v>1563000</v>
      </c>
      <c r="AV111" s="101" t="s">
        <v>487</v>
      </c>
      <c r="AW111" s="101">
        <f t="shared" si="199"/>
        <v>1563000</v>
      </c>
      <c r="AX111" s="94">
        <f>SUMIFS('Federal Data'!AC2:AC501,'Federal Data'!$G2:$G501,"Employment and Training",'Federal Data'!$D2:$D501,"Nongrant")</f>
        <v>1490000</v>
      </c>
      <c r="AY111" s="101" t="s">
        <v>487</v>
      </c>
      <c r="AZ111" s="101">
        <f t="shared" si="200"/>
        <v>1490000</v>
      </c>
      <c r="BA111" s="94">
        <f>SUMIFS('Federal Data'!AD2:AD501,'Federal Data'!$G2:$G501,"Employment and Training",'Federal Data'!$D2:$D501,"Nongrant")</f>
        <v>1567000</v>
      </c>
      <c r="BB111" s="101" t="s">
        <v>487</v>
      </c>
      <c r="BC111" s="101">
        <f t="shared" si="201"/>
        <v>1567000</v>
      </c>
      <c r="BD111" s="94">
        <f>SUMIFS('Federal Data'!AE2:AE501,'Federal Data'!$G2:$G501,"Employment and Training",'Federal Data'!$D2:$D501,"Nongrant")</f>
        <v>1800000</v>
      </c>
      <c r="BE111" s="101" t="s">
        <v>487</v>
      </c>
      <c r="BF111" s="101">
        <f t="shared" si="202"/>
        <v>1800000</v>
      </c>
      <c r="BG111" s="94">
        <f>SUMIFS('Federal Data'!AF2:AF501,'Federal Data'!$G2:$G501,"Employment and Training",'Federal Data'!$D2:$D501,"Nongrant")</f>
        <v>1803000</v>
      </c>
      <c r="BH111" s="101" t="s">
        <v>487</v>
      </c>
      <c r="BI111" s="101">
        <f t="shared" si="203"/>
        <v>1803000</v>
      </c>
      <c r="BJ111" s="94">
        <f>SUMIFS('Federal Data'!AG2:AG501,'Federal Data'!$G2:$G501,"Employment and Training",'Federal Data'!$D2:$D501,"Nongrant")</f>
        <v>1860000</v>
      </c>
      <c r="BK111" s="101" t="s">
        <v>487</v>
      </c>
      <c r="BL111" s="101">
        <f t="shared" si="204"/>
        <v>1860000</v>
      </c>
      <c r="BM111" s="94">
        <f>SUMIFS('Federal Data'!AH2:AH501,'Federal Data'!$G2:$G501,"Employment and Training",'Federal Data'!$D2:$D501,"Nongrant")</f>
        <v>1935000</v>
      </c>
      <c r="BN111" s="101" t="s">
        <v>487</v>
      </c>
      <c r="BO111" s="101">
        <f t="shared" si="205"/>
        <v>1935000</v>
      </c>
      <c r="BP111" s="94">
        <f>SUMIFS('Federal Data'!AI2:AI501,'Federal Data'!$G2:$G501,"Employment and Training",'Federal Data'!$D2:$D501,"Nongrant")</f>
        <v>2187000</v>
      </c>
      <c r="BQ111" s="101" t="s">
        <v>487</v>
      </c>
      <c r="BR111" s="101">
        <f t="shared" si="206"/>
        <v>2187000</v>
      </c>
      <c r="BS111" s="94">
        <f>SUMIFS('Federal Data'!AJ2:AJ501,'Federal Data'!$G2:$G501,"Employment and Training",'Federal Data'!$D2:$D501,"Nongrant")</f>
        <v>2228000</v>
      </c>
      <c r="BT111" s="101" t="s">
        <v>487</v>
      </c>
      <c r="BU111" s="101">
        <f t="shared" si="207"/>
        <v>2228000</v>
      </c>
      <c r="BV111" s="94">
        <f>SUMIFS('Federal Data'!AK2:AK501,'Federal Data'!$G2:$G501,"Employment and Training",'Federal Data'!$D2:$D501,"Nongrant")</f>
        <v>2304000</v>
      </c>
      <c r="BW111" s="101" t="s">
        <v>487</v>
      </c>
      <c r="BX111" s="101">
        <f t="shared" si="208"/>
        <v>2304000</v>
      </c>
      <c r="BY111" s="94">
        <f>SUMIFS('Federal Data'!AL2:AL501,'Federal Data'!$G2:$G501,"Employment and Training",'Federal Data'!$D2:$D501,"Nongrant")</f>
        <v>2527000</v>
      </c>
      <c r="BZ111" s="101" t="s">
        <v>487</v>
      </c>
      <c r="CA111" s="101">
        <f t="shared" si="209"/>
        <v>2527000</v>
      </c>
      <c r="CB111" s="94">
        <f>SUMIFS('Federal Data'!AM2:AM501,'Federal Data'!$G2:$G501,"Employment and Training",'Federal Data'!$D2:$D501,"Nongrant")</f>
        <v>1352000</v>
      </c>
      <c r="CC111" s="101" t="s">
        <v>487</v>
      </c>
      <c r="CD111" s="101">
        <f t="shared" si="210"/>
        <v>1352000</v>
      </c>
      <c r="CE111" s="94">
        <f>SUMIFS('Federal Data'!AN2:AN501,'Federal Data'!$G2:$G501,"Employment and Training",'Federal Data'!$D2:$D501,"Nongrant")</f>
        <v>2739000</v>
      </c>
      <c r="CF111" s="101" t="s">
        <v>487</v>
      </c>
      <c r="CG111" s="101">
        <f t="shared" si="211"/>
        <v>2739000</v>
      </c>
      <c r="CH111" s="94">
        <f>SUMIFS('Federal Data'!AO2:AO501,'Federal Data'!$G2:$G501,"Employment and Training",'Federal Data'!$D2:$D501,"Nongrant")</f>
        <v>2660000</v>
      </c>
      <c r="CI111" s="101" t="s">
        <v>487</v>
      </c>
      <c r="CJ111" s="101">
        <f t="shared" si="212"/>
        <v>2660000</v>
      </c>
      <c r="CK111" s="94">
        <f>SUMIFS('Federal Data'!AP2:AP501,'Federal Data'!$G2:$G501,"Employment and Training",'Federal Data'!$D2:$D501,"Nongrant")</f>
        <v>2452000</v>
      </c>
      <c r="CL111" s="101" t="s">
        <v>487</v>
      </c>
      <c r="CM111" s="101">
        <f t="shared" si="213"/>
        <v>2452000</v>
      </c>
      <c r="CN111" s="94">
        <f>SUMIFS('Federal Data'!AQ2:AQ501,'Federal Data'!$G2:$G501,"Employment and Training",'Federal Data'!$D2:$D501,"Nongrant")</f>
        <v>3206000</v>
      </c>
      <c r="CO111" s="101" t="s">
        <v>487</v>
      </c>
      <c r="CP111" s="101">
        <f t="shared" si="214"/>
        <v>3206000</v>
      </c>
      <c r="CQ111" s="94">
        <f>SUMIFS('Federal Data'!AR2:AR501,'Federal Data'!$G2:$G501,"Employment and Training",'Federal Data'!$D2:$D501,"Nongrant")</f>
        <v>3342000</v>
      </c>
      <c r="CR111" s="101" t="s">
        <v>487</v>
      </c>
      <c r="CS111" s="101">
        <f t="shared" si="215"/>
        <v>3342000</v>
      </c>
      <c r="CT111" s="94">
        <f>SUMIFS('Federal Data'!AS2:AS501,'Federal Data'!$G2:$G501,"Employment and Training",'Federal Data'!$D2:$D501,"Nongrant")</f>
        <v>3016000</v>
      </c>
      <c r="CU111" s="101" t="s">
        <v>487</v>
      </c>
      <c r="CV111" s="101">
        <f t="shared" si="216"/>
        <v>3016000</v>
      </c>
      <c r="CW111" s="94">
        <f>SUMIFS('Federal Data'!AT2:AT501,'Federal Data'!$G2:$G501,"Employment and Training",'Federal Data'!$D2:$D501,"Nongrant")</f>
        <v>2915000</v>
      </c>
      <c r="CX111" s="101" t="s">
        <v>487</v>
      </c>
      <c r="CY111" s="101">
        <f t="shared" si="217"/>
        <v>2915000</v>
      </c>
      <c r="CZ111" s="94">
        <f>SUMIFS('Federal Data'!AU2:AU501,'Federal Data'!$G2:$G501,"Employment and Training",'Federal Data'!$D2:$D501,"Nongrant")</f>
        <v>2642000</v>
      </c>
      <c r="DA111" s="101" t="s">
        <v>487</v>
      </c>
      <c r="DB111" s="101">
        <f t="shared" si="218"/>
        <v>2642000</v>
      </c>
      <c r="DC111" s="37">
        <f>SUMIFS('Federal Data'!AV2:AV501,'Federal Data'!$G2:$G501,"Employment and Training",'Federal Data'!$D2:$D501,"Nongrant")</f>
        <v>2786000</v>
      </c>
      <c r="DD111" s="85" t="s">
        <v>487</v>
      </c>
      <c r="DE111" s="85">
        <f t="shared" si="219"/>
        <v>2786000</v>
      </c>
    </row>
    <row r="112" spans="1:109" outlineLevel="2">
      <c r="A112" s="49" t="s">
        <v>63</v>
      </c>
      <c r="B112" s="98">
        <f>SUMIFS('Federal Data'!M2:M501,'Federal Data'!$G2:$G501,"Other Tax Credits",'Federal Data'!$D2:$D501,"Nongrant")</f>
        <v>0</v>
      </c>
      <c r="C112" s="105" t="s">
        <v>487</v>
      </c>
      <c r="D112" s="105">
        <f t="shared" si="184"/>
        <v>0</v>
      </c>
      <c r="E112" s="98">
        <f>SUMIFS('Federal Data'!N2:N501,'Federal Data'!$G2:$G501,"Other Tax Credits",'Federal Data'!$D2:$D501,"Nongrant")</f>
        <v>0</v>
      </c>
      <c r="F112" s="105" t="s">
        <v>487</v>
      </c>
      <c r="G112" s="105">
        <f t="shared" si="185"/>
        <v>0</v>
      </c>
      <c r="H112" s="98">
        <f>SUMIFS('Federal Data'!O2:O501,'Federal Data'!$G2:$G501,"Other Tax Credits",'Federal Data'!$D2:$D501,"Nongrant")</f>
        <v>0</v>
      </c>
      <c r="I112" s="105" t="s">
        <v>487</v>
      </c>
      <c r="J112" s="105">
        <f t="shared" si="186"/>
        <v>0</v>
      </c>
      <c r="K112" s="98">
        <f>SUMIFS('Federal Data'!P2:P501,'Federal Data'!$G2:$G501,"Other Tax Credits",'Federal Data'!$D2:$D501,"Nongrant")</f>
        <v>0</v>
      </c>
      <c r="L112" s="105" t="s">
        <v>487</v>
      </c>
      <c r="M112" s="105">
        <f t="shared" si="187"/>
        <v>0</v>
      </c>
      <c r="N112" s="98">
        <f>SUMIFS('Federal Data'!Q2:Q501,'Federal Data'!$G2:$G501,"Other Tax Credits",'Federal Data'!$D2:$D501,"Nongrant")</f>
        <v>0</v>
      </c>
      <c r="O112" s="105" t="s">
        <v>487</v>
      </c>
      <c r="P112" s="105">
        <f t="shared" si="188"/>
        <v>0</v>
      </c>
      <c r="Q112" s="98">
        <f>SUMIFS('Federal Data'!R2:R501,'Federal Data'!$G2:$G501,"Other Tax Credits",'Federal Data'!$D2:$D501,"Nongrant")</f>
        <v>0</v>
      </c>
      <c r="R112" s="105" t="s">
        <v>487</v>
      </c>
      <c r="S112" s="105">
        <f t="shared" si="189"/>
        <v>0</v>
      </c>
      <c r="T112" s="98">
        <f>SUMIFS('Federal Data'!S2:S501,'Federal Data'!$G2:$G501,"Other Tax Credits",'Federal Data'!$D2:$D501,"Nongrant")</f>
        <v>0</v>
      </c>
      <c r="U112" s="105" t="s">
        <v>487</v>
      </c>
      <c r="V112" s="105">
        <f t="shared" si="190"/>
        <v>0</v>
      </c>
      <c r="W112" s="98">
        <f>SUMIFS('Federal Data'!T2:T501,'Federal Data'!$G2:$G501,"Other Tax Credits",'Federal Data'!$D2:$D501,"Nongrant")</f>
        <v>0</v>
      </c>
      <c r="X112" s="105" t="s">
        <v>487</v>
      </c>
      <c r="Y112" s="105">
        <f t="shared" si="191"/>
        <v>0</v>
      </c>
      <c r="Z112" s="98">
        <f>SUMIFS('Federal Data'!U2:U501,'Federal Data'!$G2:$G501,"Other Tax Credits",'Federal Data'!$D2:$D501,"Nongrant")</f>
        <v>0</v>
      </c>
      <c r="AA112" s="105" t="s">
        <v>487</v>
      </c>
      <c r="AB112" s="105">
        <f t="shared" si="192"/>
        <v>0</v>
      </c>
      <c r="AC112" s="98">
        <f>SUMIFS('Federal Data'!V2:V501,'Federal Data'!$G2:$G501,"Other Tax Credits",'Federal Data'!$D2:$D501,"Nongrant")</f>
        <v>0</v>
      </c>
      <c r="AD112" s="105" t="s">
        <v>487</v>
      </c>
      <c r="AE112" s="105">
        <f t="shared" si="193"/>
        <v>0</v>
      </c>
      <c r="AF112" s="98">
        <f>SUMIFS('Federal Data'!W2:W501,'Federal Data'!$G2:$G501,"Other Tax Credits",'Federal Data'!$D2:$D501,"Nongrant")</f>
        <v>0</v>
      </c>
      <c r="AG112" s="105" t="s">
        <v>487</v>
      </c>
      <c r="AH112" s="105">
        <f t="shared" si="194"/>
        <v>0</v>
      </c>
      <c r="AI112" s="98">
        <f>SUMIFS('Federal Data'!X2:X501,'Federal Data'!$G2:$G501,"Other Tax Credits",'Federal Data'!$D2:$D501,"Nongrant")</f>
        <v>0</v>
      </c>
      <c r="AJ112" s="105" t="s">
        <v>487</v>
      </c>
      <c r="AK112" s="105">
        <f t="shared" si="195"/>
        <v>0</v>
      </c>
      <c r="AL112" s="98">
        <f>SUMIFS('Federal Data'!Y2:Y501,'Federal Data'!$G2:$G501,"Other Tax Credits",'Federal Data'!$D2:$D501,"Nongrant")</f>
        <v>0</v>
      </c>
      <c r="AM112" s="105" t="s">
        <v>487</v>
      </c>
      <c r="AN112" s="105">
        <f t="shared" si="196"/>
        <v>0</v>
      </c>
      <c r="AO112" s="98">
        <f>SUMIFS('Federal Data'!Z2:Z501,'Federal Data'!$G2:$G501,"Other Tax Credits",'Federal Data'!$D2:$D501,"Nongrant")</f>
        <v>0</v>
      </c>
      <c r="AP112" s="105" t="s">
        <v>487</v>
      </c>
      <c r="AQ112" s="105">
        <f t="shared" si="197"/>
        <v>0</v>
      </c>
      <c r="AR112" s="98">
        <f>SUMIFS('Federal Data'!AA2:AA501,'Federal Data'!$G2:$G501,"Other Tax Credits",'Federal Data'!$D2:$D501,"Nongrant")</f>
        <v>0</v>
      </c>
      <c r="AS112" s="105" t="s">
        <v>487</v>
      </c>
      <c r="AT112" s="105">
        <f t="shared" si="198"/>
        <v>0</v>
      </c>
      <c r="AU112" s="98">
        <f>SUMIFS('Federal Data'!AB2:AB501,'Federal Data'!$G2:$G501,"Other Tax Credits",'Federal Data'!$D2:$D501,"Nongrant")</f>
        <v>0</v>
      </c>
      <c r="AV112" s="105" t="s">
        <v>487</v>
      </c>
      <c r="AW112" s="105">
        <f t="shared" si="199"/>
        <v>0</v>
      </c>
      <c r="AX112" s="98">
        <f>SUMIFS('Federal Data'!AC2:AC501,'Federal Data'!$G2:$G501,"Other Tax Credits",'Federal Data'!$D2:$D501,"Nongrant")</f>
        <v>0</v>
      </c>
      <c r="AY112" s="105" t="s">
        <v>487</v>
      </c>
      <c r="AZ112" s="105">
        <f t="shared" si="200"/>
        <v>0</v>
      </c>
      <c r="BA112" s="98">
        <f>SUMIFS('Federal Data'!AD2:AD501,'Federal Data'!$G2:$G501,"Other Tax Credits",'Federal Data'!$D2:$D501,"Nongrant")</f>
        <v>0</v>
      </c>
      <c r="BB112" s="105" t="s">
        <v>487</v>
      </c>
      <c r="BC112" s="105">
        <f t="shared" si="201"/>
        <v>0</v>
      </c>
      <c r="BD112" s="98">
        <f>SUMIFS('Federal Data'!AE2:AE501,'Federal Data'!$G2:$G501,"Other Tax Credits",'Federal Data'!$D2:$D501,"Nongrant")</f>
        <v>0</v>
      </c>
      <c r="BE112" s="105" t="s">
        <v>487</v>
      </c>
      <c r="BF112" s="105">
        <f t="shared" si="202"/>
        <v>0</v>
      </c>
      <c r="BG112" s="98">
        <f>SUMIFS('Federal Data'!AF2:AF501,'Federal Data'!$G2:$G501,"Other Tax Credits",'Federal Data'!$D2:$D501,"Nongrant")</f>
        <v>0</v>
      </c>
      <c r="BH112" s="105" t="s">
        <v>487</v>
      </c>
      <c r="BI112" s="105">
        <f t="shared" si="203"/>
        <v>0</v>
      </c>
      <c r="BJ112" s="98">
        <f>SUMIFS('Federal Data'!AG2:AG501,'Federal Data'!$G2:$G501,"Other Tax Credits",'Federal Data'!$D2:$D501,"Nongrant")</f>
        <v>0</v>
      </c>
      <c r="BK112" s="105" t="s">
        <v>487</v>
      </c>
      <c r="BL112" s="105">
        <f t="shared" si="204"/>
        <v>0</v>
      </c>
      <c r="BM112" s="98">
        <f>SUMIFS('Federal Data'!AH2:AH501,'Federal Data'!$G2:$G501,"Other Tax Credits",'Federal Data'!$D2:$D501,"Nongrant")</f>
        <v>0</v>
      </c>
      <c r="BN112" s="105" t="s">
        <v>487</v>
      </c>
      <c r="BO112" s="105">
        <f t="shared" si="205"/>
        <v>0</v>
      </c>
      <c r="BP112" s="98">
        <f>SUMIFS('Federal Data'!AI2:AI501,'Federal Data'!$G2:$G501,"Other Tax Credits",'Federal Data'!$D2:$D501,"Nongrant")</f>
        <v>0</v>
      </c>
      <c r="BQ112" s="105" t="s">
        <v>487</v>
      </c>
      <c r="BR112" s="105">
        <f t="shared" si="206"/>
        <v>0</v>
      </c>
      <c r="BS112" s="98">
        <f>SUMIFS('Federal Data'!AJ2:AJ501,'Federal Data'!$G2:$G501,"Other Tax Credits",'Federal Data'!$D2:$D501,"Nongrant")</f>
        <v>0</v>
      </c>
      <c r="BT112" s="105" t="s">
        <v>487</v>
      </c>
      <c r="BU112" s="105">
        <f t="shared" si="207"/>
        <v>0</v>
      </c>
      <c r="BV112" s="98">
        <f>SUMIFS('Federal Data'!AK2:AK501,'Federal Data'!$G2:$G501,"Other Tax Credits",'Federal Data'!$D2:$D501,"Nongrant")</f>
        <v>0</v>
      </c>
      <c r="BW112" s="105" t="s">
        <v>487</v>
      </c>
      <c r="BX112" s="105">
        <f t="shared" si="208"/>
        <v>0</v>
      </c>
      <c r="BY112" s="98">
        <f>SUMIFS('Federal Data'!AL2:AL501,'Federal Data'!$G2:$G501,"Other Tax Credits",'Federal Data'!$D2:$D501,"Nongrant")</f>
        <v>0</v>
      </c>
      <c r="BZ112" s="105" t="s">
        <v>487</v>
      </c>
      <c r="CA112" s="105">
        <f t="shared" si="209"/>
        <v>0</v>
      </c>
      <c r="CB112" s="98">
        <f>SUMIFS('Federal Data'!AM2:AM501,'Federal Data'!$G2:$G501,"Other Tax Credits",'Federal Data'!$D2:$D501,"Nongrant")</f>
        <v>0</v>
      </c>
      <c r="CC112" s="105" t="s">
        <v>487</v>
      </c>
      <c r="CD112" s="105">
        <f t="shared" si="210"/>
        <v>0</v>
      </c>
      <c r="CE112" s="98">
        <f>SUMIFS('Federal Data'!AN2:AN501,'Federal Data'!$G2:$G501,"Other Tax Credits",'Federal Data'!$D2:$D501,"Nongrant")</f>
        <v>0</v>
      </c>
      <c r="CF112" s="105" t="s">
        <v>487</v>
      </c>
      <c r="CG112" s="105">
        <f t="shared" si="211"/>
        <v>0</v>
      </c>
      <c r="CH112" s="98">
        <f>SUMIFS('Federal Data'!AO2:AO501,'Federal Data'!$G2:$G501,"Other Tax Credits",'Federal Data'!$D2:$D501,"Nongrant")</f>
        <v>0</v>
      </c>
      <c r="CI112" s="105" t="s">
        <v>487</v>
      </c>
      <c r="CJ112" s="105">
        <f t="shared" si="212"/>
        <v>0</v>
      </c>
      <c r="CK112" s="98">
        <f>SUMIFS('Federal Data'!AP2:AP501,'Federal Data'!$G2:$G501,"Other Tax Credits",'Federal Data'!$D2:$D501,"Nongrant")</f>
        <v>711000</v>
      </c>
      <c r="CL112" s="105" t="s">
        <v>487</v>
      </c>
      <c r="CM112" s="105">
        <f t="shared" si="213"/>
        <v>711000</v>
      </c>
      <c r="CN112" s="98">
        <f>SUMIFS('Federal Data'!AQ2:AQ501,'Federal Data'!$G2:$G501,"Other Tax Credits",'Federal Data'!$D2:$D501,"Nongrant")</f>
        <v>1080000</v>
      </c>
      <c r="CO112" s="105" t="s">
        <v>487</v>
      </c>
      <c r="CP112" s="105">
        <f t="shared" si="214"/>
        <v>1080000</v>
      </c>
      <c r="CQ112" s="98">
        <f>SUMIFS('Federal Data'!AR2:AR501,'Federal Data'!$G2:$G501,"Other Tax Credits",'Federal Data'!$D2:$D501,"Nongrant")</f>
        <v>1178000</v>
      </c>
      <c r="CR112" s="105" t="s">
        <v>487</v>
      </c>
      <c r="CS112" s="105">
        <f t="shared" si="215"/>
        <v>1178000</v>
      </c>
      <c r="CT112" s="98">
        <f>SUMIFS('Federal Data'!AS2:AS501,'Federal Data'!$G2:$G501,"Other Tax Credits",'Federal Data'!$D2:$D501,"Nongrant")</f>
        <v>981000</v>
      </c>
      <c r="CU112" s="105" t="s">
        <v>487</v>
      </c>
      <c r="CV112" s="105">
        <f t="shared" si="216"/>
        <v>981000</v>
      </c>
      <c r="CW112" s="98">
        <f>SUMIFS('Federal Data'!AT2:AT501,'Federal Data'!$G2:$G501,"Other Tax Credits",'Federal Data'!$D2:$D501,"Nongrant")</f>
        <v>312000</v>
      </c>
      <c r="CX112" s="105" t="s">
        <v>487</v>
      </c>
      <c r="CY112" s="105">
        <f t="shared" si="217"/>
        <v>312000</v>
      </c>
      <c r="CZ112" s="98">
        <f>SUMIFS('Federal Data'!AU2:AU501,'Federal Data'!$G2:$G501,"Other Tax Credits",'Federal Data'!$D2:$D501,"Nongrant")</f>
        <v>125000</v>
      </c>
      <c r="DA112" s="105" t="s">
        <v>487</v>
      </c>
      <c r="DB112" s="105">
        <f t="shared" si="218"/>
        <v>125000</v>
      </c>
      <c r="DC112" s="50">
        <f>SUMIFS('Federal Data'!AV2:AV501,'Federal Data'!$G2:$G501,"Other Tax Credits",'Federal Data'!$D2:$D501,"Nongrant")</f>
        <v>23000</v>
      </c>
      <c r="DD112" s="88" t="s">
        <v>487</v>
      </c>
      <c r="DE112" s="88">
        <f t="shared" si="219"/>
        <v>23000</v>
      </c>
    </row>
    <row r="113" spans="1:110" outlineLevel="1">
      <c r="A113" s="28" t="s">
        <v>335</v>
      </c>
      <c r="B113" s="95">
        <f>'Federal P&amp;L (detailed)'!$C$202</f>
        <v>9192686</v>
      </c>
      <c r="C113" s="99">
        <f>'State and Local P&amp;L (detailed)'!$C$64</f>
        <v>21454487</v>
      </c>
      <c r="D113" s="99">
        <f t="shared" si="184"/>
        <v>30647173</v>
      </c>
      <c r="E113" s="95">
        <f>'Federal P&amp;L (detailed)'!$D$202</f>
        <v>9246848</v>
      </c>
      <c r="F113" s="99">
        <f>'State and Local P&amp;L (detailed)'!$D$64</f>
        <v>23435147</v>
      </c>
      <c r="G113" s="99">
        <f t="shared" si="185"/>
        <v>32681995</v>
      </c>
      <c r="H113" s="95">
        <f>'Federal P&amp;L (detailed)'!$E$202</f>
        <v>14004332</v>
      </c>
      <c r="I113" s="99">
        <f>'State and Local P&amp;L (detailed)'!$E$64</f>
        <v>23500426</v>
      </c>
      <c r="J113" s="99">
        <f t="shared" si="186"/>
        <v>37504758</v>
      </c>
      <c r="K113" s="95">
        <f>'Federal P&amp;L (detailed)'!$F$202</f>
        <v>21370549</v>
      </c>
      <c r="L113" s="99">
        <f>'State and Local P&amp;L (detailed)'!$F$64</f>
        <v>24246144</v>
      </c>
      <c r="M113" s="99">
        <f t="shared" si="187"/>
        <v>45616693</v>
      </c>
      <c r="N113" s="95">
        <f>'Federal P&amp;L (detailed)'!$G$202</f>
        <v>10023218</v>
      </c>
      <c r="O113" s="99">
        <f>'State and Local P&amp;L (detailed)'!$G$64</f>
        <v>21100895</v>
      </c>
      <c r="P113" s="99">
        <f t="shared" si="188"/>
        <v>31124113</v>
      </c>
      <c r="Q113" s="95">
        <f>'Federal P&amp;L (detailed)'!$H$202</f>
        <v>17372282</v>
      </c>
      <c r="R113" s="99">
        <f>'State and Local P&amp;L (detailed)'!$H$64</f>
        <v>20933293</v>
      </c>
      <c r="S113" s="99">
        <f t="shared" si="189"/>
        <v>38305575</v>
      </c>
      <c r="T113" s="95">
        <f>'Federal P&amp;L (detailed)'!$I$202</f>
        <v>26761082</v>
      </c>
      <c r="U113" s="99">
        <f>'State and Local P&amp;L (detailed)'!$I$64</f>
        <v>23222536</v>
      </c>
      <c r="V113" s="99">
        <f t="shared" si="190"/>
        <v>49983618</v>
      </c>
      <c r="W113" s="95">
        <f>'Federal P&amp;L (detailed)'!$J$202</f>
        <v>24364567</v>
      </c>
      <c r="X113" s="99">
        <f>'State and Local P&amp;L (detailed)'!$J$64</f>
        <v>24239402</v>
      </c>
      <c r="Y113" s="99">
        <f t="shared" si="191"/>
        <v>48603969</v>
      </c>
      <c r="Z113" s="95">
        <f>'Federal P&amp;L (detailed)'!$K$202</f>
        <v>24670363</v>
      </c>
      <c r="AA113" s="99">
        <f>'State and Local P&amp;L (detailed)'!$K$64</f>
        <v>24671417</v>
      </c>
      <c r="AB113" s="99">
        <f t="shared" si="192"/>
        <v>49341780</v>
      </c>
      <c r="AC113" s="95">
        <f>'Federal P&amp;L (detailed)'!$L$202</f>
        <v>23914712</v>
      </c>
      <c r="AD113" s="99">
        <f>'State and Local P&amp;L (detailed)'!$L$64</f>
        <v>22960684</v>
      </c>
      <c r="AE113" s="99">
        <f t="shared" si="193"/>
        <v>46875396</v>
      </c>
      <c r="AF113" s="95">
        <f>'Federal P&amp;L (detailed)'!$M$202</f>
        <v>20459941</v>
      </c>
      <c r="AG113" s="99">
        <f>'State and Local P&amp;L (detailed)'!$M$64</f>
        <v>24353607</v>
      </c>
      <c r="AH113" s="99">
        <f t="shared" si="194"/>
        <v>44813548</v>
      </c>
      <c r="AI113" s="95">
        <f>'Federal P&amp;L (detailed)'!$N$202</f>
        <v>27563123</v>
      </c>
      <c r="AJ113" s="99">
        <f>'State and Local P&amp;L (detailed)'!$N$64</f>
        <v>26023966</v>
      </c>
      <c r="AK113" s="99">
        <f t="shared" si="195"/>
        <v>53587089</v>
      </c>
      <c r="AL113" s="95">
        <f>'Federal P&amp;L (detailed)'!$O$202</f>
        <v>23654158</v>
      </c>
      <c r="AM113" s="99">
        <f>'State and Local P&amp;L (detailed)'!$O$64</f>
        <v>23769985</v>
      </c>
      <c r="AN113" s="99">
        <f t="shared" si="196"/>
        <v>47424143</v>
      </c>
      <c r="AO113" s="95">
        <f>'Federal P&amp;L (detailed)'!$P$202</f>
        <v>8159731</v>
      </c>
      <c r="AP113" s="99">
        <f>'State and Local P&amp;L (detailed)'!$P$64</f>
        <v>21038957</v>
      </c>
      <c r="AQ113" s="99">
        <f t="shared" si="197"/>
        <v>29198688</v>
      </c>
      <c r="AR113" s="95">
        <f>'Federal P&amp;L (detailed)'!$Q$202</f>
        <v>491101</v>
      </c>
      <c r="AS113" s="99">
        <f>'State and Local P&amp;L (detailed)'!$Q$64</f>
        <v>16825423</v>
      </c>
      <c r="AT113" s="99">
        <f t="shared" si="198"/>
        <v>17316524</v>
      </c>
      <c r="AU113" s="95">
        <f>'Federal P&amp;L (detailed)'!$R$202</f>
        <v>-2185000</v>
      </c>
      <c r="AV113" s="99">
        <f>'State and Local P&amp;L (detailed)'!$R$64</f>
        <v>15223351</v>
      </c>
      <c r="AW113" s="99">
        <f t="shared" si="199"/>
        <v>13038351</v>
      </c>
      <c r="AX113" s="95">
        <f>'Federal P&amp;L (detailed)'!$S$202</f>
        <v>-839000</v>
      </c>
      <c r="AY113" s="99">
        <f>'State and Local P&amp;L (detailed)'!$S$64</f>
        <v>10497887</v>
      </c>
      <c r="AZ113" s="99">
        <f t="shared" si="200"/>
        <v>9658887</v>
      </c>
      <c r="BA113" s="95">
        <f>'Federal P&amp;L (detailed)'!$T$202</f>
        <v>-8339000</v>
      </c>
      <c r="BB113" s="99">
        <f>'State and Local P&amp;L (detailed)'!$T$64</f>
        <v>10677445</v>
      </c>
      <c r="BC113" s="99">
        <f t="shared" si="201"/>
        <v>2338445</v>
      </c>
      <c r="BD113" s="95">
        <f>'Federal P&amp;L (detailed)'!$U$202</f>
        <v>7965000</v>
      </c>
      <c r="BE113" s="99">
        <f>'State and Local P&amp;L (detailed)'!$U$64</f>
        <v>11542148</v>
      </c>
      <c r="BF113" s="99">
        <f t="shared" si="202"/>
        <v>19507148</v>
      </c>
      <c r="BG113" s="95">
        <f>'Federal P&amp;L (detailed)'!$V$202</f>
        <v>16650000</v>
      </c>
      <c r="BH113" s="99">
        <f>'State and Local P&amp;L (detailed)'!$V$64</f>
        <v>14393295</v>
      </c>
      <c r="BI113" s="99">
        <f t="shared" si="203"/>
        <v>31043295</v>
      </c>
      <c r="BJ113" s="95">
        <f>'Federal P&amp;L (detailed)'!$W$202</f>
        <v>31629000</v>
      </c>
      <c r="BK113" s="99">
        <f>'State and Local P&amp;L (detailed)'!$W$64</f>
        <v>20198279</v>
      </c>
      <c r="BL113" s="99">
        <f t="shared" si="204"/>
        <v>51827279</v>
      </c>
      <c r="BM113" s="95">
        <f>'Federal P&amp;L (detailed)'!$X$202</f>
        <v>21612000</v>
      </c>
      <c r="BN113" s="99">
        <f>'State and Local P&amp;L (detailed)'!$X$64</f>
        <v>30888736</v>
      </c>
      <c r="BO113" s="99">
        <f t="shared" si="205"/>
        <v>52500736</v>
      </c>
      <c r="BP113" s="95">
        <f>'Federal P&amp;L (detailed)'!$Y$202</f>
        <v>16734000</v>
      </c>
      <c r="BQ113" s="99">
        <f>'State and Local P&amp;L (detailed)'!$Y$64</f>
        <v>33098975</v>
      </c>
      <c r="BR113" s="99">
        <f t="shared" si="206"/>
        <v>49832975</v>
      </c>
      <c r="BS113" s="95">
        <f>'Federal P&amp;L (detailed)'!$Z$202</f>
        <v>12214000</v>
      </c>
      <c r="BT113" s="99">
        <f>'State and Local P&amp;L (detailed)'!$Z$64</f>
        <v>36179012</v>
      </c>
      <c r="BU113" s="99">
        <f t="shared" si="207"/>
        <v>48393012</v>
      </c>
      <c r="BV113" s="95">
        <f>'Federal P&amp;L (detailed)'!$AA$202</f>
        <v>3788000</v>
      </c>
      <c r="BW113" s="99">
        <f>'State and Local P&amp;L (detailed)'!$AA$64</f>
        <v>42468968</v>
      </c>
      <c r="BX113" s="99">
        <f t="shared" si="208"/>
        <v>46256968</v>
      </c>
      <c r="BY113" s="95">
        <f>'Federal P&amp;L (detailed)'!$AB$202</f>
        <v>16766000</v>
      </c>
      <c r="BZ113" s="99">
        <f>'State and Local P&amp;L (detailed)'!$AB$64</f>
        <v>39069111</v>
      </c>
      <c r="CA113" s="99">
        <f t="shared" si="209"/>
        <v>55835111</v>
      </c>
      <c r="CB113" s="95">
        <f>'Federal P&amp;L (detailed)'!$AC$202</f>
        <v>14113000</v>
      </c>
      <c r="CC113" s="99">
        <f>'State and Local P&amp;L (detailed)'!$AC$64</f>
        <v>34919761</v>
      </c>
      <c r="CD113" s="99">
        <f t="shared" si="210"/>
        <v>49032761</v>
      </c>
      <c r="CE113" s="95">
        <f>'Federal P&amp;L (detailed)'!$AD$202</f>
        <v>14649000</v>
      </c>
      <c r="CF113" s="99">
        <f>'State and Local P&amp;L (detailed)'!$AD$64</f>
        <v>46364722</v>
      </c>
      <c r="CG113" s="99">
        <f t="shared" si="211"/>
        <v>61013722</v>
      </c>
      <c r="CH113" s="95">
        <f>'Federal P&amp;L (detailed)'!$AE$202</f>
        <v>31406000</v>
      </c>
      <c r="CI113" s="99">
        <f>'State and Local P&amp;L (detailed)'!$AE$64</f>
        <v>58433815</v>
      </c>
      <c r="CJ113" s="99">
        <f t="shared" si="212"/>
        <v>89839815</v>
      </c>
      <c r="CK113" s="95">
        <f>'Federal P&amp;L (detailed)'!$AF$202</f>
        <v>24455000</v>
      </c>
      <c r="CL113" s="99">
        <f>'State and Local P&amp;L (detailed)'!$AF$64</f>
        <v>67981453</v>
      </c>
      <c r="CM113" s="99">
        <f t="shared" si="213"/>
        <v>92436453</v>
      </c>
      <c r="CN113" s="95">
        <f>'Federal P&amp;L (detailed)'!$AG$202</f>
        <v>-4066000</v>
      </c>
      <c r="CO113" s="99">
        <f>'State and Local P&amp;L (detailed)'!$AG$64</f>
        <v>62527816</v>
      </c>
      <c r="CP113" s="99">
        <f t="shared" si="214"/>
        <v>58461816</v>
      </c>
      <c r="CQ113" s="95">
        <f>'Federal P&amp;L (detailed)'!$AH$202</f>
        <v>15927000</v>
      </c>
      <c r="CR113" s="99">
        <f>'State and Local P&amp;L (detailed)'!$AH$64</f>
        <v>54930826</v>
      </c>
      <c r="CS113" s="99">
        <f t="shared" si="215"/>
        <v>70857826</v>
      </c>
      <c r="CT113" s="95">
        <f>'Federal P&amp;L (detailed)'!$AI$202</f>
        <v>18101000</v>
      </c>
      <c r="CU113" s="99">
        <f>'State and Local P&amp;L (detailed)'!$AI$64</f>
        <v>45463054</v>
      </c>
      <c r="CV113" s="99">
        <f t="shared" si="216"/>
        <v>63564054</v>
      </c>
      <c r="CW113" s="95">
        <f>'Federal P&amp;L (detailed)'!$AJ$202</f>
        <v>18235000</v>
      </c>
      <c r="CX113" s="99">
        <f>'State and Local P&amp;L (detailed)'!$AJ$64</f>
        <v>35856952</v>
      </c>
      <c r="CY113" s="99">
        <f t="shared" si="217"/>
        <v>54091952</v>
      </c>
      <c r="CZ113" s="95">
        <f>'Federal P&amp;L (detailed)'!$AK$202</f>
        <v>2770000</v>
      </c>
      <c r="DA113" s="99">
        <f>'State and Local P&amp;L (detailed)'!$AK$64</f>
        <v>36265526</v>
      </c>
      <c r="DB113" s="99">
        <f t="shared" si="218"/>
        <v>39035526</v>
      </c>
      <c r="DC113" s="41">
        <f>'Federal P&amp;L (detailed)'!$AL$202</f>
        <v>-4900000</v>
      </c>
      <c r="DD113" s="81">
        <f>'State and Local P&amp;L (detailed)'!$AL$64</f>
        <v>0</v>
      </c>
      <c r="DE113" s="81">
        <f t="shared" si="219"/>
        <v>-4900000</v>
      </c>
    </row>
    <row r="114" spans="1:110">
      <c r="A114" s="48" t="s">
        <v>263</v>
      </c>
      <c r="B114" s="97">
        <f>SUMIFS('Federal Data'!M2:M501,'Federal Data'!$E2:$E501,"Secure the Blessings",'Federal Data'!$D2:$D501,"Nongrant")+SUMIFS('Federal Data'!M2:M501,'Federal Data'!$E2:$E501,"Obligations",'Federal Data'!$D2:$D501,"Nongrant")</f>
        <v>257805088</v>
      </c>
      <c r="C114" s="102">
        <f>'State and Local P&amp;L (detailed)'!$C$65</f>
        <v>165281694</v>
      </c>
      <c r="D114" s="102">
        <f t="shared" si="184"/>
        <v>423086782</v>
      </c>
      <c r="E114" s="97">
        <f>SUMIFS('Federal Data'!N2:N501,'Federal Data'!$E2:$E501,"Secure the Blessings",'Federal Data'!$D2:$D501,"Nongrant")+SUMIFS('Federal Data'!N2:N501,'Federal Data'!$E2:$E501,"Obligations",'Federal Data'!$D2:$D501,"Nongrant")</f>
        <v>314893530</v>
      </c>
      <c r="F114" s="102">
        <f>'State and Local P&amp;L (detailed)'!$D$65</f>
        <v>182034501</v>
      </c>
      <c r="G114" s="102">
        <f t="shared" si="185"/>
        <v>496928031</v>
      </c>
      <c r="H114" s="97">
        <f>SUMIFS('Federal Data'!O2:O501,'Federal Data'!$E2:$E501,"Secure the Blessings",'Federal Data'!$D2:$D501,"Nongrant")+SUMIFS('Federal Data'!O2:O501,'Federal Data'!$E2:$E501,"Obligations",'Federal Data'!$D2:$D501,"Nongrant")</f>
        <v>358584135</v>
      </c>
      <c r="I114" s="102">
        <f>'State and Local P&amp;L (detailed)'!$E$65</f>
        <v>191580741</v>
      </c>
      <c r="J114" s="102">
        <f t="shared" si="186"/>
        <v>550164876</v>
      </c>
      <c r="K114" s="97">
        <f>SUMIFS('Federal Data'!P2:P501,'Federal Data'!$E2:$E501,"Secure the Blessings",'Federal Data'!$D2:$D501,"Nongrant")+SUMIFS('Federal Data'!P2:P501,'Federal Data'!$E2:$E501,"Obligations",'Federal Data'!$D2:$D501,"Nongrant")</f>
        <v>383811624</v>
      </c>
      <c r="L114" s="102">
        <f>'State and Local P&amp;L (detailed)'!$F$65</f>
        <v>208948825</v>
      </c>
      <c r="M114" s="102">
        <f t="shared" si="187"/>
        <v>592760449</v>
      </c>
      <c r="N114" s="97">
        <f>SUMIFS('Federal Data'!Q2:Q501,'Federal Data'!$E2:$E501,"Secure the Blessings",'Federal Data'!$D2:$D501,"Nongrant")+SUMIFS('Federal Data'!Q2:Q501,'Federal Data'!$E2:$E501,"Obligations",'Federal Data'!$D2:$D501,"Nongrant")</f>
        <v>406443222</v>
      </c>
      <c r="O114" s="102">
        <f>'State and Local P&amp;L (detailed)'!$G$65</f>
        <v>228261854</v>
      </c>
      <c r="P114" s="102">
        <f t="shared" si="188"/>
        <v>634705076</v>
      </c>
      <c r="Q114" s="97">
        <f>SUMIFS('Federal Data'!R2:R501,'Federal Data'!$E2:$E501,"Secure the Blessings",'Federal Data'!$D2:$D501,"Nongrant")+SUMIFS('Federal Data'!R2:R501,'Federal Data'!$E2:$E501,"Obligations",'Federal Data'!$D2:$D501,"Nongrant")</f>
        <v>452003696</v>
      </c>
      <c r="R114" s="102">
        <f>'State and Local P&amp;L (detailed)'!$H$65</f>
        <v>249363347</v>
      </c>
      <c r="S114" s="102">
        <f t="shared" si="189"/>
        <v>701367043</v>
      </c>
      <c r="T114" s="97">
        <f>SUMIFS('Federal Data'!S2:S501,'Federal Data'!$E2:$E501,"Secure the Blessings",'Federal Data'!$D2:$D501,"Nongrant")+SUMIFS('Federal Data'!S2:S501,'Federal Data'!$E2:$E501,"Obligations",'Federal Data'!$D2:$D501,"Nongrant")</f>
        <v>477330977</v>
      </c>
      <c r="U114" s="102">
        <f>'State and Local P&amp;L (detailed)'!$I$65</f>
        <v>278084806</v>
      </c>
      <c r="V114" s="102">
        <f t="shared" si="190"/>
        <v>755415783</v>
      </c>
      <c r="W114" s="97">
        <f>SUMIFS('Federal Data'!T2:T501,'Federal Data'!$E2:$E501,"Secure the Blessings",'Federal Data'!$D2:$D501,"Nongrant")+SUMIFS('Federal Data'!T2:T501,'Federal Data'!$E2:$E501,"Obligations",'Federal Data'!$D2:$D501,"Nongrant")</f>
        <v>487884600</v>
      </c>
      <c r="X114" s="102">
        <f>'State and Local P&amp;L (detailed)'!$J$65</f>
        <v>306064532</v>
      </c>
      <c r="Y114" s="102">
        <f t="shared" si="191"/>
        <v>793949132</v>
      </c>
      <c r="Z114" s="97">
        <f>SUMIFS('Federal Data'!U2:U501,'Federal Data'!$E2:$E501,"Secure the Blessings",'Federal Data'!$D2:$D501,"Nongrant")+SUMIFS('Federal Data'!U2:U501,'Federal Data'!$E2:$E501,"Obligations",'Federal Data'!$D2:$D501,"Nongrant")</f>
        <v>513741484</v>
      </c>
      <c r="AA114" s="102">
        <f>'State and Local P&amp;L (detailed)'!$K$65</f>
        <v>315973292</v>
      </c>
      <c r="AB114" s="102">
        <f t="shared" si="192"/>
        <v>829714776</v>
      </c>
      <c r="AC114" s="97">
        <f>SUMIFS('Federal Data'!V2:V501,'Federal Data'!$E2:$E501,"Secure the Blessings",'Federal Data'!$D2:$D501,"Nongrant")+SUMIFS('Federal Data'!V2:V501,'Federal Data'!$E2:$E501,"Obligations",'Federal Data'!$D2:$D501,"Nongrant")</f>
        <v>556344815</v>
      </c>
      <c r="AD114" s="102">
        <f>'State and Local P&amp;L (detailed)'!$L$65</f>
        <v>336066516</v>
      </c>
      <c r="AE114" s="102">
        <f t="shared" si="193"/>
        <v>892411331</v>
      </c>
      <c r="AF114" s="97">
        <f>SUMIFS('Federal Data'!W2:W501,'Federal Data'!$E2:$E501,"Secure the Blessings",'Federal Data'!$D2:$D501,"Nongrant")+SUMIFS('Federal Data'!W2:W501,'Federal Data'!$E2:$E501,"Obligations",'Federal Data'!$D2:$D501,"Nongrant")</f>
        <v>601145617</v>
      </c>
      <c r="AG114" s="102">
        <f>'State and Local P&amp;L (detailed)'!$M$65</f>
        <v>364698000</v>
      </c>
      <c r="AH114" s="102">
        <f t="shared" si="194"/>
        <v>965843617</v>
      </c>
      <c r="AI114" s="97">
        <f>SUMIFS('Federal Data'!X2:X501,'Federal Data'!$E2:$E501,"Secure the Blessings",'Federal Data'!$D2:$D501,"Nongrant")+SUMIFS('Federal Data'!X2:X501,'Federal Data'!$E2:$E501,"Obligations",'Federal Data'!$D2:$D501,"Nongrant")</f>
        <v>646407379</v>
      </c>
      <c r="AJ114" s="102">
        <f>'State and Local P&amp;L (detailed)'!$N$65</f>
        <v>392402951</v>
      </c>
      <c r="AK114" s="102">
        <f t="shared" si="195"/>
        <v>1038810330</v>
      </c>
      <c r="AL114" s="97">
        <f>SUMIFS('Federal Data'!Y2:Y501,'Federal Data'!$E2:$E501,"Secure the Blessings",'Federal Data'!$D2:$D501,"Nongrant")+SUMIFS('Federal Data'!Y2:Y501,'Federal Data'!$E2:$E501,"Obligations",'Federal Data'!$D2:$D501,"Nongrant")</f>
        <v>688460616</v>
      </c>
      <c r="AM114" s="102">
        <f>'State and Local P&amp;L (detailed)'!$O$65</f>
        <v>362694675</v>
      </c>
      <c r="AN114" s="102">
        <f t="shared" si="196"/>
        <v>1051155291</v>
      </c>
      <c r="AO114" s="97">
        <f>SUMIFS('Federal Data'!Z2:Z501,'Federal Data'!$E2:$E501,"Secure the Blessings",'Federal Data'!$D2:$D501,"Nongrant")+SUMIFS('Federal Data'!Z2:Z501,'Federal Data'!$E2:$E501,"Obligations",'Federal Data'!$D2:$D501,"Nongrant")</f>
        <v>725483116</v>
      </c>
      <c r="AP114" s="102">
        <f>'State and Local P&amp;L (detailed)'!$P$65</f>
        <v>385616748</v>
      </c>
      <c r="AQ114" s="102">
        <f t="shared" si="197"/>
        <v>1111099864</v>
      </c>
      <c r="AR114" s="97">
        <f>SUMIFS('Federal Data'!AA2:AA501,'Federal Data'!$E2:$E501,"Secure the Blessings",'Federal Data'!$D2:$D501,"Nongrant")+SUMIFS('Federal Data'!AA2:AA501,'Federal Data'!$E2:$E501,"Obligations",'Federal Data'!$D2:$D501,"Nongrant")</f>
        <v>751675390</v>
      </c>
      <c r="AS114" s="102">
        <f>'State and Local P&amp;L (detailed)'!$Q$65</f>
        <v>395474549</v>
      </c>
      <c r="AT114" s="102">
        <f t="shared" si="198"/>
        <v>1147149939</v>
      </c>
      <c r="AU114" s="97">
        <f>SUMIFS('Federal Data'!AB2:AB501,'Federal Data'!$E2:$E501,"Secure the Blessings",'Federal Data'!$D2:$D501,"Nongrant")+SUMIFS('Federal Data'!AB2:AB501,'Federal Data'!$E2:$E501,"Obligations",'Federal Data'!$D2:$D501,"Nongrant")</f>
        <v>817206000</v>
      </c>
      <c r="AV114" s="102">
        <f>'State and Local P&amp;L (detailed)'!$R$65</f>
        <v>422292805</v>
      </c>
      <c r="AW114" s="102">
        <f t="shared" si="199"/>
        <v>1239498805</v>
      </c>
      <c r="AX114" s="97">
        <f>SUMIFS('Federal Data'!AC2:AC501,'Federal Data'!$E2:$E501,"Secure the Blessings",'Federal Data'!$D2:$D501,"Nongrant")+SUMIFS('Federal Data'!AC2:AC501,'Federal Data'!$E2:$E501,"Obligations",'Federal Data'!$D2:$D501,"Nongrant")</f>
        <v>848952000</v>
      </c>
      <c r="AY114" s="102">
        <f>'State and Local P&amp;L (detailed)'!$S$65</f>
        <v>444827305</v>
      </c>
      <c r="AZ114" s="102">
        <f t="shared" si="200"/>
        <v>1293779305</v>
      </c>
      <c r="BA114" s="97">
        <f>SUMIFS('Federal Data'!AD2:AD501,'Federal Data'!$E2:$E501,"Secure the Blessings",'Federal Data'!$D2:$D501,"Nongrant")+SUMIFS('Federal Data'!AD2:AD501,'Federal Data'!$E2:$E501,"Obligations",'Federal Data'!$D2:$D501,"Nongrant")</f>
        <v>884970000</v>
      </c>
      <c r="BB114" s="102">
        <f>'State and Local P&amp;L (detailed)'!$T$65</f>
        <v>469819207</v>
      </c>
      <c r="BC114" s="102">
        <f t="shared" si="201"/>
        <v>1354789207</v>
      </c>
      <c r="BD114" s="97">
        <f>SUMIFS('Federal Data'!AE2:AE501,'Federal Data'!$E2:$E501,"Secure the Blessings",'Federal Data'!$D2:$D501,"Nongrant")+SUMIFS('Federal Data'!AE2:AE501,'Federal Data'!$E2:$E501,"Obligations",'Federal Data'!$D2:$D501,"Nongrant")</f>
        <v>908208000</v>
      </c>
      <c r="BE114" s="102">
        <f>'State and Local P&amp;L (detailed)'!$U$65</f>
        <v>505165496</v>
      </c>
      <c r="BF114" s="102">
        <f t="shared" si="202"/>
        <v>1413373496</v>
      </c>
      <c r="BG114" s="97">
        <f>SUMIFS('Federal Data'!AF2:AF501,'Federal Data'!$E2:$E501,"Secure the Blessings",'Federal Data'!$D2:$D501,"Nongrant")+SUMIFS('Federal Data'!AF2:AF501,'Federal Data'!$E2:$E501,"Obligations",'Federal Data'!$D2:$D501,"Nongrant")</f>
        <v>914862000</v>
      </c>
      <c r="BH114" s="102">
        <f>'State and Local P&amp;L (detailed)'!$V$65</f>
        <v>541558742</v>
      </c>
      <c r="BI114" s="102">
        <f t="shared" si="203"/>
        <v>1456420742</v>
      </c>
      <c r="BJ114" s="97">
        <f>SUMIFS('Federal Data'!AG2:AG501,'Federal Data'!$E2:$E501,"Secure the Blessings",'Federal Data'!$D2:$D501,"Nongrant")+SUMIFS('Federal Data'!AG2:AG501,'Federal Data'!$E2:$E501,"Obligations",'Federal Data'!$D2:$D501,"Nongrant")</f>
        <v>945161000</v>
      </c>
      <c r="BK114" s="102">
        <f>'State and Local P&amp;L (detailed)'!$W$65</f>
        <v>587981242</v>
      </c>
      <c r="BL114" s="102">
        <f t="shared" si="204"/>
        <v>1533142242</v>
      </c>
      <c r="BM114" s="97">
        <f>SUMIFS('Federal Data'!AH2:AH501,'Federal Data'!$E2:$E501,"Secure the Blessings",'Federal Data'!$D2:$D501,"Nongrant")+SUMIFS('Federal Data'!AH2:AH501,'Federal Data'!$E2:$E501,"Obligations",'Federal Data'!$D2:$D501,"Nongrant")</f>
        <v>967391000</v>
      </c>
      <c r="BN114" s="102">
        <f>'State and Local P&amp;L (detailed)'!$X$65</f>
        <v>637202496</v>
      </c>
      <c r="BO114" s="102">
        <f t="shared" si="205"/>
        <v>1604593496</v>
      </c>
      <c r="BP114" s="97">
        <f>SUMIFS('Federal Data'!AI2:AI501,'Federal Data'!$E2:$E501,"Secure the Blessings",'Federal Data'!$D2:$D501,"Nongrant")+SUMIFS('Federal Data'!AI2:AI501,'Federal Data'!$E2:$E501,"Obligations",'Federal Data'!$D2:$D501,"Nongrant")</f>
        <v>969048000</v>
      </c>
      <c r="BQ114" s="102">
        <f>'State and Local P&amp;L (detailed)'!$Y$65</f>
        <v>692412741</v>
      </c>
      <c r="BR114" s="102">
        <f t="shared" si="206"/>
        <v>1661460741</v>
      </c>
      <c r="BS114" s="97">
        <f>SUMIFS('Federal Data'!AJ2:AJ501,'Federal Data'!$E2:$E501,"Secure the Blessings",'Federal Data'!$D2:$D501,"Nongrant")+SUMIFS('Federal Data'!AJ2:AJ501,'Federal Data'!$E2:$E501,"Obligations",'Federal Data'!$D2:$D501,"Nongrant")</f>
        <v>995916000</v>
      </c>
      <c r="BT114" s="102">
        <f>'State and Local P&amp;L (detailed)'!$Z$65</f>
        <v>732326384</v>
      </c>
      <c r="BU114" s="102">
        <f t="shared" si="207"/>
        <v>1728242384</v>
      </c>
      <c r="BV114" s="97">
        <f>SUMIFS('Federal Data'!AK2:AK501,'Federal Data'!$E2:$E501,"Secure the Blessings",'Federal Data'!$D2:$D501,"Nongrant")+SUMIFS('Federal Data'!AK2:AK501,'Federal Data'!$E2:$E501,"Obligations",'Federal Data'!$D2:$D501,"Nongrant")</f>
        <v>1045904000</v>
      </c>
      <c r="BW114" s="102">
        <f>'State and Local P&amp;L (detailed)'!$AA$65</f>
        <v>781612390</v>
      </c>
      <c r="BX114" s="102">
        <f t="shared" si="208"/>
        <v>1827516390</v>
      </c>
      <c r="BY114" s="97">
        <f>SUMIFS('Federal Data'!AL2:AL501,'Federal Data'!$E2:$E501,"Secure the Blessings",'Federal Data'!$D2:$D501,"Nongrant")+SUMIFS('Federal Data'!AL2:AL501,'Federal Data'!$E2:$E501,"Obligations",'Federal Data'!$D2:$D501,"Nongrant")</f>
        <v>1140192000</v>
      </c>
      <c r="BZ114" s="102">
        <f>'State and Local P&amp;L (detailed)'!$AB$65</f>
        <v>808497617</v>
      </c>
      <c r="CA114" s="102">
        <f t="shared" si="209"/>
        <v>1948689617</v>
      </c>
      <c r="CB114" s="97">
        <f>SUMIFS('Federal Data'!AM2:AM501,'Federal Data'!$E2:$E501,"Secure the Blessings",'Federal Data'!$D2:$D501,"Nongrant")+SUMIFS('Federal Data'!AM2:AM501,'Federal Data'!$E2:$E501,"Obligations",'Federal Data'!$D2:$D501,"Nongrant")</f>
        <v>1266042000</v>
      </c>
      <c r="CC114" s="102">
        <f>'State and Local P&amp;L (detailed)'!$AC$65</f>
        <v>848646301</v>
      </c>
      <c r="CD114" s="102">
        <f t="shared" si="210"/>
        <v>2114688301</v>
      </c>
      <c r="CE114" s="97">
        <f>SUMIFS('Federal Data'!AN2:AN501,'Federal Data'!$E2:$E501,"Secure the Blessings",'Federal Data'!$D2:$D501,"Nongrant")+SUMIFS('Federal Data'!AN2:AN501,'Federal Data'!$E2:$E501,"Obligations",'Federal Data'!$D2:$D501,"Nongrant")</f>
        <v>1320334000</v>
      </c>
      <c r="CF114" s="102">
        <f>'State and Local P&amp;L (detailed)'!$AD$65</f>
        <v>900276755</v>
      </c>
      <c r="CG114" s="102">
        <f t="shared" si="211"/>
        <v>2220610755</v>
      </c>
      <c r="CH114" s="97">
        <f>SUMIFS('Federal Data'!AO2:AO501,'Federal Data'!$E2:$E501,"Secure the Blessings",'Federal Data'!$D2:$D501,"Nongrant")+SUMIFS('Federal Data'!AO2:AO501,'Federal Data'!$E2:$E501,"Obligations",'Federal Data'!$D2:$D501,"Nongrant")</f>
        <v>1393798000</v>
      </c>
      <c r="CI114" s="102">
        <f>'State and Local P&amp;L (detailed)'!$AE$65</f>
        <v>972370524</v>
      </c>
      <c r="CJ114" s="102">
        <f t="shared" si="212"/>
        <v>2366168524</v>
      </c>
      <c r="CK114" s="97">
        <f>SUMIFS('Federal Data'!AP2:AP501,'Federal Data'!$E2:$E501,"Secure the Blessings",'Federal Data'!$D2:$D501,"Nongrant")+SUMIFS('Federal Data'!AP2:AP501,'Federal Data'!$E2:$E501,"Obligations",'Federal Data'!$D2:$D501,"Nongrant")</f>
        <v>1524222000</v>
      </c>
      <c r="CL114" s="102">
        <f>'State and Local P&amp;L (detailed)'!$AF$65</f>
        <v>1029576166</v>
      </c>
      <c r="CM114" s="102">
        <f t="shared" si="213"/>
        <v>2553798166</v>
      </c>
      <c r="CN114" s="97">
        <f>SUMIFS('Federal Data'!AQ2:AQ501,'Federal Data'!$E2:$E501,"Secure the Blessings",'Federal Data'!$D2:$D501,"Nongrant")+SUMIFS('Federal Data'!AQ2:AQ501,'Federal Data'!$E2:$E501,"Obligations",'Federal Data'!$D2:$D501,"Nongrant")</f>
        <v>1525077000</v>
      </c>
      <c r="CO114" s="102">
        <f>'State and Local P&amp;L (detailed)'!$AG$65</f>
        <v>1052994746</v>
      </c>
      <c r="CP114" s="102">
        <f t="shared" si="214"/>
        <v>2578071746</v>
      </c>
      <c r="CQ114" s="97">
        <f>SUMIFS('Federal Data'!AR2:AR501,'Federal Data'!$E2:$E501,"Secure the Blessings",'Federal Data'!$D2:$D501,"Nongrant")+SUMIFS('Federal Data'!AR2:AR501,'Federal Data'!$E2:$E501,"Obligations",'Federal Data'!$D2:$D501,"Nongrant")</f>
        <v>1578939000</v>
      </c>
      <c r="CR114" s="102">
        <f>'State and Local P&amp;L (detailed)'!$AH$65</f>
        <v>1063207938</v>
      </c>
      <c r="CS114" s="102">
        <f t="shared" si="215"/>
        <v>2642146938</v>
      </c>
      <c r="CT114" s="97">
        <f>SUMIFS('Federal Data'!AS2:AS501,'Federal Data'!$E2:$E501,"Secure the Blessings",'Federal Data'!$D2:$D501,"Nongrant")+SUMIFS('Federal Data'!AS2:AS501,'Federal Data'!$E2:$E501,"Obligations",'Federal Data'!$D2:$D501,"Nongrant")</f>
        <v>1584667000</v>
      </c>
      <c r="CU114" s="102">
        <f>'State and Local P&amp;L (detailed)'!$AI$65</f>
        <v>1091205157</v>
      </c>
      <c r="CV114" s="102">
        <f t="shared" si="216"/>
        <v>2675872157</v>
      </c>
      <c r="CW114" s="97">
        <f>SUMIFS('Federal Data'!AT2:AT501,'Federal Data'!$E2:$E501,"Secure the Blessings",'Federal Data'!$D2:$D501,"Nongrant")+SUMIFS('Federal Data'!AT2:AT501,'Federal Data'!$E2:$E501,"Obligations",'Federal Data'!$D2:$D501,"Nongrant")</f>
        <v>1579291000</v>
      </c>
      <c r="CX114" s="102">
        <f>'State and Local P&amp;L (detailed)'!$AJ$65</f>
        <v>1103268100</v>
      </c>
      <c r="CY114" s="102">
        <f t="shared" si="217"/>
        <v>2682559100</v>
      </c>
      <c r="CZ114" s="97">
        <f>SUMIFS('Federal Data'!AU2:AU501,'Federal Data'!$E2:$E501,"Secure the Blessings",'Federal Data'!$D2:$D501,"Nongrant")+SUMIFS('Federal Data'!AU2:AU501,'Federal Data'!$E2:$E501,"Obligations",'Federal Data'!$D2:$D501,"Nongrant")</f>
        <v>1660369000</v>
      </c>
      <c r="DA114" s="102">
        <f>'State and Local P&amp;L (detailed)'!$AK$65</f>
        <v>1132045887</v>
      </c>
      <c r="DB114" s="102">
        <f t="shared" si="218"/>
        <v>2792414887</v>
      </c>
      <c r="DC114" s="44">
        <f>SUMIFS('Federal Data'!AV2:AV501,'Federal Data'!$E2:$E501,"Secure the Blessings",'Federal Data'!$D2:$D501,"Nongrant")+SUMIFS('Federal Data'!AV2:AV501,'Federal Data'!$E2:$E501,"Obligations",'Federal Data'!$D2:$D501,"Nongrant")</f>
        <v>1806970000</v>
      </c>
      <c r="DD114" s="86">
        <f>'State and Local P&amp;L (detailed)'!$AL$65</f>
        <v>0</v>
      </c>
      <c r="DE114" s="86">
        <f t="shared" si="219"/>
        <v>1806970000</v>
      </c>
    </row>
    <row r="115" spans="1:110" outlineLevel="1">
      <c r="A115" s="28" t="s">
        <v>158</v>
      </c>
      <c r="B115" s="94">
        <f>B116+B121</f>
        <v>4329717</v>
      </c>
      <c r="C115" s="101">
        <f>'State and Local P&amp;L (detailed)'!$C$66</f>
        <v>121147948</v>
      </c>
      <c r="D115" s="101">
        <f t="shared" si="184"/>
        <v>125477665</v>
      </c>
      <c r="E115" s="94">
        <f>E116+E121</f>
        <v>6205890</v>
      </c>
      <c r="F115" s="101">
        <f>'State and Local P&amp;L (detailed)'!$D$66</f>
        <v>132323845</v>
      </c>
      <c r="G115" s="101">
        <f t="shared" si="185"/>
        <v>138529735</v>
      </c>
      <c r="H115" s="94">
        <f>H116+H121</f>
        <v>5755774</v>
      </c>
      <c r="I115" s="101">
        <f>'State and Local P&amp;L (detailed)'!$E$66</f>
        <v>139197036</v>
      </c>
      <c r="J115" s="101">
        <f t="shared" si="186"/>
        <v>144952810</v>
      </c>
      <c r="K115" s="94">
        <f>K116+K121</f>
        <v>4536536</v>
      </c>
      <c r="L115" s="101">
        <f>'State and Local P&amp;L (detailed)'!$F$66</f>
        <v>147259723</v>
      </c>
      <c r="M115" s="101">
        <f t="shared" si="187"/>
        <v>151796259</v>
      </c>
      <c r="N115" s="94">
        <f>N116+N121</f>
        <v>5222365</v>
      </c>
      <c r="O115" s="101">
        <f>'State and Local P&amp;L (detailed)'!$G$66</f>
        <v>157905924</v>
      </c>
      <c r="P115" s="101">
        <f t="shared" si="188"/>
        <v>163128289</v>
      </c>
      <c r="Q115" s="94">
        <f>Q116+Q121</f>
        <v>5462535</v>
      </c>
      <c r="R115" s="101">
        <f>'State and Local P&amp;L (detailed)'!$H$66</f>
        <v>173428340</v>
      </c>
      <c r="S115" s="101">
        <f t="shared" si="189"/>
        <v>178890875</v>
      </c>
      <c r="T115" s="94">
        <f>T116+T121</f>
        <v>5084967</v>
      </c>
      <c r="U115" s="101">
        <f>'State and Local P&amp;L (detailed)'!$I$66</f>
        <v>190020687</v>
      </c>
      <c r="V115" s="101">
        <f t="shared" si="190"/>
        <v>195105654</v>
      </c>
      <c r="W115" s="94">
        <f>W116+W121</f>
        <v>4171338</v>
      </c>
      <c r="X115" s="101">
        <f>'State and Local P&amp;L (detailed)'!$J$66</f>
        <v>204928092</v>
      </c>
      <c r="Y115" s="101">
        <f t="shared" si="191"/>
        <v>209099430</v>
      </c>
      <c r="Z115" s="94">
        <f>Z116+Z121</f>
        <v>4521222</v>
      </c>
      <c r="AA115" s="101">
        <f>'State and Local P&amp;L (detailed)'!$K$66</f>
        <v>219150277</v>
      </c>
      <c r="AB115" s="101">
        <f t="shared" si="192"/>
        <v>223671499</v>
      </c>
      <c r="AC115" s="94">
        <f>AC116+AC121</f>
        <v>6397898</v>
      </c>
      <c r="AD115" s="101">
        <f>'State and Local P&amp;L (detailed)'!$L$66</f>
        <v>237621607</v>
      </c>
      <c r="AE115" s="101">
        <f t="shared" si="193"/>
        <v>244019505</v>
      </c>
      <c r="AF115" s="94">
        <f>AF116+AF121</f>
        <v>6918833</v>
      </c>
      <c r="AG115" s="101">
        <f>'State and Local P&amp;L (detailed)'!$M$66</f>
        <v>259409417</v>
      </c>
      <c r="AH115" s="101">
        <f t="shared" si="194"/>
        <v>266328250</v>
      </c>
      <c r="AI115" s="94">
        <f>AI116+AI121</f>
        <v>7808689</v>
      </c>
      <c r="AJ115" s="101">
        <f>'State and Local P&amp;L (detailed)'!$N$66</f>
        <v>278117859</v>
      </c>
      <c r="AK115" s="101">
        <f t="shared" si="195"/>
        <v>285926548</v>
      </c>
      <c r="AL115" s="94">
        <f>AL116+AL121</f>
        <v>6603804</v>
      </c>
      <c r="AM115" s="101">
        <f>'State and Local P&amp;L (detailed)'!$O$66</f>
        <v>290216531</v>
      </c>
      <c r="AN115" s="101">
        <f t="shared" si="196"/>
        <v>296820335</v>
      </c>
      <c r="AO115" s="94">
        <f>AO116+AO121</f>
        <v>9267421</v>
      </c>
      <c r="AP115" s="101">
        <f>'State and Local P&amp;L (detailed)'!$P$66</f>
        <v>305022826</v>
      </c>
      <c r="AQ115" s="101">
        <f t="shared" si="197"/>
        <v>314290247</v>
      </c>
      <c r="AR115" s="94">
        <f>AR116+AR121</f>
        <v>3404279</v>
      </c>
      <c r="AS115" s="101">
        <f>'State and Local P&amp;L (detailed)'!$Q$66</f>
        <v>313748034</v>
      </c>
      <c r="AT115" s="101">
        <f t="shared" si="198"/>
        <v>317152313</v>
      </c>
      <c r="AU115" s="94">
        <f>AU116+AU121</f>
        <v>9927000</v>
      </c>
      <c r="AV115" s="101">
        <f>'State and Local P&amp;L (detailed)'!$R$66</f>
        <v>336008895</v>
      </c>
      <c r="AW115" s="101">
        <f t="shared" si="199"/>
        <v>345935895</v>
      </c>
      <c r="AX115" s="94">
        <f>AX116+AX121</f>
        <v>8038000</v>
      </c>
      <c r="AY115" s="101">
        <f>'State and Local P&amp;L (detailed)'!$S$66</f>
        <v>354837286</v>
      </c>
      <c r="AZ115" s="101">
        <f t="shared" si="200"/>
        <v>362875286</v>
      </c>
      <c r="BA115" s="94">
        <f>BA116+BA121</f>
        <v>7679000</v>
      </c>
      <c r="BB115" s="101">
        <f>'State and Local P&amp;L (detailed)'!$T$66</f>
        <v>372596204</v>
      </c>
      <c r="BC115" s="101">
        <f t="shared" si="201"/>
        <v>380275204</v>
      </c>
      <c r="BD115" s="94">
        <f>BD116+BD121</f>
        <v>6846000</v>
      </c>
      <c r="BE115" s="101">
        <f>'State and Local P&amp;L (detailed)'!$U$66</f>
        <v>400245205</v>
      </c>
      <c r="BF115" s="101">
        <f t="shared" si="202"/>
        <v>407091205</v>
      </c>
      <c r="BG115" s="94">
        <f>BG116+BG121</f>
        <v>4330000</v>
      </c>
      <c r="BH115" s="101">
        <f>'State and Local P&amp;L (detailed)'!$V$66</f>
        <v>429694947</v>
      </c>
      <c r="BI115" s="101">
        <f t="shared" si="203"/>
        <v>434024947</v>
      </c>
      <c r="BJ115" s="94">
        <f>BJ116+BJ121</f>
        <v>4082000</v>
      </c>
      <c r="BK115" s="101">
        <f>'State and Local P&amp;L (detailed)'!$W$66</f>
        <v>463205679</v>
      </c>
      <c r="BL115" s="101">
        <f t="shared" si="204"/>
        <v>467287679</v>
      </c>
      <c r="BM115" s="94">
        <f>BM116+BM121</f>
        <v>2651000</v>
      </c>
      <c r="BN115" s="101">
        <f>'State and Local P&amp;L (detailed)'!$X$66</f>
        <v>501516420</v>
      </c>
      <c r="BO115" s="101">
        <f t="shared" si="205"/>
        <v>504167420</v>
      </c>
      <c r="BP115" s="94">
        <f>BP116+BP121</f>
        <v>8723000</v>
      </c>
      <c r="BQ115" s="101">
        <f>'State and Local P&amp;L (detailed)'!$Y$66</f>
        <v>530663565</v>
      </c>
      <c r="BR115" s="101">
        <f t="shared" si="206"/>
        <v>539386565</v>
      </c>
      <c r="BS115" s="94">
        <f>BS116+BS121</f>
        <v>12273000</v>
      </c>
      <c r="BT115" s="101">
        <f>'State and Local P&amp;L (detailed)'!$Z$66</f>
        <v>550395095</v>
      </c>
      <c r="BU115" s="101">
        <f t="shared" si="207"/>
        <v>562668095</v>
      </c>
      <c r="BV115" s="94">
        <f>BV116+BV121</f>
        <v>13998000</v>
      </c>
      <c r="BW115" s="101">
        <f>'State and Local P&amp;L (detailed)'!$AA$66</f>
        <v>581044204</v>
      </c>
      <c r="BX115" s="101">
        <f t="shared" si="208"/>
        <v>595042204</v>
      </c>
      <c r="BY115" s="94">
        <f>BY116+BY121</f>
        <v>19988000</v>
      </c>
      <c r="BZ115" s="101">
        <f>'State and Local P&amp;L (detailed)'!$AB$66</f>
        <v>608037525</v>
      </c>
      <c r="CA115" s="101">
        <f t="shared" si="209"/>
        <v>628025525</v>
      </c>
      <c r="CB115" s="94">
        <f>CB116+CB121</f>
        <v>39202000</v>
      </c>
      <c r="CC115" s="101">
        <f>'State and Local P&amp;L (detailed)'!$AC$66</f>
        <v>641008656</v>
      </c>
      <c r="CD115" s="101">
        <f t="shared" si="210"/>
        <v>680210656</v>
      </c>
      <c r="CE115" s="94">
        <f>CE116+CE121</f>
        <v>13115000</v>
      </c>
      <c r="CF115" s="101">
        <f>'State and Local P&amp;L (detailed)'!$AD$66</f>
        <v>682952146</v>
      </c>
      <c r="CG115" s="101">
        <f t="shared" si="211"/>
        <v>696067146</v>
      </c>
      <c r="CH115" s="94">
        <f>CH116+CH121</f>
        <v>9901000</v>
      </c>
      <c r="CI115" s="101">
        <f>'State and Local P&amp;L (detailed)'!$AE$66</f>
        <v>728776677</v>
      </c>
      <c r="CJ115" s="101">
        <f t="shared" si="212"/>
        <v>738677677</v>
      </c>
      <c r="CK115" s="94">
        <f>CK116+CK121</f>
        <v>-22669000</v>
      </c>
      <c r="CL115" s="101">
        <f>'State and Local P&amp;L (detailed)'!$AF$66</f>
        <v>747579083</v>
      </c>
      <c r="CM115" s="101">
        <f t="shared" si="213"/>
        <v>724910083</v>
      </c>
      <c r="CN115" s="94">
        <f>CN116+CN121</f>
        <v>-9196000</v>
      </c>
      <c r="CO115" s="101">
        <f>'State and Local P&amp;L (detailed)'!$AG$66</f>
        <v>749970217</v>
      </c>
      <c r="CP115" s="101">
        <f t="shared" si="214"/>
        <v>740774217</v>
      </c>
      <c r="CQ115" s="94">
        <f>CQ116+CQ121</f>
        <v>-32491000</v>
      </c>
      <c r="CR115" s="101">
        <f>'State and Local P&amp;L (detailed)'!$AH$66</f>
        <v>743869381</v>
      </c>
      <c r="CS115" s="101">
        <f t="shared" si="215"/>
        <v>711378381</v>
      </c>
      <c r="CT115" s="94">
        <f>CT116+CT121</f>
        <v>-18444000</v>
      </c>
      <c r="CU115" s="101">
        <f>'State and Local P&amp;L (detailed)'!$AI$66</f>
        <v>766103398</v>
      </c>
      <c r="CV115" s="101">
        <f t="shared" si="216"/>
        <v>747659398</v>
      </c>
      <c r="CW115" s="94">
        <f>CW116+CW121</f>
        <v>-30002000</v>
      </c>
      <c r="CX115" s="101">
        <f>'State and Local P&amp;L (detailed)'!$AJ$66</f>
        <v>769804450</v>
      </c>
      <c r="CY115" s="101">
        <f t="shared" si="217"/>
        <v>739802450</v>
      </c>
      <c r="CZ115" s="94">
        <f>CZ116+CZ121</f>
        <v>-8832000</v>
      </c>
      <c r="DA115" s="101">
        <f>'State and Local P&amp;L (detailed)'!$AK$66</f>
        <v>794723005</v>
      </c>
      <c r="DB115" s="101">
        <f t="shared" si="218"/>
        <v>785891005</v>
      </c>
      <c r="DC115" s="37">
        <f>DC116+DC121</f>
        <v>24122000</v>
      </c>
      <c r="DD115" s="85">
        <f>'State and Local P&amp;L (detailed)'!$AL$66</f>
        <v>0</v>
      </c>
      <c r="DE115" s="85">
        <f t="shared" si="219"/>
        <v>24122000</v>
      </c>
    </row>
    <row r="116" spans="1:110" outlineLevel="2">
      <c r="A116" s="29" t="s">
        <v>44</v>
      </c>
      <c r="B116" s="94">
        <f>SUMIFS('Federal Data'!M2:M501,'Federal Data'!$F2:$F501,"Education Inside the Classroom",'Federal Data'!$D2:$D501,"Nongrant")</f>
        <v>3467879</v>
      </c>
      <c r="C116" s="101">
        <f>'State and Local P&amp;L (detailed)'!$C$67</f>
        <v>119454321</v>
      </c>
      <c r="D116" s="101">
        <f t="shared" si="184"/>
        <v>122922200</v>
      </c>
      <c r="E116" s="94">
        <f>SUMIFS('Federal Data'!N2:N501,'Federal Data'!$F2:$F501,"Education Inside the Classroom",'Federal Data'!$D2:$D501,"Nongrant")</f>
        <v>5316868</v>
      </c>
      <c r="F116" s="101">
        <f>'State and Local P&amp;L (detailed)'!$D$67</f>
        <v>130458655</v>
      </c>
      <c r="G116" s="101">
        <f t="shared" si="185"/>
        <v>135775523</v>
      </c>
      <c r="H116" s="94">
        <f>SUMIFS('Federal Data'!O2:O501,'Federal Data'!$F2:$F501,"Education Inside the Classroom",'Federal Data'!$D2:$D501,"Nongrant")</f>
        <v>4853160</v>
      </c>
      <c r="I116" s="101">
        <f>'State and Local P&amp;L (detailed)'!$E$67</f>
        <v>137184443</v>
      </c>
      <c r="J116" s="101">
        <f t="shared" si="186"/>
        <v>142037603</v>
      </c>
      <c r="K116" s="94">
        <f>SUMIFS('Federal Data'!P2:P501,'Federal Data'!$F2:$F501,"Education Inside the Classroom",'Federal Data'!$D2:$D501,"Nongrant")</f>
        <v>3694881</v>
      </c>
      <c r="L116" s="101">
        <f>'State and Local P&amp;L (detailed)'!$F$67</f>
        <v>145046501</v>
      </c>
      <c r="M116" s="101">
        <f t="shared" si="187"/>
        <v>148741382</v>
      </c>
      <c r="N116" s="94">
        <f>SUMIFS('Federal Data'!Q2:Q501,'Federal Data'!$F2:$F501,"Education Inside the Classroom",'Federal Data'!$D2:$D501,"Nongrant")</f>
        <v>4156273</v>
      </c>
      <c r="O116" s="101">
        <f>'State and Local P&amp;L (detailed)'!$G$67</f>
        <v>155493407</v>
      </c>
      <c r="P116" s="101">
        <f t="shared" si="188"/>
        <v>159649680</v>
      </c>
      <c r="Q116" s="94">
        <f>SUMIFS('Federal Data'!R2:R501,'Federal Data'!$F2:$F501,"Education Inside the Classroom",'Federal Data'!$D2:$D501,"Nongrant")</f>
        <v>4516832</v>
      </c>
      <c r="R116" s="101">
        <f>'State and Local P&amp;L (detailed)'!$H$67</f>
        <v>170728411</v>
      </c>
      <c r="S116" s="101">
        <f t="shared" si="189"/>
        <v>175245243</v>
      </c>
      <c r="T116" s="94">
        <f>SUMIFS('Federal Data'!S2:S501,'Federal Data'!$F2:$F501,"Education Inside the Classroom",'Federal Data'!$D2:$D501,"Nongrant")</f>
        <v>4137618</v>
      </c>
      <c r="U116" s="101">
        <f>'State and Local P&amp;L (detailed)'!$I$67</f>
        <v>187073186</v>
      </c>
      <c r="V116" s="101">
        <f t="shared" si="190"/>
        <v>191210804</v>
      </c>
      <c r="W116" s="94">
        <f>SUMIFS('Federal Data'!T2:T501,'Federal Data'!$F2:$F501,"Education Inside the Classroom",'Federal Data'!$D2:$D501,"Nongrant")</f>
        <v>3192882</v>
      </c>
      <c r="X116" s="101">
        <f>'State and Local P&amp;L (detailed)'!$J$67</f>
        <v>201630514</v>
      </c>
      <c r="Y116" s="101">
        <f t="shared" si="191"/>
        <v>204823396</v>
      </c>
      <c r="Z116" s="94">
        <f>SUMIFS('Federal Data'!U2:U501,'Federal Data'!$F2:$F501,"Education Inside the Classroom",'Federal Data'!$D2:$D501,"Nongrant")</f>
        <v>3518858</v>
      </c>
      <c r="AA116" s="101">
        <f>'State and Local P&amp;L (detailed)'!$K$67</f>
        <v>215649530</v>
      </c>
      <c r="AB116" s="101">
        <f t="shared" si="192"/>
        <v>219168388</v>
      </c>
      <c r="AC116" s="94">
        <f>SUMIFS('Federal Data'!V2:V501,'Federal Data'!$F2:$F501,"Education Inside the Classroom",'Federal Data'!$D2:$D501,"Nongrant")</f>
        <v>5306274</v>
      </c>
      <c r="AD116" s="101">
        <f>'State and Local P&amp;L (detailed)'!$L$67</f>
        <v>233838156</v>
      </c>
      <c r="AE116" s="101">
        <f t="shared" si="193"/>
        <v>239144430</v>
      </c>
      <c r="AF116" s="94">
        <f>SUMIFS('Federal Data'!W2:W501,'Federal Data'!$F2:$F501,"Education Inside the Classroom",'Federal Data'!$D2:$D501,"Nongrant")</f>
        <v>5761688</v>
      </c>
      <c r="AG116" s="101">
        <f>'State and Local P&amp;L (detailed)'!$M$67</f>
        <v>255307603</v>
      </c>
      <c r="AH116" s="101">
        <f t="shared" si="194"/>
        <v>261069291</v>
      </c>
      <c r="AI116" s="94">
        <f>SUMIFS('Federal Data'!X2:X501,'Federal Data'!$F2:$F501,"Education Inside the Classroom",'Federal Data'!$D2:$D501,"Nongrant")</f>
        <v>6528093</v>
      </c>
      <c r="AJ116" s="101">
        <f>'State and Local P&amp;L (detailed)'!$N$67</f>
        <v>273675722</v>
      </c>
      <c r="AK116" s="101">
        <f t="shared" si="195"/>
        <v>280203815</v>
      </c>
      <c r="AL116" s="94">
        <f>SUMIFS('Federal Data'!Y2:Y501,'Federal Data'!$F2:$F501,"Education Inside the Classroom",'Federal Data'!$D2:$D501,"Nongrant")</f>
        <v>4931398</v>
      </c>
      <c r="AM116" s="101">
        <f>'State and Local P&amp;L (detailed)'!$O$67</f>
        <v>285506613</v>
      </c>
      <c r="AN116" s="101">
        <f t="shared" si="196"/>
        <v>290438011</v>
      </c>
      <c r="AO116" s="94">
        <f>SUMIFS('Federal Data'!Z2:Z501,'Federal Data'!$F2:$F501,"Education Inside the Classroom",'Federal Data'!$D2:$D501,"Nongrant")</f>
        <v>7546504</v>
      </c>
      <c r="AP116" s="101">
        <f>'State and Local P&amp;L (detailed)'!$P$67</f>
        <v>300360379</v>
      </c>
      <c r="AQ116" s="101">
        <f t="shared" si="197"/>
        <v>307906883</v>
      </c>
      <c r="AR116" s="94">
        <f>SUMIFS('Federal Data'!AA2:AA501,'Federal Data'!$F2:$F501,"Education Inside the Classroom",'Federal Data'!$D2:$D501,"Nongrant")</f>
        <v>1618291</v>
      </c>
      <c r="AS116" s="101">
        <f>'State and Local P&amp;L (detailed)'!$Q$67</f>
        <v>308793901</v>
      </c>
      <c r="AT116" s="101">
        <f t="shared" si="198"/>
        <v>310412192</v>
      </c>
      <c r="AU116" s="94">
        <f>SUMIFS('Federal Data'!AB2:AB501,'Federal Data'!$F2:$F501,"Education Inside the Classroom",'Federal Data'!$D2:$D501,"Nongrant")</f>
        <v>8102000</v>
      </c>
      <c r="AV116" s="101">
        <f>'State and Local P&amp;L (detailed)'!$R$67</f>
        <v>330724218</v>
      </c>
      <c r="AW116" s="101">
        <f t="shared" si="199"/>
        <v>338826218</v>
      </c>
      <c r="AX116" s="94">
        <f>SUMIFS('Federal Data'!AC2:AC501,'Federal Data'!$F2:$F501,"Education Inside the Classroom",'Federal Data'!$D2:$D501,"Nongrant")</f>
        <v>6164000</v>
      </c>
      <c r="AY116" s="101">
        <f>'State and Local P&amp;L (detailed)'!$S$67</f>
        <v>349117247</v>
      </c>
      <c r="AZ116" s="101">
        <f t="shared" si="200"/>
        <v>355281247</v>
      </c>
      <c r="BA116" s="94">
        <f>SUMIFS('Federal Data'!AD2:AD501,'Federal Data'!$F2:$F501,"Education Inside the Classroom",'Federal Data'!$D2:$D501,"Nongrant")</f>
        <v>5871000</v>
      </c>
      <c r="BB116" s="101">
        <f>'State and Local P&amp;L (detailed)'!$T$67</f>
        <v>366303685</v>
      </c>
      <c r="BC116" s="101">
        <f t="shared" si="201"/>
        <v>372174685</v>
      </c>
      <c r="BD116" s="94">
        <f>SUMIFS('Federal Data'!AE2:AE501,'Federal Data'!$F2:$F501,"Education Inside the Classroom",'Federal Data'!$D2:$D501,"Nongrant")</f>
        <v>4982000</v>
      </c>
      <c r="BE116" s="101">
        <f>'State and Local P&amp;L (detailed)'!$U$67</f>
        <v>393676082</v>
      </c>
      <c r="BF116" s="101">
        <f t="shared" si="202"/>
        <v>398658082</v>
      </c>
      <c r="BG116" s="94">
        <f>SUMIFS('Federal Data'!AF2:AF501,'Federal Data'!$F2:$F501,"Education Inside the Classroom",'Federal Data'!$D2:$D501,"Nongrant")</f>
        <v>2406000</v>
      </c>
      <c r="BH116" s="101">
        <f>'State and Local P&amp;L (detailed)'!$V$67</f>
        <v>422853965</v>
      </c>
      <c r="BI116" s="101">
        <f t="shared" si="203"/>
        <v>425259965</v>
      </c>
      <c r="BJ116" s="94">
        <f>SUMIFS('Federal Data'!AG2:AG501,'Federal Data'!$F2:$F501,"Education Inside the Classroom",'Federal Data'!$D2:$D501,"Nongrant")</f>
        <v>2104000</v>
      </c>
      <c r="BK116" s="101">
        <f>'State and Local P&amp;L (detailed)'!$W$67</f>
        <v>456050323</v>
      </c>
      <c r="BL116" s="101">
        <f t="shared" si="204"/>
        <v>458154323</v>
      </c>
      <c r="BM116" s="94">
        <f>SUMIFS('Federal Data'!AH2:AH501,'Federal Data'!$F2:$F501,"Education Inside the Classroom",'Federal Data'!$D2:$D501,"Nongrant")</f>
        <v>615000</v>
      </c>
      <c r="BN116" s="101">
        <f>'State and Local P&amp;L (detailed)'!$X$67</f>
        <v>493714329</v>
      </c>
      <c r="BO116" s="101">
        <f t="shared" si="205"/>
        <v>494329329</v>
      </c>
      <c r="BP116" s="94">
        <f>SUMIFS('Federal Data'!AI2:AI501,'Federal Data'!$F2:$F501,"Education Inside the Classroom",'Federal Data'!$D2:$D501,"Nongrant")</f>
        <v>6500000</v>
      </c>
      <c r="BQ116" s="101">
        <f>'State and Local P&amp;L (detailed)'!$Y$67</f>
        <v>522403494</v>
      </c>
      <c r="BR116" s="101">
        <f t="shared" si="206"/>
        <v>528903494</v>
      </c>
      <c r="BS116" s="94">
        <f>SUMIFS('Federal Data'!AJ2:AJ501,'Federal Data'!$F2:$F501,"Education Inside the Classroom",'Federal Data'!$D2:$D501,"Nongrant")</f>
        <v>10122000</v>
      </c>
      <c r="BT116" s="101">
        <f>'State and Local P&amp;L (detailed)'!$Z$67</f>
        <v>542813411</v>
      </c>
      <c r="BU116" s="101">
        <f t="shared" si="207"/>
        <v>552935411</v>
      </c>
      <c r="BV116" s="94">
        <f>SUMIFS('Federal Data'!AK2:AK501,'Federal Data'!$F2:$F501,"Education Inside the Classroom",'Federal Data'!$D2:$D501,"Nongrant")</f>
        <v>11736000</v>
      </c>
      <c r="BW116" s="101">
        <f>'State and Local P&amp;L (detailed)'!$AA$67</f>
        <v>571755621</v>
      </c>
      <c r="BX116" s="101">
        <f t="shared" si="208"/>
        <v>583491621</v>
      </c>
      <c r="BY116" s="94">
        <f>SUMIFS('Federal Data'!AL2:AL501,'Federal Data'!$F2:$F501,"Education Inside the Classroom",'Federal Data'!$D2:$D501,"Nongrant")</f>
        <v>17662000</v>
      </c>
      <c r="BZ116" s="101">
        <f>'State and Local P&amp;L (detailed)'!$AB$67</f>
        <v>598245147</v>
      </c>
      <c r="CA116" s="101">
        <f t="shared" si="209"/>
        <v>615907147</v>
      </c>
      <c r="CB116" s="94">
        <f>SUMIFS('Federal Data'!AM2:AM501,'Federal Data'!$F2:$F501,"Education Inside the Classroom",'Federal Data'!$D2:$D501,"Nongrant")</f>
        <v>36966000</v>
      </c>
      <c r="CC116" s="101">
        <f>'State and Local P&amp;L (detailed)'!$AC$67</f>
        <v>632120996</v>
      </c>
      <c r="CD116" s="101">
        <f t="shared" si="210"/>
        <v>669086996</v>
      </c>
      <c r="CE116" s="94">
        <f>SUMIFS('Federal Data'!AN2:AN501,'Federal Data'!$F2:$F501,"Education Inside the Classroom",'Federal Data'!$D2:$D501,"Nongrant")</f>
        <v>10750000</v>
      </c>
      <c r="CF116" s="101">
        <f>'State and Local P&amp;L (detailed)'!$AD$67</f>
        <v>672186206</v>
      </c>
      <c r="CG116" s="101">
        <f t="shared" si="211"/>
        <v>682936206</v>
      </c>
      <c r="CH116" s="94">
        <f>SUMIFS('Federal Data'!AO2:AO501,'Federal Data'!$F2:$F501,"Education Inside the Classroom",'Federal Data'!$D2:$D501,"Nongrant")</f>
        <v>7490000</v>
      </c>
      <c r="CI116" s="101">
        <f>'State and Local P&amp;L (detailed)'!$AE$67</f>
        <v>717255487</v>
      </c>
      <c r="CJ116" s="101">
        <f t="shared" si="212"/>
        <v>724745487</v>
      </c>
      <c r="CK116" s="94">
        <f>SUMIFS('Federal Data'!AP2:AP501,'Federal Data'!$F2:$F501,"Education Inside the Classroom",'Federal Data'!$D2:$D501,"Nongrant")</f>
        <v>-25309000</v>
      </c>
      <c r="CL116" s="101">
        <f>'State and Local P&amp;L (detailed)'!$AF$67</f>
        <v>736448822</v>
      </c>
      <c r="CM116" s="101">
        <f t="shared" si="213"/>
        <v>711139822</v>
      </c>
      <c r="CN116" s="94">
        <f>SUMIFS('Federal Data'!AQ2:AQ501,'Federal Data'!$F2:$F501,"Education Inside the Classroom",'Federal Data'!$D2:$D501,"Nongrant")</f>
        <v>-11967000</v>
      </c>
      <c r="CO116" s="101">
        <f>'State and Local P&amp;L (detailed)'!$AG$67</f>
        <v>738979205</v>
      </c>
      <c r="CP116" s="101">
        <f t="shared" si="214"/>
        <v>727012205</v>
      </c>
      <c r="CQ116" s="94">
        <f>SUMIFS('Federal Data'!AR2:AR501,'Federal Data'!$F2:$F501,"Education Inside the Classroom",'Federal Data'!$D2:$D501,"Nongrant")</f>
        <v>-35347000</v>
      </c>
      <c r="CR116" s="101">
        <f>'State and Local P&amp;L (detailed)'!$AH$67</f>
        <v>733170870</v>
      </c>
      <c r="CS116" s="101">
        <f t="shared" si="215"/>
        <v>697823870</v>
      </c>
      <c r="CT116" s="94">
        <f>SUMIFS('Federal Data'!AS2:AS501,'Federal Data'!$F2:$F501,"Education Inside the Classroom",'Federal Data'!$D2:$D501,"Nongrant")</f>
        <v>-21308000</v>
      </c>
      <c r="CU116" s="101">
        <f>'State and Local P&amp;L (detailed)'!$AI$67</f>
        <v>754643667</v>
      </c>
      <c r="CV116" s="101">
        <f t="shared" si="216"/>
        <v>733335667</v>
      </c>
      <c r="CW116" s="94">
        <f>SUMIFS('Federal Data'!AT2:AT501,'Federal Data'!$F2:$F501,"Education Inside the Classroom",'Federal Data'!$D2:$D501,"Nongrant")</f>
        <v>-32869000</v>
      </c>
      <c r="CX116" s="101">
        <f>'State and Local P&amp;L (detailed)'!$AJ$67</f>
        <v>758653999</v>
      </c>
      <c r="CY116" s="101">
        <f t="shared" si="217"/>
        <v>725784999</v>
      </c>
      <c r="CZ116" s="94">
        <f>SUMIFS('Federal Data'!AU2:AU501,'Federal Data'!$F2:$F501,"Education Inside the Classroom",'Federal Data'!$D2:$D501,"Nongrant")</f>
        <v>-11587000</v>
      </c>
      <c r="DA116" s="101">
        <f>'State and Local P&amp;L (detailed)'!$AK$67</f>
        <v>783564716</v>
      </c>
      <c r="DB116" s="101">
        <f t="shared" si="218"/>
        <v>771977716</v>
      </c>
      <c r="DC116" s="37">
        <f>SUMIFS('Federal Data'!AV2:AV501,'Federal Data'!$F2:$F501,"Education Inside the Classroom",'Federal Data'!$D2:$D501,"Nongrant")</f>
        <v>21370000</v>
      </c>
      <c r="DD116" s="85">
        <f>'State and Local P&amp;L (detailed)'!$AL$67</f>
        <v>0</v>
      </c>
      <c r="DE116" s="85">
        <f t="shared" si="219"/>
        <v>21370000</v>
      </c>
    </row>
    <row r="117" spans="1:110" outlineLevel="3">
      <c r="A117" s="31" t="s">
        <v>45</v>
      </c>
      <c r="B117" s="94">
        <f>SUMIFS('Federal Data'!M2:M501,'Federal Data'!$G2:$G501,"Elementary and Secondary Education",'Federal Data'!$D2:$D501,"Nongrant")</f>
        <v>436966</v>
      </c>
      <c r="C117" s="101">
        <f>'State and Local P&amp;L (detailed)'!$C$68</f>
        <v>91878286</v>
      </c>
      <c r="D117" s="101">
        <f t="shared" si="184"/>
        <v>92315252</v>
      </c>
      <c r="E117" s="94">
        <f>SUMIFS('Federal Data'!N2:N501,'Federal Data'!$G2:$G501,"Elementary and Secondary Education",'Federal Data'!$D2:$D501,"Nongrant")</f>
        <v>461003</v>
      </c>
      <c r="F117" s="101">
        <f>'State and Local P&amp;L (detailed)'!$D$68</f>
        <v>99521862</v>
      </c>
      <c r="G117" s="101">
        <f t="shared" si="185"/>
        <v>99982865</v>
      </c>
      <c r="H117" s="94">
        <f>SUMIFS('Federal Data'!O2:O501,'Federal Data'!$G2:$G501,"Elementary and Secondary Education",'Federal Data'!$D2:$D501,"Nongrant")</f>
        <v>456932</v>
      </c>
      <c r="I117" s="101">
        <f>'State and Local P&amp;L (detailed)'!$E$68</f>
        <v>104841980</v>
      </c>
      <c r="J117" s="101">
        <f t="shared" si="186"/>
        <v>105298912</v>
      </c>
      <c r="K117" s="94">
        <f>SUMIFS('Federal Data'!P2:P501,'Federal Data'!$G2:$G501,"Elementary and Secondary Education",'Federal Data'!$D2:$D501,"Nongrant")</f>
        <v>545400</v>
      </c>
      <c r="L117" s="101">
        <f>'State and Local P&amp;L (detailed)'!$F$68</f>
        <v>111714345</v>
      </c>
      <c r="M117" s="101">
        <f t="shared" si="187"/>
        <v>112259745</v>
      </c>
      <c r="N117" s="94">
        <f>SUMIFS('Federal Data'!Q2:Q501,'Federal Data'!$G2:$G501,"Elementary and Secondary Education",'Federal Data'!$D2:$D501,"Nongrant")</f>
        <v>557669</v>
      </c>
      <c r="O117" s="101">
        <f>'State and Local P&amp;L (detailed)'!$G$68</f>
        <v>119577524</v>
      </c>
      <c r="P117" s="101">
        <f t="shared" si="188"/>
        <v>120135193</v>
      </c>
      <c r="Q117" s="94">
        <f>SUMIFS('Federal Data'!R2:R501,'Federal Data'!$G2:$G501,"Elementary and Secondary Education",'Federal Data'!$D2:$D501,"Nongrant")</f>
        <v>512673</v>
      </c>
      <c r="R117" s="101">
        <f>'State and Local P&amp;L (detailed)'!$H$68</f>
        <v>130867116</v>
      </c>
      <c r="S117" s="101">
        <f t="shared" si="189"/>
        <v>131379789</v>
      </c>
      <c r="T117" s="94">
        <f>SUMIFS('Federal Data'!S2:S501,'Federal Data'!$G2:$G501,"Elementary and Secondary Education",'Federal Data'!$D2:$D501,"Nongrant")</f>
        <v>343175</v>
      </c>
      <c r="U117" s="101">
        <f>'State and Local P&amp;L (detailed)'!$I$68</f>
        <v>144148137</v>
      </c>
      <c r="V117" s="101">
        <f t="shared" si="190"/>
        <v>144491312</v>
      </c>
      <c r="W117" s="94">
        <f>SUMIFS('Federal Data'!T2:T501,'Federal Data'!$G2:$G501,"Elementary and Secondary Education",'Federal Data'!$D2:$D501,"Nongrant")</f>
        <v>631277</v>
      </c>
      <c r="X117" s="101">
        <f>'State and Local P&amp;L (detailed)'!$J$68</f>
        <v>156139518</v>
      </c>
      <c r="Y117" s="101">
        <f t="shared" si="191"/>
        <v>156770795</v>
      </c>
      <c r="Z117" s="94">
        <f>SUMIFS('Federal Data'!U2:U501,'Federal Data'!$G2:$G501,"Elementary and Secondary Education",'Federal Data'!$D2:$D501,"Nongrant")</f>
        <v>500772</v>
      </c>
      <c r="AA117" s="101">
        <f>'State and Local P&amp;L (detailed)'!$K$68</f>
        <v>168366811</v>
      </c>
      <c r="AB117" s="101">
        <f t="shared" si="192"/>
        <v>168867583</v>
      </c>
      <c r="AC117" s="94">
        <f>SUMIFS('Federal Data'!V2:V501,'Federal Data'!$G2:$G501,"Elementary and Secondary Education",'Federal Data'!$D2:$D501,"Nongrant")</f>
        <v>585090</v>
      </c>
      <c r="AD117" s="101">
        <f>'State and Local P&amp;L (detailed)'!$L$68</f>
        <v>183398503</v>
      </c>
      <c r="AE117" s="101">
        <f t="shared" si="193"/>
        <v>183983593</v>
      </c>
      <c r="AF117" s="94">
        <f>SUMIFS('Federal Data'!W2:W501,'Federal Data'!$G2:$G501,"Elementary and Secondary Education",'Federal Data'!$D2:$D501,"Nongrant")</f>
        <v>579728</v>
      </c>
      <c r="AG117" s="101">
        <f>'State and Local P&amp;L (detailed)'!$M$68</f>
        <v>200436227</v>
      </c>
      <c r="AH117" s="101">
        <f t="shared" si="194"/>
        <v>201015955</v>
      </c>
      <c r="AI117" s="94">
        <f>SUMIFS('Federal Data'!X2:X501,'Federal Data'!$G2:$G501,"Elementary and Secondary Education",'Federal Data'!$D2:$D501,"Nongrant")</f>
        <v>866231</v>
      </c>
      <c r="AJ117" s="101">
        <f>'State and Local P&amp;L (detailed)'!$N$68</f>
        <v>216399102</v>
      </c>
      <c r="AK117" s="101">
        <f t="shared" si="195"/>
        <v>217265333</v>
      </c>
      <c r="AL117" s="94">
        <f>SUMIFS('Federal Data'!Y2:Y501,'Federal Data'!$G2:$G501,"Elementary and Secondary Education",'Federal Data'!$D2:$D501,"Nongrant")</f>
        <v>698081</v>
      </c>
      <c r="AM117" s="101">
        <f>'State and Local P&amp;L (detailed)'!$O$68</f>
        <v>225873520</v>
      </c>
      <c r="AN117" s="101">
        <f t="shared" si="196"/>
        <v>226571601</v>
      </c>
      <c r="AO117" s="94">
        <f>SUMIFS('Federal Data'!Z2:Z501,'Federal Data'!$G2:$G501,"Elementary and Secondary Education",'Federal Data'!$D2:$D501,"Nongrant")</f>
        <v>722884</v>
      </c>
      <c r="AP117" s="101">
        <f>'State and Local P&amp;L (detailed)'!$P$68</f>
        <v>239548787</v>
      </c>
      <c r="AQ117" s="101">
        <f t="shared" si="197"/>
        <v>240271671</v>
      </c>
      <c r="AR117" s="94">
        <f>SUMIFS('Federal Data'!AA2:AA501,'Federal Data'!$G2:$G501,"Elementary and Secondary Education",'Federal Data'!$D2:$D501,"Nongrant")</f>
        <v>842917</v>
      </c>
      <c r="AS117" s="101">
        <f>'State and Local P&amp;L (detailed)'!$Q$68</f>
        <v>246526230</v>
      </c>
      <c r="AT117" s="101">
        <f t="shared" si="198"/>
        <v>247369147</v>
      </c>
      <c r="AU117" s="94">
        <f>SUMIFS('Federal Data'!AB2:AB501,'Federal Data'!$G2:$G501,"Elementary and Secondary Education",'Federal Data'!$D2:$D501,"Nongrant")</f>
        <v>979000</v>
      </c>
      <c r="AV117" s="101">
        <f>'State and Local P&amp;L (detailed)'!$R$68</f>
        <v>264507206</v>
      </c>
      <c r="AW117" s="101">
        <f t="shared" si="199"/>
        <v>265486206</v>
      </c>
      <c r="AX117" s="94">
        <f>SUMIFS('Federal Data'!AC2:AC501,'Federal Data'!$G2:$G501,"Elementary and Secondary Education",'Federal Data'!$D2:$D501,"Nongrant")</f>
        <v>839000</v>
      </c>
      <c r="AY117" s="101">
        <f>'State and Local P&amp;L (detailed)'!$S$68</f>
        <v>280378469</v>
      </c>
      <c r="AZ117" s="101">
        <f t="shared" si="200"/>
        <v>281217469</v>
      </c>
      <c r="BA117" s="94">
        <f>SUMIFS('Federal Data'!AD2:AD501,'Federal Data'!$G2:$G501,"Elementary and Secondary Education",'Federal Data'!$D2:$D501,"Nongrant")</f>
        <v>833000</v>
      </c>
      <c r="BB117" s="101">
        <f>'State and Local P&amp;L (detailed)'!$T$68</f>
        <v>294817894</v>
      </c>
      <c r="BC117" s="101">
        <f t="shared" si="201"/>
        <v>295650894</v>
      </c>
      <c r="BD117" s="94">
        <f>SUMIFS('Federal Data'!AE2:AE501,'Federal Data'!$G2:$G501,"Elementary and Secondary Education",'Federal Data'!$D2:$D501,"Nongrant")</f>
        <v>859000</v>
      </c>
      <c r="BE117" s="101">
        <f>'State and Local P&amp;L (detailed)'!$U$68</f>
        <v>318289990</v>
      </c>
      <c r="BF117" s="101">
        <f t="shared" si="202"/>
        <v>319148990</v>
      </c>
      <c r="BG117" s="94">
        <f>SUMIFS('Federal Data'!AF2:AF501,'Federal Data'!$G2:$G501,"Elementary and Secondary Education",'Federal Data'!$D2:$D501,"Nongrant")</f>
        <v>875000</v>
      </c>
      <c r="BH117" s="101">
        <f>'State and Local P&amp;L (detailed)'!$V$68</f>
        <v>340215405</v>
      </c>
      <c r="BI117" s="101">
        <f t="shared" si="203"/>
        <v>341090405</v>
      </c>
      <c r="BJ117" s="94">
        <f>SUMIFS('Federal Data'!AG2:AG501,'Federal Data'!$G2:$G501,"Elementary and Secondary Education",'Federal Data'!$D2:$D501,"Nongrant")</f>
        <v>1204000</v>
      </c>
      <c r="BK117" s="101">
        <f>'State and Local P&amp;L (detailed)'!$W$68</f>
        <v>365624809</v>
      </c>
      <c r="BL117" s="101">
        <f t="shared" si="204"/>
        <v>366828809</v>
      </c>
      <c r="BM117" s="94">
        <f>SUMIFS('Federal Data'!AH2:AH501,'Federal Data'!$G2:$G501,"Elementary and Secondary Education",'Federal Data'!$D2:$D501,"Nongrant")</f>
        <v>1497000</v>
      </c>
      <c r="BN117" s="101">
        <f>'State and Local P&amp;L (detailed)'!$X$68</f>
        <v>393822363</v>
      </c>
      <c r="BO117" s="101">
        <f t="shared" si="205"/>
        <v>395319363</v>
      </c>
      <c r="BP117" s="94">
        <f>SUMIFS('Federal Data'!AI2:AI501,'Federal Data'!$G2:$G501,"Elementary and Secondary Education",'Federal Data'!$D2:$D501,"Nongrant")</f>
        <v>2166000</v>
      </c>
      <c r="BQ117" s="101">
        <f>'State and Local P&amp;L (detailed)'!$Y$68</f>
        <v>413905575</v>
      </c>
      <c r="BR117" s="101">
        <f t="shared" si="206"/>
        <v>416071575</v>
      </c>
      <c r="BS117" s="94">
        <f>SUMIFS('Federal Data'!AJ2:AJ501,'Federal Data'!$G2:$G501,"Elementary and Secondary Education",'Federal Data'!$D2:$D501,"Nongrant")</f>
        <v>1861000</v>
      </c>
      <c r="BT117" s="101">
        <f>'State and Local P&amp;L (detailed)'!$Z$68</f>
        <v>431230698</v>
      </c>
      <c r="BU117" s="101">
        <f t="shared" si="207"/>
        <v>433091698</v>
      </c>
      <c r="BV117" s="94">
        <f>SUMIFS('Federal Data'!AK2:AK501,'Federal Data'!$G2:$G501,"Elementary and Secondary Education",'Federal Data'!$D2:$D501,"Nongrant")</f>
        <v>1724000</v>
      </c>
      <c r="BW117" s="101">
        <f>'State and Local P&amp;L (detailed)'!$AA$68</f>
        <v>455364585</v>
      </c>
      <c r="BX117" s="101">
        <f t="shared" si="208"/>
        <v>457088585</v>
      </c>
      <c r="BY117" s="94">
        <f>SUMIFS('Federal Data'!AL2:AL501,'Federal Data'!$G2:$G501,"Elementary and Secondary Education",'Federal Data'!$D2:$D501,"Nongrant")</f>
        <v>1747000</v>
      </c>
      <c r="BZ117" s="101">
        <f>'State and Local P&amp;L (detailed)'!$AB$68</f>
        <v>478140102</v>
      </c>
      <c r="CA117" s="101">
        <f t="shared" si="209"/>
        <v>479887102</v>
      </c>
      <c r="CB117" s="94">
        <f>SUMIFS('Federal Data'!AM2:AM501,'Federal Data'!$G2:$G501,"Elementary and Secondary Education",'Federal Data'!$D2:$D501,"Nongrant")</f>
        <v>1648000</v>
      </c>
      <c r="CC117" s="101">
        <f>'State and Local P&amp;L (detailed)'!$AC$68</f>
        <v>506849584</v>
      </c>
      <c r="CD117" s="101">
        <f t="shared" si="210"/>
        <v>508497584</v>
      </c>
      <c r="CE117" s="94">
        <f>SUMIFS('Federal Data'!AN2:AN501,'Federal Data'!$G2:$G501,"Elementary and Secondary Education",'Federal Data'!$D2:$D501,"Nongrant")</f>
        <v>1455000</v>
      </c>
      <c r="CF117" s="101">
        <f>'State and Local P&amp;L (detailed)'!$AD$68</f>
        <v>539426458</v>
      </c>
      <c r="CG117" s="101">
        <f t="shared" si="211"/>
        <v>540881458</v>
      </c>
      <c r="CH117" s="94">
        <f>SUMIFS('Federal Data'!AO2:AO501,'Federal Data'!$G2:$G501,"Elementary and Secondary Education",'Federal Data'!$D2:$D501,"Nongrant")</f>
        <v>1432000</v>
      </c>
      <c r="CI117" s="101">
        <f>'State and Local P&amp;L (detailed)'!$AE$68</f>
        <v>571134344</v>
      </c>
      <c r="CJ117" s="101">
        <f t="shared" si="212"/>
        <v>572566344</v>
      </c>
      <c r="CK117" s="94">
        <f>SUMIFS('Federal Data'!AP2:AP501,'Federal Data'!$G2:$G501,"Elementary and Secondary Education",'Federal Data'!$D2:$D501,"Nongrant")</f>
        <v>1527000</v>
      </c>
      <c r="CL117" s="101">
        <f>'State and Local P&amp;L (detailed)'!$AF$68</f>
        <v>584886702</v>
      </c>
      <c r="CM117" s="101">
        <f t="shared" si="213"/>
        <v>586413702</v>
      </c>
      <c r="CN117" s="94">
        <f>SUMIFS('Federal Data'!AQ2:AQ501,'Federal Data'!$G2:$G501,"Elementary and Secondary Education",'Federal Data'!$D2:$D501,"Nongrant")</f>
        <v>1504000</v>
      </c>
      <c r="CO117" s="101">
        <f>'State and Local P&amp;L (detailed)'!$AG$68</f>
        <v>582942574</v>
      </c>
      <c r="CP117" s="101">
        <f t="shared" si="214"/>
        <v>584446574</v>
      </c>
      <c r="CQ117" s="94">
        <f>SUMIFS('Federal Data'!AR2:AR501,'Federal Data'!$G2:$G501,"Elementary and Secondary Education",'Federal Data'!$D2:$D501,"Nongrant")</f>
        <v>1890000</v>
      </c>
      <c r="CR117" s="101">
        <f>'State and Local P&amp;L (detailed)'!$AH$68</f>
        <v>576200339</v>
      </c>
      <c r="CS117" s="101">
        <f t="shared" si="215"/>
        <v>578090339</v>
      </c>
      <c r="CT117" s="94">
        <f>SUMIFS('Federal Data'!AS2:AS501,'Federal Data'!$G2:$G501,"Elementary and Secondary Education",'Federal Data'!$D2:$D501,"Nongrant")</f>
        <v>1965000</v>
      </c>
      <c r="CU117" s="101">
        <f>'State and Local P&amp;L (detailed)'!$AI$68</f>
        <v>577011319</v>
      </c>
      <c r="CV117" s="101">
        <f t="shared" si="216"/>
        <v>578976319</v>
      </c>
      <c r="CW117" s="94">
        <f>SUMIFS('Federal Data'!AT2:AT501,'Federal Data'!$G2:$G501,"Elementary and Secondary Education",'Federal Data'!$D2:$D501,"Nongrant")</f>
        <v>2124000</v>
      </c>
      <c r="CX117" s="101">
        <f>'State and Local P&amp;L (detailed)'!$AJ$68</f>
        <v>582482623</v>
      </c>
      <c r="CY117" s="101">
        <f t="shared" si="217"/>
        <v>584606623</v>
      </c>
      <c r="CZ117" s="94">
        <f>SUMIFS('Federal Data'!AU2:AU501,'Federal Data'!$G2:$G501,"Elementary and Secondary Education",'Federal Data'!$D2:$D501,"Nongrant")</f>
        <v>1871000</v>
      </c>
      <c r="DA117" s="101">
        <f>'State and Local P&amp;L (detailed)'!$AK$68</f>
        <v>601189209</v>
      </c>
      <c r="DB117" s="101">
        <f t="shared" si="218"/>
        <v>603060209</v>
      </c>
      <c r="DC117" s="37">
        <f>SUMIFS('Federal Data'!AV2:AV501,'Federal Data'!$G2:$G501,"Elementary and Secondary Education",'Federal Data'!$D2:$D501,"Nongrant")</f>
        <v>1972000</v>
      </c>
      <c r="DD117" s="85">
        <f>'State and Local P&amp;L (detailed)'!$AL$68</f>
        <v>0</v>
      </c>
      <c r="DE117" s="85">
        <f t="shared" si="219"/>
        <v>1972000</v>
      </c>
    </row>
    <row r="118" spans="1:110" outlineLevel="3">
      <c r="A118" s="31" t="s">
        <v>276</v>
      </c>
      <c r="B118" s="94">
        <f>SUMIFS('Federal Data'!M2:M501,'Federal Data'!$G2:$G501,"Higher Education",'Federal Data'!$D2:$D501,"Nongrant")</f>
        <v>3020625</v>
      </c>
      <c r="C118" s="101">
        <f>'State and Local P&amp;L (detailed)'!$C$69</f>
        <v>23510656</v>
      </c>
      <c r="D118" s="101">
        <f t="shared" si="184"/>
        <v>26531281</v>
      </c>
      <c r="E118" s="94">
        <f>SUMIFS('Federal Data'!N2:N501,'Federal Data'!$G2:$G501,"Higher Education",'Federal Data'!$D2:$D501,"Nongrant")</f>
        <v>4850345</v>
      </c>
      <c r="F118" s="101">
        <f>'State and Local P&amp;L (detailed)'!$D$69</f>
        <v>26311278</v>
      </c>
      <c r="G118" s="101">
        <f t="shared" si="185"/>
        <v>31161623</v>
      </c>
      <c r="H118" s="94">
        <f>SUMIFS('Federal Data'!O2:O501,'Federal Data'!$G2:$G501,"Higher Education",'Federal Data'!$D2:$D501,"Nongrant")</f>
        <v>4380589</v>
      </c>
      <c r="I118" s="101">
        <f>'State and Local P&amp;L (detailed)'!$E$69</f>
        <v>28045349</v>
      </c>
      <c r="J118" s="101">
        <f t="shared" si="186"/>
        <v>32425938</v>
      </c>
      <c r="K118" s="94">
        <f>SUMIFS('Federal Data'!P2:P501,'Federal Data'!$G2:$G501,"Higher Education",'Federal Data'!$D2:$D501,"Nongrant")</f>
        <v>3136930</v>
      </c>
      <c r="L118" s="101">
        <f>'State and Local P&amp;L (detailed)'!$F$69</f>
        <v>29011915</v>
      </c>
      <c r="M118" s="101">
        <f t="shared" si="187"/>
        <v>32148845</v>
      </c>
      <c r="N118" s="94">
        <f>SUMIFS('Federal Data'!Q2:Q501,'Federal Data'!$G2:$G501,"Higher Education",'Federal Data'!$D2:$D501,"Nongrant")</f>
        <v>3574763</v>
      </c>
      <c r="O118" s="101">
        <f>'State and Local P&amp;L (detailed)'!$G$69</f>
        <v>31250795</v>
      </c>
      <c r="P118" s="101">
        <f t="shared" si="188"/>
        <v>34825558</v>
      </c>
      <c r="Q118" s="94">
        <f>SUMIFS('Federal Data'!R2:R501,'Federal Data'!$G2:$G501,"Higher Education",'Federal Data'!$D2:$D501,"Nongrant")</f>
        <v>3978989</v>
      </c>
      <c r="R118" s="101">
        <f>'State and Local P&amp;L (detailed)'!$H$69</f>
        <v>34782333</v>
      </c>
      <c r="S118" s="101">
        <f t="shared" si="189"/>
        <v>38761322</v>
      </c>
      <c r="T118" s="94">
        <f>SUMIFS('Federal Data'!S2:S501,'Federal Data'!$G2:$G501,"Higher Education",'Federal Data'!$D2:$D501,"Nongrant")</f>
        <v>3767651</v>
      </c>
      <c r="U118" s="101">
        <f>'State and Local P&amp;L (detailed)'!$I$69</f>
        <v>37474836</v>
      </c>
      <c r="V118" s="101">
        <f t="shared" si="190"/>
        <v>41242487</v>
      </c>
      <c r="W118" s="94">
        <f>SUMIFS('Federal Data'!T2:T501,'Federal Data'!$G2:$G501,"Higher Education",'Federal Data'!$D2:$D501,"Nongrant")</f>
        <v>2556044</v>
      </c>
      <c r="X118" s="101">
        <f>'State and Local P&amp;L (detailed)'!$J$69</f>
        <v>39829454</v>
      </c>
      <c r="Y118" s="101">
        <f t="shared" si="191"/>
        <v>42385498</v>
      </c>
      <c r="Z118" s="94">
        <f>SUMIFS('Federal Data'!U2:U501,'Federal Data'!$G2:$G501,"Higher Education",'Federal Data'!$D2:$D501,"Nongrant")</f>
        <v>3003362</v>
      </c>
      <c r="AA118" s="101">
        <f>'State and Local P&amp;L (detailed)'!$K$69</f>
        <v>41023776</v>
      </c>
      <c r="AB118" s="101">
        <f t="shared" si="192"/>
        <v>44027138</v>
      </c>
      <c r="AC118" s="94">
        <f>SUMIFS('Federal Data'!V2:V501,'Federal Data'!$G2:$G501,"Higher Education",'Federal Data'!$D2:$D501,"Nongrant")</f>
        <v>4703231</v>
      </c>
      <c r="AD118" s="101">
        <f>'State and Local P&amp;L (detailed)'!$L$69</f>
        <v>43500898</v>
      </c>
      <c r="AE118" s="101">
        <f t="shared" si="193"/>
        <v>48204129</v>
      </c>
      <c r="AF118" s="94">
        <f>SUMIFS('Federal Data'!W2:W501,'Federal Data'!$G2:$G501,"Higher Education",'Federal Data'!$D2:$D501,"Nongrant")</f>
        <v>5162364</v>
      </c>
      <c r="AG118" s="101">
        <f>'State and Local P&amp;L (detailed)'!$M$69</f>
        <v>47078872</v>
      </c>
      <c r="AH118" s="101">
        <f t="shared" si="194"/>
        <v>52241236</v>
      </c>
      <c r="AI118" s="94">
        <f>SUMIFS('Federal Data'!X2:X501,'Federal Data'!$G2:$G501,"Higher Education",'Federal Data'!$D2:$D501,"Nongrant")</f>
        <v>5608966</v>
      </c>
      <c r="AJ118" s="101">
        <f>'State and Local P&amp;L (detailed)'!$N$69</f>
        <v>49897850</v>
      </c>
      <c r="AK118" s="101">
        <f t="shared" si="195"/>
        <v>55506816</v>
      </c>
      <c r="AL118" s="94">
        <f>SUMIFS('Federal Data'!Y2:Y501,'Federal Data'!$G2:$G501,"Higher Education",'Federal Data'!$D2:$D501,"Nongrant")</f>
        <v>4174078</v>
      </c>
      <c r="AM118" s="101">
        <f>'State and Local P&amp;L (detailed)'!$O$69</f>
        <v>52109177</v>
      </c>
      <c r="AN118" s="101">
        <f t="shared" si="196"/>
        <v>56283255</v>
      </c>
      <c r="AO118" s="94">
        <f>SUMIFS('Federal Data'!Z2:Z501,'Federal Data'!$G2:$G501,"Higher Education",'Federal Data'!$D2:$D501,"Nongrant")</f>
        <v>6766291</v>
      </c>
      <c r="AP118" s="101">
        <f>'State and Local P&amp;L (detailed)'!$P$69</f>
        <v>53153548</v>
      </c>
      <c r="AQ118" s="101">
        <f t="shared" si="197"/>
        <v>59919839</v>
      </c>
      <c r="AR118" s="94">
        <f>SUMIFS('Federal Data'!AA2:AA501,'Federal Data'!$G2:$G501,"Higher Education",'Federal Data'!$D2:$D501,"Nongrant")</f>
        <v>726823</v>
      </c>
      <c r="AS118" s="101">
        <f>'State and Local P&amp;L (detailed)'!$Q$69</f>
        <v>53811952</v>
      </c>
      <c r="AT118" s="101">
        <f t="shared" si="198"/>
        <v>54538775</v>
      </c>
      <c r="AU118" s="94">
        <f>SUMIFS('Federal Data'!AB2:AB501,'Federal Data'!$G2:$G501,"Higher Education",'Federal Data'!$D2:$D501,"Nongrant")</f>
        <v>7090000</v>
      </c>
      <c r="AV118" s="101">
        <f>'State and Local P&amp;L (detailed)'!$R$69</f>
        <v>57297710</v>
      </c>
      <c r="AW118" s="101">
        <f t="shared" si="199"/>
        <v>64387710</v>
      </c>
      <c r="AX118" s="94">
        <f>SUMIFS('Federal Data'!AC2:AC501,'Federal Data'!$G2:$G501,"Higher Education",'Federal Data'!$D2:$D501,"Nongrant")</f>
        <v>5300000</v>
      </c>
      <c r="AY118" s="101">
        <f>'State and Local P&amp;L (detailed)'!$S$69</f>
        <v>59189988</v>
      </c>
      <c r="AZ118" s="101">
        <f t="shared" si="200"/>
        <v>64489988</v>
      </c>
      <c r="BA118" s="94">
        <f>SUMIFS('Federal Data'!AD2:AD501,'Federal Data'!$G2:$G501,"Higher Education",'Federal Data'!$D2:$D501,"Nongrant")</f>
        <v>5018000</v>
      </c>
      <c r="BB118" s="101">
        <f>'State and Local P&amp;L (detailed)'!$T$69</f>
        <v>61829911</v>
      </c>
      <c r="BC118" s="101">
        <f t="shared" si="201"/>
        <v>66847911</v>
      </c>
      <c r="BD118" s="94">
        <f>SUMIFS('Federal Data'!AE2:AE501,'Federal Data'!$G2:$G501,"Higher Education",'Federal Data'!$D2:$D501,"Nongrant")</f>
        <v>4097000</v>
      </c>
      <c r="BE118" s="101">
        <f>'State and Local P&amp;L (detailed)'!$U$69</f>
        <v>65370084</v>
      </c>
      <c r="BF118" s="101">
        <f t="shared" si="202"/>
        <v>69467084</v>
      </c>
      <c r="BG118" s="94">
        <f>SUMIFS('Federal Data'!AF2:AF501,'Federal Data'!$G2:$G501,"Higher Education",'Federal Data'!$D2:$D501,"Nongrant")</f>
        <v>1505000</v>
      </c>
      <c r="BH118" s="101">
        <f>'State and Local P&amp;L (detailed)'!$V$69</f>
        <v>72049963</v>
      </c>
      <c r="BI118" s="101">
        <f t="shared" si="203"/>
        <v>73554963</v>
      </c>
      <c r="BJ118" s="94">
        <f>SUMIFS('Federal Data'!AG2:AG501,'Federal Data'!$G2:$G501,"Higher Education",'Federal Data'!$D2:$D501,"Nongrant")</f>
        <v>886000</v>
      </c>
      <c r="BK118" s="101">
        <f>'State and Local P&amp;L (detailed)'!$W$69</f>
        <v>79059205</v>
      </c>
      <c r="BL118" s="101">
        <f t="shared" si="204"/>
        <v>79945205</v>
      </c>
      <c r="BM118" s="94">
        <f>SUMIFS('Federal Data'!AH2:AH501,'Federal Data'!$G2:$G501,"Higher Education",'Federal Data'!$D2:$D501,"Nongrant")</f>
        <v>-910000</v>
      </c>
      <c r="BN118" s="101">
        <f>'State and Local P&amp;L (detailed)'!$X$69</f>
        <v>87021971</v>
      </c>
      <c r="BO118" s="101">
        <f t="shared" si="205"/>
        <v>86111971</v>
      </c>
      <c r="BP118" s="94">
        <f>SUMIFS('Federal Data'!AI2:AI501,'Federal Data'!$G2:$G501,"Higher Education",'Federal Data'!$D2:$D501,"Nongrant")</f>
        <v>4298000</v>
      </c>
      <c r="BQ118" s="101">
        <f>'State and Local P&amp;L (detailed)'!$Y$69</f>
        <v>95495625</v>
      </c>
      <c r="BR118" s="101">
        <f t="shared" si="206"/>
        <v>99793625</v>
      </c>
      <c r="BS118" s="94">
        <f>SUMIFS('Federal Data'!AJ2:AJ501,'Federal Data'!$G2:$G501,"Higher Education",'Federal Data'!$D2:$D501,"Nongrant")</f>
        <v>8226000</v>
      </c>
      <c r="BT118" s="101">
        <f>'State and Local P&amp;L (detailed)'!$Z$69</f>
        <v>97355570</v>
      </c>
      <c r="BU118" s="101">
        <f t="shared" si="207"/>
        <v>105581570</v>
      </c>
      <c r="BV118" s="94">
        <f>SUMIFS('Federal Data'!AK2:AK501,'Federal Data'!$G2:$G501,"Higher Education",'Federal Data'!$D2:$D501,"Nongrant")</f>
        <v>9976000</v>
      </c>
      <c r="BW118" s="101">
        <f>'State and Local P&amp;L (detailed)'!$AA$69</f>
        <v>101943499</v>
      </c>
      <c r="BX118" s="101">
        <f t="shared" si="208"/>
        <v>111919499</v>
      </c>
      <c r="BY118" s="94">
        <f>SUMIFS('Federal Data'!AL2:AL501,'Federal Data'!$G2:$G501,"Higher Education",'Federal Data'!$D2:$D501,"Nongrant")</f>
        <v>15878000</v>
      </c>
      <c r="BZ118" s="101">
        <f>'State and Local P&amp;L (detailed)'!$AB$69</f>
        <v>105406713</v>
      </c>
      <c r="CA118" s="101">
        <f t="shared" si="209"/>
        <v>121284713</v>
      </c>
      <c r="CB118" s="94">
        <f>SUMIFS('Federal Data'!AM2:AM501,'Federal Data'!$G2:$G501,"Higher Education",'Federal Data'!$D2:$D501,"Nongrant")</f>
        <v>35289000</v>
      </c>
      <c r="CC118" s="101">
        <f>'State and Local P&amp;L (detailed)'!$AC$69</f>
        <v>109562107</v>
      </c>
      <c r="CD118" s="101">
        <f t="shared" si="210"/>
        <v>144851107</v>
      </c>
      <c r="CE118" s="94">
        <f>SUMIFS('Federal Data'!AN2:AN501,'Federal Data'!$G2:$G501,"Higher Education",'Federal Data'!$D2:$D501,"Nongrant")</f>
        <v>9266000</v>
      </c>
      <c r="CF118" s="101">
        <f>'State and Local P&amp;L (detailed)'!$AD$69</f>
        <v>117501686</v>
      </c>
      <c r="CG118" s="101">
        <f t="shared" si="211"/>
        <v>126767686</v>
      </c>
      <c r="CH118" s="94">
        <f>SUMIFS('Federal Data'!AO2:AO501,'Federal Data'!$G2:$G501,"Higher Education",'Federal Data'!$D2:$D501,"Nongrant")</f>
        <v>6034000</v>
      </c>
      <c r="CI118" s="101">
        <f>'State and Local P&amp;L (detailed)'!$AE$69</f>
        <v>129954447</v>
      </c>
      <c r="CJ118" s="101">
        <f t="shared" si="212"/>
        <v>135988447</v>
      </c>
      <c r="CK118" s="94">
        <f>SUMIFS('Federal Data'!AP2:AP501,'Federal Data'!$G2:$G501,"Higher Education",'Federal Data'!$D2:$D501,"Nongrant")</f>
        <v>-26865000</v>
      </c>
      <c r="CL118" s="101">
        <f>'State and Local P&amp;L (detailed)'!$AF$69</f>
        <v>135155241</v>
      </c>
      <c r="CM118" s="101">
        <f t="shared" si="213"/>
        <v>108290241</v>
      </c>
      <c r="CN118" s="94">
        <f>SUMIFS('Federal Data'!AQ2:AQ501,'Federal Data'!$G2:$G501,"Higher Education",'Federal Data'!$D2:$D501,"Nongrant")</f>
        <v>-13493000</v>
      </c>
      <c r="CO118" s="101">
        <f>'State and Local P&amp;L (detailed)'!$AG$69</f>
        <v>137999872</v>
      </c>
      <c r="CP118" s="101">
        <f t="shared" si="214"/>
        <v>124506872</v>
      </c>
      <c r="CQ118" s="94">
        <f>SUMIFS('Federal Data'!AR2:AR501,'Federal Data'!$G2:$G501,"Higher Education",'Federal Data'!$D2:$D501,"Nongrant")</f>
        <v>-37259000</v>
      </c>
      <c r="CR118" s="101">
        <f>'State and Local P&amp;L (detailed)'!$AH$69</f>
        <v>139241220</v>
      </c>
      <c r="CS118" s="101">
        <f t="shared" si="215"/>
        <v>101982220</v>
      </c>
      <c r="CT118" s="94">
        <f>SUMIFS('Federal Data'!AS2:AS501,'Federal Data'!$G2:$G501,"Higher Education",'Federal Data'!$D2:$D501,"Nongrant")</f>
        <v>-23293000</v>
      </c>
      <c r="CU118" s="101">
        <f>'State and Local P&amp;L (detailed)'!$AI$69</f>
        <v>160615261</v>
      </c>
      <c r="CV118" s="101">
        <f t="shared" si="216"/>
        <v>137322261</v>
      </c>
      <c r="CW118" s="94">
        <f>SUMIFS('Federal Data'!AT2:AT501,'Federal Data'!$G2:$G501,"Higher Education",'Federal Data'!$D2:$D501,"Nongrant")</f>
        <v>-35010000</v>
      </c>
      <c r="CX118" s="101">
        <f>'State and Local P&amp;L (detailed)'!$AJ$69</f>
        <v>158986758</v>
      </c>
      <c r="CY118" s="101">
        <f t="shared" si="217"/>
        <v>123976758</v>
      </c>
      <c r="CZ118" s="94">
        <f>SUMIFS('Federal Data'!AU2:AU501,'Federal Data'!$G2:$G501,"Higher Education",'Federal Data'!$D2:$D501,"Nongrant")</f>
        <v>-13474000</v>
      </c>
      <c r="DA118" s="101">
        <f>'State and Local P&amp;L (detailed)'!$AK$69</f>
        <v>164109632</v>
      </c>
      <c r="DB118" s="101">
        <f t="shared" si="218"/>
        <v>150635632</v>
      </c>
      <c r="DC118" s="37">
        <f>SUMIFS('Federal Data'!AV2:AV501,'Federal Data'!$G2:$G501,"Higher Education",'Federal Data'!$D2:$D501,"Nongrant")</f>
        <v>19380000</v>
      </c>
      <c r="DD118" s="85">
        <f>'State and Local P&amp;L (detailed)'!$AL$69</f>
        <v>0</v>
      </c>
      <c r="DE118" s="85">
        <f t="shared" si="219"/>
        <v>19380000</v>
      </c>
    </row>
    <row r="119" spans="1:110" outlineLevel="3">
      <c r="A119" s="31" t="s">
        <v>47</v>
      </c>
      <c r="B119" s="101">
        <f>SUMIFS('Federal Data'!M2:M501,'Federal Data'!$G2:$G501,"Vocational Education",'Federal Data'!$D2:$D501,"Nongrant")</f>
        <v>10288</v>
      </c>
      <c r="C119" s="101" t="s">
        <v>487</v>
      </c>
      <c r="D119" s="101">
        <f t="shared" si="184"/>
        <v>10288</v>
      </c>
      <c r="E119" s="94">
        <f>SUMIFS('Federal Data'!N2:N501,'Federal Data'!$G2:$G501,"Vocational Education",'Federal Data'!$D2:$D501,"Nongrant")</f>
        <v>5520</v>
      </c>
      <c r="F119" s="101" t="s">
        <v>487</v>
      </c>
      <c r="G119" s="101">
        <f t="shared" si="185"/>
        <v>5520</v>
      </c>
      <c r="H119" s="94">
        <f>SUMIFS('Federal Data'!O2:O501,'Federal Data'!$G2:$G501,"Vocational Education",'Federal Data'!$D2:$D501,"Nongrant")</f>
        <v>15639</v>
      </c>
      <c r="I119" s="101" t="s">
        <v>487</v>
      </c>
      <c r="J119" s="101">
        <f t="shared" si="186"/>
        <v>15639</v>
      </c>
      <c r="K119" s="94">
        <f>SUMIFS('Federal Data'!P2:P501,'Federal Data'!$G2:$G501,"Vocational Education",'Federal Data'!$D2:$D501,"Nongrant")</f>
        <v>12551</v>
      </c>
      <c r="L119" s="101" t="s">
        <v>487</v>
      </c>
      <c r="M119" s="101">
        <f t="shared" si="187"/>
        <v>12551</v>
      </c>
      <c r="N119" s="94">
        <f>SUMIFS('Federal Data'!Q2:Q501,'Federal Data'!$G2:$G501,"Vocational Education",'Federal Data'!$D2:$D501,"Nongrant")</f>
        <v>23841</v>
      </c>
      <c r="O119" s="101" t="s">
        <v>487</v>
      </c>
      <c r="P119" s="101">
        <f t="shared" si="188"/>
        <v>23841</v>
      </c>
      <c r="Q119" s="94">
        <f>SUMIFS('Federal Data'!R2:R501,'Federal Data'!$G2:$G501,"Vocational Education",'Federal Data'!$D2:$D501,"Nongrant")</f>
        <v>25170</v>
      </c>
      <c r="R119" s="101" t="s">
        <v>487</v>
      </c>
      <c r="S119" s="101">
        <f t="shared" si="189"/>
        <v>25170</v>
      </c>
      <c r="T119" s="94">
        <f>SUMIFS('Federal Data'!S2:S501,'Federal Data'!$G2:$G501,"Vocational Education",'Federal Data'!$D2:$D501,"Nongrant")</f>
        <v>26792</v>
      </c>
      <c r="U119" s="101" t="s">
        <v>487</v>
      </c>
      <c r="V119" s="101">
        <f t="shared" si="190"/>
        <v>26792</v>
      </c>
      <c r="W119" s="94">
        <f>SUMIFS('Federal Data'!T2:T501,'Federal Data'!$G2:$G501,"Vocational Education",'Federal Data'!$D2:$D501,"Nongrant")</f>
        <v>5561</v>
      </c>
      <c r="X119" s="101" t="s">
        <v>487</v>
      </c>
      <c r="Y119" s="101">
        <f t="shared" si="191"/>
        <v>5561</v>
      </c>
      <c r="Z119" s="94">
        <f>SUMIFS('Federal Data'!U2:U501,'Federal Data'!$G2:$G501,"Vocational Education",'Federal Data'!$D2:$D501,"Nongrant")</f>
        <v>14724</v>
      </c>
      <c r="AA119" s="101" t="s">
        <v>487</v>
      </c>
      <c r="AB119" s="101">
        <f t="shared" si="192"/>
        <v>14724</v>
      </c>
      <c r="AC119" s="94">
        <f>SUMIFS('Federal Data'!V2:V501,'Federal Data'!$G2:$G501,"Vocational Education",'Federal Data'!$D2:$D501,"Nongrant")</f>
        <v>17953</v>
      </c>
      <c r="AD119" s="101" t="s">
        <v>487</v>
      </c>
      <c r="AE119" s="101">
        <f t="shared" si="193"/>
        <v>17953</v>
      </c>
      <c r="AF119" s="94">
        <f>SUMIFS('Federal Data'!W2:W501,'Federal Data'!$G2:$G501,"Vocational Education",'Federal Data'!$D2:$D501,"Nongrant")</f>
        <v>19596</v>
      </c>
      <c r="AG119" s="101" t="s">
        <v>487</v>
      </c>
      <c r="AH119" s="101">
        <f t="shared" si="194"/>
        <v>19596</v>
      </c>
      <c r="AI119" s="94">
        <f>SUMIFS('Federal Data'!X2:X501,'Federal Data'!$G2:$G501,"Vocational Education",'Federal Data'!$D2:$D501,"Nongrant")</f>
        <v>52896</v>
      </c>
      <c r="AJ119" s="101" t="s">
        <v>487</v>
      </c>
      <c r="AK119" s="101">
        <f t="shared" si="195"/>
        <v>52896</v>
      </c>
      <c r="AL119" s="94">
        <f>SUMIFS('Federal Data'!Y2:Y501,'Federal Data'!$G2:$G501,"Vocational Education",'Federal Data'!$D2:$D501,"Nongrant")</f>
        <v>59239</v>
      </c>
      <c r="AM119" s="101" t="s">
        <v>487</v>
      </c>
      <c r="AN119" s="101">
        <f t="shared" si="196"/>
        <v>59239</v>
      </c>
      <c r="AO119" s="94">
        <f>SUMIFS('Federal Data'!Z2:Z501,'Federal Data'!$G2:$G501,"Vocational Education",'Federal Data'!$D2:$D501,"Nongrant")</f>
        <v>57329</v>
      </c>
      <c r="AP119" s="101" t="s">
        <v>487</v>
      </c>
      <c r="AQ119" s="101">
        <f t="shared" si="197"/>
        <v>57329</v>
      </c>
      <c r="AR119" s="94">
        <f>SUMIFS('Federal Data'!AA2:AA501,'Federal Data'!$G2:$G501,"Vocational Education",'Federal Data'!$D2:$D501,"Nongrant")</f>
        <v>48551</v>
      </c>
      <c r="AS119" s="101" t="s">
        <v>487</v>
      </c>
      <c r="AT119" s="101">
        <f t="shared" si="198"/>
        <v>48551</v>
      </c>
      <c r="AU119" s="94">
        <f>SUMIFS('Federal Data'!AB2:AB501,'Federal Data'!$G2:$G501,"Vocational Education",'Federal Data'!$D2:$D501,"Nongrant")</f>
        <v>33000</v>
      </c>
      <c r="AV119" s="101" t="s">
        <v>487</v>
      </c>
      <c r="AW119" s="101">
        <f t="shared" si="199"/>
        <v>33000</v>
      </c>
      <c r="AX119" s="94">
        <f>SUMIFS('Federal Data'!AC2:AC501,'Federal Data'!$G2:$G501,"Vocational Education",'Federal Data'!$D2:$D501,"Nongrant")</f>
        <v>25000</v>
      </c>
      <c r="AY119" s="101" t="s">
        <v>487</v>
      </c>
      <c r="AZ119" s="101">
        <f t="shared" si="200"/>
        <v>25000</v>
      </c>
      <c r="BA119" s="94">
        <f>SUMIFS('Federal Data'!AD2:AD501,'Federal Data'!$G2:$G501,"Vocational Education",'Federal Data'!$D2:$D501,"Nongrant")</f>
        <v>20000</v>
      </c>
      <c r="BB119" s="101" t="s">
        <v>487</v>
      </c>
      <c r="BC119" s="101">
        <f t="shared" si="201"/>
        <v>20000</v>
      </c>
      <c r="BD119" s="94">
        <f>SUMIFS('Federal Data'!AE2:AE501,'Federal Data'!$G2:$G501,"Vocational Education",'Federal Data'!$D2:$D501,"Nongrant")</f>
        <v>26000</v>
      </c>
      <c r="BE119" s="101" t="s">
        <v>487</v>
      </c>
      <c r="BF119" s="101">
        <f t="shared" si="202"/>
        <v>26000</v>
      </c>
      <c r="BG119" s="94">
        <f>SUMIFS('Federal Data'!AF2:AF501,'Federal Data'!$G2:$G501,"Vocational Education",'Federal Data'!$D2:$D501,"Nongrant")</f>
        <v>26000</v>
      </c>
      <c r="BH119" s="101" t="s">
        <v>487</v>
      </c>
      <c r="BI119" s="101">
        <f t="shared" si="203"/>
        <v>26000</v>
      </c>
      <c r="BJ119" s="94">
        <f>SUMIFS('Federal Data'!AG2:AG501,'Federal Data'!$G2:$G501,"Vocational Education",'Federal Data'!$D2:$D501,"Nongrant")</f>
        <v>14000</v>
      </c>
      <c r="BK119" s="101" t="s">
        <v>487</v>
      </c>
      <c r="BL119" s="101">
        <f t="shared" si="204"/>
        <v>14000</v>
      </c>
      <c r="BM119" s="94">
        <f>SUMIFS('Federal Data'!AH2:AH501,'Federal Data'!$G2:$G501,"Vocational Education",'Federal Data'!$D2:$D501,"Nongrant")</f>
        <v>28000</v>
      </c>
      <c r="BN119" s="101" t="s">
        <v>487</v>
      </c>
      <c r="BO119" s="101">
        <f t="shared" si="205"/>
        <v>28000</v>
      </c>
      <c r="BP119" s="94">
        <f>SUMIFS('Federal Data'!AI2:AI501,'Federal Data'!$G2:$G501,"Vocational Education",'Federal Data'!$D2:$D501,"Nongrant")</f>
        <v>36000</v>
      </c>
      <c r="BQ119" s="101" t="s">
        <v>487</v>
      </c>
      <c r="BR119" s="101">
        <f t="shared" si="206"/>
        <v>36000</v>
      </c>
      <c r="BS119" s="94">
        <f>SUMIFS('Federal Data'!AJ2:AJ501,'Federal Data'!$G2:$G501,"Vocational Education",'Federal Data'!$D2:$D501,"Nongrant")</f>
        <v>35000</v>
      </c>
      <c r="BT119" s="101" t="s">
        <v>487</v>
      </c>
      <c r="BU119" s="101">
        <f t="shared" si="207"/>
        <v>35000</v>
      </c>
      <c r="BV119" s="94">
        <f>SUMIFS('Federal Data'!AK2:AK501,'Federal Data'!$G2:$G501,"Vocational Education",'Federal Data'!$D2:$D501,"Nongrant")</f>
        <v>36000</v>
      </c>
      <c r="BW119" s="101" t="s">
        <v>487</v>
      </c>
      <c r="BX119" s="101">
        <f t="shared" si="208"/>
        <v>36000</v>
      </c>
      <c r="BY119" s="94">
        <f>SUMIFS('Federal Data'!AL2:AL501,'Federal Data'!$G2:$G501,"Vocational Education",'Federal Data'!$D2:$D501,"Nongrant")</f>
        <v>37000</v>
      </c>
      <c r="BZ119" s="101" t="s">
        <v>487</v>
      </c>
      <c r="CA119" s="101">
        <f t="shared" si="209"/>
        <v>37000</v>
      </c>
      <c r="CB119" s="94">
        <f>SUMIFS('Federal Data'!AM2:AM501,'Federal Data'!$G2:$G501,"Vocational Education",'Federal Data'!$D2:$D501,"Nongrant")</f>
        <v>29000</v>
      </c>
      <c r="CC119" s="101" t="s">
        <v>487</v>
      </c>
      <c r="CD119" s="101">
        <f t="shared" si="210"/>
        <v>29000</v>
      </c>
      <c r="CE119" s="94">
        <f>SUMIFS('Federal Data'!AN2:AN501,'Federal Data'!$G2:$G501,"Vocational Education",'Federal Data'!$D2:$D501,"Nongrant")</f>
        <v>29000</v>
      </c>
      <c r="CF119" s="101" t="s">
        <v>487</v>
      </c>
      <c r="CG119" s="101">
        <f t="shared" si="211"/>
        <v>29000</v>
      </c>
      <c r="CH119" s="94">
        <f>SUMIFS('Federal Data'!AO2:AO501,'Federal Data'!$G2:$G501,"Vocational Education",'Federal Data'!$D2:$D501,"Nongrant")</f>
        <v>24000</v>
      </c>
      <c r="CI119" s="101" t="s">
        <v>487</v>
      </c>
      <c r="CJ119" s="101">
        <f t="shared" si="212"/>
        <v>24000</v>
      </c>
      <c r="CK119" s="94">
        <f>SUMIFS('Federal Data'!AP2:AP501,'Federal Data'!$G2:$G501,"Vocational Education",'Federal Data'!$D2:$D501,"Nongrant")</f>
        <v>29000</v>
      </c>
      <c r="CL119" s="101" t="s">
        <v>487</v>
      </c>
      <c r="CM119" s="101">
        <f t="shared" si="213"/>
        <v>29000</v>
      </c>
      <c r="CN119" s="94">
        <f>SUMIFS('Federal Data'!AQ2:AQ501,'Federal Data'!$G2:$G501,"Vocational Education",'Federal Data'!$D2:$D501,"Nongrant")</f>
        <v>22000</v>
      </c>
      <c r="CO119" s="101" t="s">
        <v>487</v>
      </c>
      <c r="CP119" s="101">
        <f t="shared" si="214"/>
        <v>22000</v>
      </c>
      <c r="CQ119" s="94">
        <f>SUMIFS('Federal Data'!AR2:AR501,'Federal Data'!$G2:$G501,"Vocational Education",'Federal Data'!$D2:$D501,"Nongrant")</f>
        <v>22000</v>
      </c>
      <c r="CR119" s="101" t="s">
        <v>487</v>
      </c>
      <c r="CS119" s="101">
        <f t="shared" si="215"/>
        <v>22000</v>
      </c>
      <c r="CT119" s="94">
        <f>SUMIFS('Federal Data'!AS2:AS501,'Federal Data'!$G2:$G501,"Vocational Education",'Federal Data'!$D2:$D501,"Nongrant")</f>
        <v>20000</v>
      </c>
      <c r="CU119" s="101" t="s">
        <v>487</v>
      </c>
      <c r="CV119" s="101">
        <f t="shared" si="216"/>
        <v>20000</v>
      </c>
      <c r="CW119" s="94">
        <f>SUMIFS('Federal Data'!AT2:AT501,'Federal Data'!$G2:$G501,"Vocational Education",'Federal Data'!$D2:$D501,"Nongrant")</f>
        <v>17000</v>
      </c>
      <c r="CX119" s="101" t="s">
        <v>487</v>
      </c>
      <c r="CY119" s="101">
        <f t="shared" si="217"/>
        <v>17000</v>
      </c>
      <c r="CZ119" s="94">
        <f>SUMIFS('Federal Data'!AU2:AU501,'Federal Data'!$G2:$G501,"Vocational Education",'Federal Data'!$D2:$D501,"Nongrant")</f>
        <v>16000</v>
      </c>
      <c r="DA119" s="101" t="s">
        <v>487</v>
      </c>
      <c r="DB119" s="101">
        <f t="shared" si="218"/>
        <v>16000</v>
      </c>
      <c r="DC119" s="37">
        <f>SUMIFS('Federal Data'!AV2:AV501,'Federal Data'!$G2:$G501,"Vocational Education",'Federal Data'!$D2:$D501,"Nongrant")</f>
        <v>18000</v>
      </c>
      <c r="DD119" s="82" t="s">
        <v>487</v>
      </c>
      <c r="DE119" s="85">
        <f t="shared" si="219"/>
        <v>18000</v>
      </c>
    </row>
    <row r="120" spans="1:110" outlineLevel="3">
      <c r="A120" s="31" t="s">
        <v>48</v>
      </c>
      <c r="B120" s="101" t="s">
        <v>487</v>
      </c>
      <c r="C120" s="101">
        <f>'State and Local P&amp;L (detailed)'!$C$70</f>
        <v>4065379</v>
      </c>
      <c r="D120" s="101">
        <f t="shared" si="184"/>
        <v>4065379</v>
      </c>
      <c r="E120" s="101" t="s">
        <v>487</v>
      </c>
      <c r="F120" s="101">
        <f>'State and Local P&amp;L (detailed)'!$D$70</f>
        <v>4625515</v>
      </c>
      <c r="G120" s="101">
        <f t="shared" si="185"/>
        <v>4625515</v>
      </c>
      <c r="H120" s="101" t="s">
        <v>487</v>
      </c>
      <c r="I120" s="101">
        <f>'State and Local P&amp;L (detailed)'!$E$70</f>
        <v>4297114</v>
      </c>
      <c r="J120" s="101">
        <f t="shared" si="186"/>
        <v>4297114</v>
      </c>
      <c r="K120" s="101" t="s">
        <v>487</v>
      </c>
      <c r="L120" s="101">
        <f>'State and Local P&amp;L (detailed)'!$F$70</f>
        <v>4320241</v>
      </c>
      <c r="M120" s="101">
        <f t="shared" si="187"/>
        <v>4320241</v>
      </c>
      <c r="N120" s="101" t="s">
        <v>487</v>
      </c>
      <c r="O120" s="101">
        <f>'State and Local P&amp;L (detailed)'!$G$70</f>
        <v>4665088</v>
      </c>
      <c r="P120" s="101">
        <f t="shared" si="188"/>
        <v>4665088</v>
      </c>
      <c r="Q120" s="101" t="s">
        <v>487</v>
      </c>
      <c r="R120" s="101">
        <f>'State and Local P&amp;L (detailed)'!$H$70</f>
        <v>5078962</v>
      </c>
      <c r="S120" s="101">
        <f t="shared" si="189"/>
        <v>5078962</v>
      </c>
      <c r="T120" s="101" t="s">
        <v>487</v>
      </c>
      <c r="U120" s="101">
        <f>'State and Local P&amp;L (detailed)'!$I$70</f>
        <v>5450213</v>
      </c>
      <c r="V120" s="101">
        <f t="shared" si="190"/>
        <v>5450213</v>
      </c>
      <c r="W120" s="101" t="s">
        <v>487</v>
      </c>
      <c r="X120" s="101">
        <f>'State and Local P&amp;L (detailed)'!$J$70</f>
        <v>5661542</v>
      </c>
      <c r="Y120" s="101">
        <f t="shared" si="191"/>
        <v>5661542</v>
      </c>
      <c r="Z120" s="101" t="s">
        <v>487</v>
      </c>
      <c r="AA120" s="101">
        <f>'State and Local P&amp;L (detailed)'!$K$70</f>
        <v>6258943</v>
      </c>
      <c r="AB120" s="101">
        <f t="shared" si="192"/>
        <v>6258943</v>
      </c>
      <c r="AC120" s="101" t="s">
        <v>487</v>
      </c>
      <c r="AD120" s="101">
        <f>'State and Local P&amp;L (detailed)'!$L$70</f>
        <v>6938755</v>
      </c>
      <c r="AE120" s="101">
        <f t="shared" si="193"/>
        <v>6938755</v>
      </c>
      <c r="AF120" s="101" t="s">
        <v>487</v>
      </c>
      <c r="AG120" s="101">
        <f>'State and Local P&amp;L (detailed)'!$M$70</f>
        <v>7792504</v>
      </c>
      <c r="AH120" s="101">
        <f t="shared" si="194"/>
        <v>7792504</v>
      </c>
      <c r="AI120" s="101" t="s">
        <v>487</v>
      </c>
      <c r="AJ120" s="101">
        <f>'State and Local P&amp;L (detailed)'!$N$70</f>
        <v>7378770</v>
      </c>
      <c r="AK120" s="101">
        <f t="shared" si="195"/>
        <v>7378770</v>
      </c>
      <c r="AL120" s="101" t="s">
        <v>487</v>
      </c>
      <c r="AM120" s="101">
        <f>'State and Local P&amp;L (detailed)'!$O$70</f>
        <v>7523916</v>
      </c>
      <c r="AN120" s="101">
        <f t="shared" si="196"/>
        <v>7523916</v>
      </c>
      <c r="AO120" s="101" t="s">
        <v>487</v>
      </c>
      <c r="AP120" s="101">
        <f>'State and Local P&amp;L (detailed)'!$P$70</f>
        <v>7658044</v>
      </c>
      <c r="AQ120" s="101">
        <f t="shared" si="197"/>
        <v>7658044</v>
      </c>
      <c r="AR120" s="101" t="s">
        <v>487</v>
      </c>
      <c r="AS120" s="101">
        <f>'State and Local P&amp;L (detailed)'!$Q$70</f>
        <v>8455719</v>
      </c>
      <c r="AT120" s="101">
        <f t="shared" si="198"/>
        <v>8455719</v>
      </c>
      <c r="AU120" s="101" t="s">
        <v>487</v>
      </c>
      <c r="AV120" s="101">
        <f>'State and Local P&amp;L (detailed)'!$R$70</f>
        <v>8919302</v>
      </c>
      <c r="AW120" s="101">
        <f t="shared" si="199"/>
        <v>8919302</v>
      </c>
      <c r="AX120" s="101" t="s">
        <v>487</v>
      </c>
      <c r="AY120" s="101">
        <f>'State and Local P&amp;L (detailed)'!$S$70</f>
        <v>9548790</v>
      </c>
      <c r="AZ120" s="101">
        <f t="shared" si="200"/>
        <v>9548790</v>
      </c>
      <c r="BA120" s="101" t="s">
        <v>487</v>
      </c>
      <c r="BB120" s="101">
        <f>'State and Local P&amp;L (detailed)'!$T$70</f>
        <v>9655880</v>
      </c>
      <c r="BC120" s="101">
        <f t="shared" si="201"/>
        <v>9655880</v>
      </c>
      <c r="BD120" s="101" t="s">
        <v>487</v>
      </c>
      <c r="BE120" s="101">
        <f>'State and Local P&amp;L (detailed)'!$U$70</f>
        <v>10016008</v>
      </c>
      <c r="BF120" s="101">
        <f t="shared" si="202"/>
        <v>10016008</v>
      </c>
      <c r="BG120" s="101" t="s">
        <v>487</v>
      </c>
      <c r="BH120" s="101">
        <f>'State and Local P&amp;L (detailed)'!$V$70</f>
        <v>10588597</v>
      </c>
      <c r="BI120" s="101">
        <f t="shared" si="203"/>
        <v>10588597</v>
      </c>
      <c r="BJ120" s="101" t="s">
        <v>487</v>
      </c>
      <c r="BK120" s="101">
        <f>'State and Local P&amp;L (detailed)'!$W$70</f>
        <v>11366309</v>
      </c>
      <c r="BL120" s="101">
        <f t="shared" si="204"/>
        <v>11366309</v>
      </c>
      <c r="BM120" s="101" t="s">
        <v>487</v>
      </c>
      <c r="BN120" s="101">
        <f>'State and Local P&amp;L (detailed)'!$X$70</f>
        <v>12869995</v>
      </c>
      <c r="BO120" s="101">
        <f t="shared" si="205"/>
        <v>12869995</v>
      </c>
      <c r="BP120" s="101" t="s">
        <v>487</v>
      </c>
      <c r="BQ120" s="101">
        <f>'State and Local P&amp;L (detailed)'!$Y$70</f>
        <v>13002294</v>
      </c>
      <c r="BR120" s="101">
        <f t="shared" si="206"/>
        <v>13002294</v>
      </c>
      <c r="BS120" s="101" t="s">
        <v>487</v>
      </c>
      <c r="BT120" s="101">
        <f>'State and Local P&amp;L (detailed)'!$Z$70</f>
        <v>14227143</v>
      </c>
      <c r="BU120" s="101">
        <f t="shared" si="207"/>
        <v>14227143</v>
      </c>
      <c r="BV120" s="101" t="s">
        <v>487</v>
      </c>
      <c r="BW120" s="101">
        <f>'State and Local P&amp;L (detailed)'!$AA$70</f>
        <v>14447537</v>
      </c>
      <c r="BX120" s="101">
        <f t="shared" si="208"/>
        <v>14447537</v>
      </c>
      <c r="BY120" s="101" t="s">
        <v>487</v>
      </c>
      <c r="BZ120" s="101">
        <f>'State and Local P&amp;L (detailed)'!$AB$70</f>
        <v>14698332</v>
      </c>
      <c r="CA120" s="101">
        <f t="shared" si="209"/>
        <v>14698332</v>
      </c>
      <c r="CB120" s="101" t="s">
        <v>487</v>
      </c>
      <c r="CC120" s="101">
        <f>'State and Local P&amp;L (detailed)'!$AC$70</f>
        <v>15709305</v>
      </c>
      <c r="CD120" s="101">
        <f t="shared" si="210"/>
        <v>15709305</v>
      </c>
      <c r="CE120" s="101" t="s">
        <v>487</v>
      </c>
      <c r="CF120" s="101">
        <f>'State and Local P&amp;L (detailed)'!$AD$70</f>
        <v>15258062</v>
      </c>
      <c r="CG120" s="101">
        <f t="shared" si="211"/>
        <v>15258062</v>
      </c>
      <c r="CH120" s="101" t="s">
        <v>487</v>
      </c>
      <c r="CI120" s="101">
        <f>'State and Local P&amp;L (detailed)'!$AE$70</f>
        <v>16166696</v>
      </c>
      <c r="CJ120" s="101">
        <f t="shared" si="212"/>
        <v>16166696</v>
      </c>
      <c r="CK120" s="101" t="s">
        <v>487</v>
      </c>
      <c r="CL120" s="101">
        <f>'State and Local P&amp;L (detailed)'!$AF$70</f>
        <v>16406879</v>
      </c>
      <c r="CM120" s="101">
        <f t="shared" si="213"/>
        <v>16406879</v>
      </c>
      <c r="CN120" s="101" t="s">
        <v>487</v>
      </c>
      <c r="CO120" s="101">
        <f>'State and Local P&amp;L (detailed)'!$AG$70</f>
        <v>18036759</v>
      </c>
      <c r="CP120" s="101">
        <f t="shared" si="214"/>
        <v>18036759</v>
      </c>
      <c r="CQ120" s="101" t="s">
        <v>487</v>
      </c>
      <c r="CR120" s="101">
        <f>'State and Local P&amp;L (detailed)'!$AH$70</f>
        <v>17729311</v>
      </c>
      <c r="CS120" s="101">
        <f t="shared" si="215"/>
        <v>17729311</v>
      </c>
      <c r="CT120" s="101" t="s">
        <v>487</v>
      </c>
      <c r="CU120" s="101">
        <f>'State and Local P&amp;L (detailed)'!$AI$70</f>
        <v>17017087</v>
      </c>
      <c r="CV120" s="101">
        <f t="shared" si="216"/>
        <v>17017087</v>
      </c>
      <c r="CW120" s="101" t="s">
        <v>487</v>
      </c>
      <c r="CX120" s="101">
        <f>'State and Local P&amp;L (detailed)'!$AJ$70</f>
        <v>17184618</v>
      </c>
      <c r="CY120" s="101">
        <f t="shared" si="217"/>
        <v>17184618</v>
      </c>
      <c r="CZ120" s="101" t="s">
        <v>487</v>
      </c>
      <c r="DA120" s="101">
        <f>'State and Local P&amp;L (detailed)'!$AK$70</f>
        <v>18265875</v>
      </c>
      <c r="DB120" s="101">
        <f t="shared" si="218"/>
        <v>18265875</v>
      </c>
      <c r="DC120" s="85" t="s">
        <v>487</v>
      </c>
      <c r="DD120" s="85">
        <f>'State and Local P&amp;L (detailed)'!$AL$70</f>
        <v>0</v>
      </c>
      <c r="DE120" s="85">
        <f t="shared" si="219"/>
        <v>0</v>
      </c>
    </row>
    <row r="121" spans="1:110" outlineLevel="2">
      <c r="A121" s="29" t="s">
        <v>307</v>
      </c>
      <c r="B121" s="94">
        <f>SUMIFS('Federal Data'!M2:M501,'Federal Data'!$F2:$F501,"Education Outside the Classroom",'Federal Data'!$D2:$D501,"Nongrant")</f>
        <v>861838</v>
      </c>
      <c r="C121" s="101">
        <f>'State and Local P&amp;L (detailed)'!$C$71</f>
        <v>1693627</v>
      </c>
      <c r="D121" s="101">
        <f t="shared" si="184"/>
        <v>2555465</v>
      </c>
      <c r="E121" s="94">
        <f>SUMIFS('Federal Data'!N2:N501,'Federal Data'!$F2:$F501,"Education Outside the Classroom",'Federal Data'!$D2:$D501,"Nongrant")</f>
        <v>889022</v>
      </c>
      <c r="F121" s="101">
        <f>'State and Local P&amp;L (detailed)'!$D$71</f>
        <v>1865190</v>
      </c>
      <c r="G121" s="101">
        <f t="shared" si="185"/>
        <v>2754212</v>
      </c>
      <c r="H121" s="94">
        <f>SUMIFS('Federal Data'!O2:O501,'Federal Data'!$F2:$F501,"Education Outside the Classroom",'Federal Data'!$D2:$D501,"Nongrant")</f>
        <v>902614</v>
      </c>
      <c r="I121" s="101">
        <f>'State and Local P&amp;L (detailed)'!$E$71</f>
        <v>2012593</v>
      </c>
      <c r="J121" s="101">
        <f t="shared" si="186"/>
        <v>2915207</v>
      </c>
      <c r="K121" s="94">
        <f>SUMIFS('Federal Data'!P2:P501,'Federal Data'!$F2:$F501,"Education Outside the Classroom",'Federal Data'!$D2:$D501,"Nongrant")</f>
        <v>841655</v>
      </c>
      <c r="L121" s="101">
        <f>'State and Local P&amp;L (detailed)'!$F$71</f>
        <v>2213222</v>
      </c>
      <c r="M121" s="101">
        <f t="shared" si="187"/>
        <v>3054877</v>
      </c>
      <c r="N121" s="94">
        <f>SUMIFS('Federal Data'!Q2:Q501,'Federal Data'!$F2:$F501,"Education Outside the Classroom",'Federal Data'!$D2:$D501,"Nongrant")</f>
        <v>1066092</v>
      </c>
      <c r="O121" s="101">
        <f>'State and Local P&amp;L (detailed)'!$G$71</f>
        <v>2412517</v>
      </c>
      <c r="P121" s="101">
        <f t="shared" si="188"/>
        <v>3478609</v>
      </c>
      <c r="Q121" s="94">
        <f>SUMIFS('Federal Data'!R2:R501,'Federal Data'!$F2:$F501,"Education Outside the Classroom",'Federal Data'!$D2:$D501,"Nongrant")</f>
        <v>945703</v>
      </c>
      <c r="R121" s="101">
        <f>'State and Local P&amp;L (detailed)'!$H$71</f>
        <v>2699929</v>
      </c>
      <c r="S121" s="101">
        <f t="shared" si="189"/>
        <v>3645632</v>
      </c>
      <c r="T121" s="94">
        <f>SUMIFS('Federal Data'!S2:S501,'Federal Data'!$F2:$F501,"Education Outside the Classroom",'Federal Data'!$D2:$D501,"Nongrant")</f>
        <v>947349</v>
      </c>
      <c r="U121" s="101">
        <f>'State and Local P&amp;L (detailed)'!$I$71</f>
        <v>2947501</v>
      </c>
      <c r="V121" s="101">
        <f t="shared" si="190"/>
        <v>3894850</v>
      </c>
      <c r="W121" s="94">
        <f>SUMIFS('Federal Data'!T2:T501,'Federal Data'!$F2:$F501,"Education Outside the Classroom",'Federal Data'!$D2:$D501,"Nongrant")</f>
        <v>978456</v>
      </c>
      <c r="X121" s="101">
        <f>'State and Local P&amp;L (detailed)'!$J$71</f>
        <v>3297578</v>
      </c>
      <c r="Y121" s="101">
        <f t="shared" si="191"/>
        <v>4276034</v>
      </c>
      <c r="Z121" s="94">
        <f>SUMIFS('Federal Data'!U2:U501,'Federal Data'!$F2:$F501,"Education Outside the Classroom",'Federal Data'!$D2:$D501,"Nongrant")</f>
        <v>1002364</v>
      </c>
      <c r="AA121" s="101">
        <f>'State and Local P&amp;L (detailed)'!$K$71</f>
        <v>3500747</v>
      </c>
      <c r="AB121" s="101">
        <f t="shared" si="192"/>
        <v>4503111</v>
      </c>
      <c r="AC121" s="94">
        <f>SUMIFS('Federal Data'!V2:V501,'Federal Data'!$F2:$F501,"Education Outside the Classroom",'Federal Data'!$D2:$D501,"Nongrant")</f>
        <v>1091624</v>
      </c>
      <c r="AD121" s="101">
        <f>'State and Local P&amp;L (detailed)'!$L$71</f>
        <v>3783451</v>
      </c>
      <c r="AE121" s="101">
        <f t="shared" si="193"/>
        <v>4875075</v>
      </c>
      <c r="AF121" s="94">
        <f>SUMIFS('Federal Data'!W2:W501,'Federal Data'!$F2:$F501,"Education Outside the Classroom",'Federal Data'!$D2:$D501,"Nongrant")</f>
        <v>1157145</v>
      </c>
      <c r="AG121" s="101">
        <f>'State and Local P&amp;L (detailed)'!$M$71</f>
        <v>4101814</v>
      </c>
      <c r="AH121" s="101">
        <f t="shared" si="194"/>
        <v>5258959</v>
      </c>
      <c r="AI121" s="94">
        <f>SUMIFS('Federal Data'!X2:X501,'Federal Data'!$F2:$F501,"Education Outside the Classroom",'Federal Data'!$D2:$D501,"Nongrant")</f>
        <v>1280596</v>
      </c>
      <c r="AJ121" s="101">
        <f>'State and Local P&amp;L (detailed)'!$N$71</f>
        <v>4442137</v>
      </c>
      <c r="AK121" s="101">
        <f t="shared" si="195"/>
        <v>5722733</v>
      </c>
      <c r="AL121" s="94">
        <f>SUMIFS('Federal Data'!Y2:Y501,'Federal Data'!$F2:$F501,"Education Outside the Classroom",'Federal Data'!$D2:$D501,"Nongrant")</f>
        <v>1672406</v>
      </c>
      <c r="AM121" s="101">
        <f>'State and Local P&amp;L (detailed)'!$O$71</f>
        <v>4709918</v>
      </c>
      <c r="AN121" s="101">
        <f t="shared" si="196"/>
        <v>6382324</v>
      </c>
      <c r="AO121" s="94">
        <f>SUMIFS('Federal Data'!Z2:Z501,'Federal Data'!$F2:$F501,"Education Outside the Classroom",'Federal Data'!$D2:$D501,"Nongrant")</f>
        <v>1720917</v>
      </c>
      <c r="AP121" s="101">
        <f>'State and Local P&amp;L (detailed)'!$P$71</f>
        <v>4662447</v>
      </c>
      <c r="AQ121" s="101">
        <f t="shared" si="197"/>
        <v>6383364</v>
      </c>
      <c r="AR121" s="94">
        <f>SUMIFS('Federal Data'!AA2:AA501,'Federal Data'!$F2:$F501,"Education Outside the Classroom",'Federal Data'!$D2:$D501,"Nongrant")</f>
        <v>1785988</v>
      </c>
      <c r="AS121" s="101">
        <f>'State and Local P&amp;L (detailed)'!$Q$71</f>
        <v>4954133</v>
      </c>
      <c r="AT121" s="101">
        <f t="shared" si="198"/>
        <v>6740121</v>
      </c>
      <c r="AU121" s="94">
        <f>SUMIFS('Federal Data'!AB2:AB501,'Federal Data'!$F2:$F501,"Education Outside the Classroom",'Federal Data'!$D2:$D501,"Nongrant")</f>
        <v>1825000</v>
      </c>
      <c r="AV121" s="101">
        <f>'State and Local P&amp;L (detailed)'!$R$71</f>
        <v>5284677</v>
      </c>
      <c r="AW121" s="101">
        <f t="shared" si="199"/>
        <v>7109677</v>
      </c>
      <c r="AX121" s="94">
        <f>SUMIFS('Federal Data'!AC2:AC501,'Federal Data'!$F2:$F501,"Education Outside the Classroom",'Federal Data'!$D2:$D501,"Nongrant")</f>
        <v>1874000</v>
      </c>
      <c r="AY121" s="101">
        <f>'State and Local P&amp;L (detailed)'!$S$71</f>
        <v>5720039</v>
      </c>
      <c r="AZ121" s="101">
        <f t="shared" si="200"/>
        <v>7594039</v>
      </c>
      <c r="BA121" s="94">
        <f>SUMIFS('Federal Data'!AD2:AD501,'Federal Data'!$F2:$F501,"Education Outside the Classroom",'Federal Data'!$D2:$D501,"Nongrant")</f>
        <v>1808000</v>
      </c>
      <c r="BB121" s="101">
        <f>'State and Local P&amp;L (detailed)'!$T$71</f>
        <v>6292519</v>
      </c>
      <c r="BC121" s="101">
        <f t="shared" si="201"/>
        <v>8100519</v>
      </c>
      <c r="BD121" s="94">
        <f>SUMIFS('Federal Data'!AE2:AE501,'Federal Data'!$F2:$F501,"Education Outside the Classroom",'Federal Data'!$D2:$D501,"Nongrant")</f>
        <v>1864000</v>
      </c>
      <c r="BE121" s="101">
        <f>'State and Local P&amp;L (detailed)'!$U$71</f>
        <v>6569123</v>
      </c>
      <c r="BF121" s="101">
        <f t="shared" si="202"/>
        <v>8433123</v>
      </c>
      <c r="BG121" s="94">
        <f>SUMIFS('Federal Data'!AF2:AF501,'Federal Data'!$F2:$F501,"Education Outside the Classroom",'Federal Data'!$D2:$D501,"Nongrant")</f>
        <v>1924000</v>
      </c>
      <c r="BH121" s="101">
        <f>'State and Local P&amp;L (detailed)'!$V$71</f>
        <v>6840982</v>
      </c>
      <c r="BI121" s="101">
        <f t="shared" si="203"/>
        <v>8764982</v>
      </c>
      <c r="BJ121" s="94">
        <f>SUMIFS('Federal Data'!AG2:AG501,'Federal Data'!$F2:$F501,"Education Outside the Classroom",'Federal Data'!$D2:$D501,"Nongrant")</f>
        <v>1978000</v>
      </c>
      <c r="BK121" s="101">
        <f>'State and Local P&amp;L (detailed)'!$W$71</f>
        <v>7155356</v>
      </c>
      <c r="BL121" s="101">
        <f t="shared" si="204"/>
        <v>9133356</v>
      </c>
      <c r="BM121" s="94">
        <f>SUMIFS('Federal Data'!AH2:AH501,'Federal Data'!$F2:$F501,"Education Outside the Classroom",'Federal Data'!$D2:$D501,"Nongrant")</f>
        <v>2036000</v>
      </c>
      <c r="BN121" s="101">
        <f>'State and Local P&amp;L (detailed)'!$X$71</f>
        <v>7802091</v>
      </c>
      <c r="BO121" s="101">
        <f t="shared" si="205"/>
        <v>9838091</v>
      </c>
      <c r="BP121" s="94">
        <f>SUMIFS('Federal Data'!AI2:AI501,'Federal Data'!$F2:$F501,"Education Outside the Classroom",'Federal Data'!$D2:$D501,"Nongrant")</f>
        <v>2223000</v>
      </c>
      <c r="BQ121" s="101">
        <f>'State and Local P&amp;L (detailed)'!$Y$71</f>
        <v>8260071</v>
      </c>
      <c r="BR121" s="101">
        <f t="shared" si="206"/>
        <v>10483071</v>
      </c>
      <c r="BS121" s="94">
        <f>SUMIFS('Federal Data'!AJ2:AJ501,'Federal Data'!$F2:$F501,"Education Outside the Classroom",'Federal Data'!$D2:$D501,"Nongrant")</f>
        <v>2151000</v>
      </c>
      <c r="BT121" s="101">
        <f>'State and Local P&amp;L (detailed)'!$Z$71</f>
        <v>7581684</v>
      </c>
      <c r="BU121" s="101">
        <f t="shared" si="207"/>
        <v>9732684</v>
      </c>
      <c r="BV121" s="94">
        <f>SUMIFS('Federal Data'!AK2:AK501,'Federal Data'!$F2:$F501,"Education Outside the Classroom",'Federal Data'!$D2:$D501,"Nongrant")</f>
        <v>2262000</v>
      </c>
      <c r="BW121" s="101">
        <f>'State and Local P&amp;L (detailed)'!$AA$71</f>
        <v>9288583</v>
      </c>
      <c r="BX121" s="101">
        <f t="shared" si="208"/>
        <v>11550583</v>
      </c>
      <c r="BY121" s="94">
        <f>SUMIFS('Federal Data'!AL2:AL501,'Federal Data'!$F2:$F501,"Education Outside the Classroom",'Federal Data'!$D2:$D501,"Nongrant")</f>
        <v>2326000</v>
      </c>
      <c r="BZ121" s="101">
        <f>'State and Local P&amp;L (detailed)'!$AB$71</f>
        <v>9792378</v>
      </c>
      <c r="CA121" s="101">
        <f t="shared" si="209"/>
        <v>12118378</v>
      </c>
      <c r="CB121" s="94">
        <f>SUMIFS('Federal Data'!AM2:AM501,'Federal Data'!$F2:$F501,"Education Outside the Classroom",'Federal Data'!$D2:$D501,"Nongrant")</f>
        <v>2236000</v>
      </c>
      <c r="CC121" s="101">
        <f>'State and Local P&amp;L (detailed)'!$AC$71</f>
        <v>8887660</v>
      </c>
      <c r="CD121" s="101">
        <f t="shared" si="210"/>
        <v>11123660</v>
      </c>
      <c r="CE121" s="94">
        <f>SUMIFS('Federal Data'!AN2:AN501,'Federal Data'!$F2:$F501,"Education Outside the Classroom",'Federal Data'!$D2:$D501,"Nongrant")</f>
        <v>2365000</v>
      </c>
      <c r="CF121" s="101">
        <f>'State and Local P&amp;L (detailed)'!$AD$71</f>
        <v>10765940</v>
      </c>
      <c r="CG121" s="101">
        <f t="shared" si="211"/>
        <v>13130940</v>
      </c>
      <c r="CH121" s="94">
        <f>SUMIFS('Federal Data'!AO2:AO501,'Federal Data'!$F2:$F501,"Education Outside the Classroom",'Federal Data'!$D2:$D501,"Nongrant")</f>
        <v>2411000</v>
      </c>
      <c r="CI121" s="101">
        <f>'State and Local P&amp;L (detailed)'!$AE$71</f>
        <v>11521190</v>
      </c>
      <c r="CJ121" s="101">
        <f t="shared" si="212"/>
        <v>13932190</v>
      </c>
      <c r="CK121" s="94">
        <f>SUMIFS('Federal Data'!AP2:AP501,'Federal Data'!$F2:$F501,"Education Outside the Classroom",'Federal Data'!$D2:$D501,"Nongrant")</f>
        <v>2640000</v>
      </c>
      <c r="CL121" s="101">
        <f>'State and Local P&amp;L (detailed)'!$AF$71</f>
        <v>11130261</v>
      </c>
      <c r="CM121" s="101">
        <f t="shared" si="213"/>
        <v>13770261</v>
      </c>
      <c r="CN121" s="94">
        <f>SUMIFS('Federal Data'!AQ2:AQ501,'Federal Data'!$F2:$F501,"Education Outside the Classroom",'Federal Data'!$D2:$D501,"Nongrant")</f>
        <v>2771000</v>
      </c>
      <c r="CO121" s="101">
        <f>'State and Local P&amp;L (detailed)'!$AG$71</f>
        <v>10991012</v>
      </c>
      <c r="CP121" s="101">
        <f t="shared" si="214"/>
        <v>13762012</v>
      </c>
      <c r="CQ121" s="94">
        <f>SUMIFS('Federal Data'!AR2:AR501,'Federal Data'!$F2:$F501,"Education Outside the Classroom",'Federal Data'!$D2:$D501,"Nongrant")</f>
        <v>2856000</v>
      </c>
      <c r="CR121" s="101">
        <f>'State and Local P&amp;L (detailed)'!$AH$71</f>
        <v>10698511</v>
      </c>
      <c r="CS121" s="101">
        <f t="shared" si="215"/>
        <v>13554511</v>
      </c>
      <c r="CT121" s="94">
        <f>SUMIFS('Federal Data'!AS2:AS501,'Federal Data'!$F2:$F501,"Education Outside the Classroom",'Federal Data'!$D2:$D501,"Nongrant")</f>
        <v>2864000</v>
      </c>
      <c r="CU121" s="101">
        <f>'State and Local P&amp;L (detailed)'!$AI$71</f>
        <v>11459731</v>
      </c>
      <c r="CV121" s="101">
        <f t="shared" si="216"/>
        <v>14323731</v>
      </c>
      <c r="CW121" s="94">
        <f>SUMIFS('Federal Data'!AT2:AT501,'Federal Data'!$F2:$F501,"Education Outside the Classroom",'Federal Data'!$D2:$D501,"Nongrant")</f>
        <v>2867000</v>
      </c>
      <c r="CX121" s="101">
        <f>'State and Local P&amp;L (detailed)'!$AJ$71</f>
        <v>11150451</v>
      </c>
      <c r="CY121" s="101">
        <f t="shared" si="217"/>
        <v>14017451</v>
      </c>
      <c r="CZ121" s="94">
        <f>SUMIFS('Federal Data'!AU2:AU501,'Federal Data'!$F2:$F501,"Education Outside the Classroom",'Federal Data'!$D2:$D501,"Nongrant")</f>
        <v>2755000</v>
      </c>
      <c r="DA121" s="101">
        <f>'State and Local P&amp;L (detailed)'!$AK$71</f>
        <v>11158289</v>
      </c>
      <c r="DB121" s="101">
        <f t="shared" si="218"/>
        <v>13913289</v>
      </c>
      <c r="DC121" s="37">
        <f>SUMIFS('Federal Data'!AV2:AV501,'Federal Data'!$F2:$F501,"Education Outside the Classroom",'Federal Data'!$D2:$D501,"Nongrant")</f>
        <v>2752000</v>
      </c>
      <c r="DD121" s="85">
        <f>'State and Local P&amp;L (detailed)'!$AL$71</f>
        <v>0</v>
      </c>
      <c r="DE121" s="85">
        <f t="shared" si="219"/>
        <v>2752000</v>
      </c>
    </row>
    <row r="122" spans="1:110" outlineLevel="1">
      <c r="A122" s="28" t="s">
        <v>159</v>
      </c>
      <c r="B122" s="94">
        <f>SUMIFS('Federal Data'!M2:M501,'Federal Data'!$F2:$F501,"Sustainability and Self-Sufficiency",'Federal Data'!$D2:$D501,"Nongrant")</f>
        <v>26534765</v>
      </c>
      <c r="C122" s="101">
        <f>'State and Local P&amp;L (detailed)'!$C$72</f>
        <v>22416657</v>
      </c>
      <c r="D122" s="101">
        <f t="shared" si="184"/>
        <v>48951422</v>
      </c>
      <c r="E122" s="94">
        <f>SUMIFS('Federal Data'!N2:N501,'Federal Data'!$F2:$F501,"Sustainability and Self-Sufficiency",'Federal Data'!$D2:$D501,"Nongrant")</f>
        <v>33783762</v>
      </c>
      <c r="F122" s="101">
        <f>'State and Local P&amp;L (detailed)'!$D$72</f>
        <v>24770787</v>
      </c>
      <c r="G122" s="101">
        <f t="shared" si="185"/>
        <v>58554549</v>
      </c>
      <c r="H122" s="94">
        <f>SUMIFS('Federal Data'!O2:O501,'Federal Data'!$F2:$F501,"Sustainability and Self-Sufficiency",'Federal Data'!$D2:$D501,"Nongrant")</f>
        <v>36243830</v>
      </c>
      <c r="I122" s="101">
        <f>'State and Local P&amp;L (detailed)'!$E$72</f>
        <v>24218384</v>
      </c>
      <c r="J122" s="101">
        <f t="shared" si="186"/>
        <v>60462214</v>
      </c>
      <c r="K122" s="94">
        <f>SUMIFS('Federal Data'!P2:P501,'Federal Data'!$F2:$F501,"Sustainability and Self-Sufficiency",'Federal Data'!$D2:$D501,"Nongrant")</f>
        <v>38637104</v>
      </c>
      <c r="L122" s="101">
        <f>'State and Local P&amp;L (detailed)'!$F$72</f>
        <v>23843553</v>
      </c>
      <c r="M122" s="101">
        <f t="shared" si="187"/>
        <v>62480657</v>
      </c>
      <c r="N122" s="94">
        <f>SUMIFS('Federal Data'!Q2:Q501,'Federal Data'!$F2:$F501,"Sustainability and Self-Sufficiency",'Federal Data'!$D2:$D501,"Nongrant")</f>
        <v>27200363</v>
      </c>
      <c r="O122" s="101">
        <f>'State and Local P&amp;L (detailed)'!$G$72</f>
        <v>21497636</v>
      </c>
      <c r="P122" s="101">
        <f t="shared" si="188"/>
        <v>48697999</v>
      </c>
      <c r="Q122" s="94">
        <f>SUMIFS('Federal Data'!R2:R501,'Federal Data'!$F2:$F501,"Sustainability and Self-Sufficiency",'Federal Data'!$D2:$D501,"Nongrant")</f>
        <v>37539320</v>
      </c>
      <c r="R122" s="101">
        <f>'State and Local P&amp;L (detailed)'!$H$72</f>
        <v>22846228</v>
      </c>
      <c r="S122" s="101">
        <f t="shared" si="189"/>
        <v>60385548</v>
      </c>
      <c r="T122" s="94">
        <f>SUMIFS('Federal Data'!S2:S501,'Federal Data'!$F2:$F501,"Sustainability and Self-Sufficiency",'Federal Data'!$D2:$D501,"Nongrant")</f>
        <v>43055724</v>
      </c>
      <c r="U122" s="101">
        <f>'State and Local P&amp;L (detailed)'!$I$72</f>
        <v>26639225</v>
      </c>
      <c r="V122" s="101">
        <f t="shared" si="190"/>
        <v>69694949</v>
      </c>
      <c r="W122" s="94">
        <f>SUMIFS('Federal Data'!T2:T501,'Federal Data'!$F2:$F501,"Sustainability and Self-Sufficiency",'Federal Data'!$D2:$D501,"Nongrant")</f>
        <v>37411597</v>
      </c>
      <c r="X122" s="101">
        <f>'State and Local P&amp;L (detailed)'!$J$72</f>
        <v>28166069</v>
      </c>
      <c r="Y122" s="101">
        <f t="shared" si="191"/>
        <v>65577666</v>
      </c>
      <c r="Z122" s="94">
        <f>SUMIFS('Federal Data'!U2:U501,'Federal Data'!$F2:$F501,"Sustainability and Self-Sufficiency",'Federal Data'!$D2:$D501,"Nongrant")</f>
        <v>27867076</v>
      </c>
      <c r="AA122" s="101">
        <f>'State and Local P&amp;L (detailed)'!$K$72</f>
        <v>27642744</v>
      </c>
      <c r="AB122" s="101">
        <f t="shared" si="192"/>
        <v>55509820</v>
      </c>
      <c r="AC122" s="94">
        <f>SUMIFS('Federal Data'!V2:V501,'Federal Data'!$F2:$F501,"Sustainability and Self-Sufficiency",'Federal Data'!$D2:$D501,"Nongrant")</f>
        <v>30452425</v>
      </c>
      <c r="AD122" s="101">
        <f>'State and Local P&amp;L (detailed)'!$L$72</f>
        <v>28547127</v>
      </c>
      <c r="AE122" s="101">
        <f t="shared" si="193"/>
        <v>58999552</v>
      </c>
      <c r="AF122" s="94">
        <f>SUMIFS('Federal Data'!W2:W501,'Federal Data'!$F2:$F501,"Sustainability and Self-Sufficiency",'Federal Data'!$D2:$D501,"Nongrant")</f>
        <v>26834035</v>
      </c>
      <c r="AG122" s="101">
        <f>'State and Local P&amp;L (detailed)'!$M$72</f>
        <v>31386197</v>
      </c>
      <c r="AH122" s="101">
        <f t="shared" si="194"/>
        <v>58220232</v>
      </c>
      <c r="AI122" s="94">
        <f>SUMIFS('Federal Data'!X2:X501,'Federal Data'!$F2:$F501,"Sustainability and Self-Sufficiency",'Federal Data'!$D2:$D501,"Nongrant")</f>
        <v>30433451</v>
      </c>
      <c r="AJ122" s="101">
        <f>'State and Local P&amp;L (detailed)'!$N$72</f>
        <v>33562949</v>
      </c>
      <c r="AK122" s="101">
        <f t="shared" si="195"/>
        <v>63996400</v>
      </c>
      <c r="AL122" s="94">
        <f>SUMIFS('Federal Data'!Y2:Y501,'Federal Data'!$F2:$F501,"Sustainability and Self-Sufficiency",'Federal Data'!$D2:$D501,"Nongrant")</f>
        <v>34172039</v>
      </c>
      <c r="AM122" s="101">
        <f>'State and Local P&amp;L (detailed)'!$O$72</f>
        <v>33489758</v>
      </c>
      <c r="AN122" s="101">
        <f t="shared" si="196"/>
        <v>67661797</v>
      </c>
      <c r="AO122" s="94">
        <f>SUMIFS('Federal Data'!Z2:Z501,'Federal Data'!$F2:$F501,"Sustainability and Self-Sufficiency",'Federal Data'!$D2:$D501,"Nongrant")</f>
        <v>39583301</v>
      </c>
      <c r="AP122" s="101">
        <f>'State and Local P&amp;L (detailed)'!$P$72</f>
        <v>32526295</v>
      </c>
      <c r="AQ122" s="101">
        <f t="shared" si="197"/>
        <v>72109596</v>
      </c>
      <c r="AR122" s="94">
        <f>SUMIFS('Federal Data'!AA2:AA501,'Federal Data'!$F2:$F501,"Sustainability and Self-Sufficiency",'Federal Data'!$D2:$D501,"Nongrant")</f>
        <v>36195828</v>
      </c>
      <c r="AS122" s="101">
        <f>'State and Local P&amp;L (detailed)'!$Q$72</f>
        <v>30044663</v>
      </c>
      <c r="AT122" s="101">
        <f t="shared" si="198"/>
        <v>66240491</v>
      </c>
      <c r="AU122" s="94">
        <f>SUMIFS('Federal Data'!AB2:AB501,'Federal Data'!$F2:$F501,"Sustainability and Self-Sufficiency",'Federal Data'!$D2:$D501,"Nongrant")</f>
        <v>31501000</v>
      </c>
      <c r="AV122" s="101">
        <f>'State and Local P&amp;L (detailed)'!$R$72</f>
        <v>32905878</v>
      </c>
      <c r="AW122" s="101">
        <f t="shared" si="199"/>
        <v>64406878</v>
      </c>
      <c r="AX122" s="94">
        <f>SUMIFS('Federal Data'!AC2:AC501,'Federal Data'!$F2:$F501,"Sustainability and Self-Sufficiency",'Federal Data'!$D2:$D501,"Nongrant")</f>
        <v>28561000</v>
      </c>
      <c r="AY122" s="101">
        <f>'State and Local P&amp;L (detailed)'!$S$72</f>
        <v>31721155</v>
      </c>
      <c r="AZ122" s="101">
        <f t="shared" si="200"/>
        <v>60282155</v>
      </c>
      <c r="BA122" s="94">
        <f>SUMIFS('Federal Data'!AD2:AD501,'Federal Data'!$F2:$F501,"Sustainability and Self-Sufficiency",'Federal Data'!$D2:$D501,"Nongrant")</f>
        <v>26600000</v>
      </c>
      <c r="BB122" s="101">
        <f>'State and Local P&amp;L (detailed)'!$T$72</f>
        <v>35329234</v>
      </c>
      <c r="BC122" s="101">
        <f t="shared" si="201"/>
        <v>61929234</v>
      </c>
      <c r="BD122" s="94">
        <f>SUMIFS('Federal Data'!AE2:AE501,'Federal Data'!$F2:$F501,"Sustainability and Self-Sufficiency",'Federal Data'!$D2:$D501,"Nongrant")</f>
        <v>30856000</v>
      </c>
      <c r="BE122" s="101">
        <f>'State and Local P&amp;L (detailed)'!$U$72</f>
        <v>36612304</v>
      </c>
      <c r="BF122" s="101">
        <f t="shared" si="202"/>
        <v>67468304</v>
      </c>
      <c r="BG122" s="94">
        <f>SUMIFS('Federal Data'!AF2:AF501,'Federal Data'!$F2:$F501,"Sustainability and Self-Sufficiency",'Federal Data'!$D2:$D501,"Nongrant")</f>
        <v>42577000</v>
      </c>
      <c r="BH122" s="101">
        <f>'State and Local P&amp;L (detailed)'!$V$72</f>
        <v>37644771</v>
      </c>
      <c r="BI122" s="101">
        <f t="shared" si="203"/>
        <v>80221771</v>
      </c>
      <c r="BJ122" s="94">
        <f>SUMIFS('Federal Data'!AG2:AG501,'Federal Data'!$F2:$F501,"Sustainability and Self-Sufficiency",'Federal Data'!$D2:$D501,"Nongrant")</f>
        <v>54977000</v>
      </c>
      <c r="BK122" s="101">
        <f>'State and Local P&amp;L (detailed)'!$W$72</f>
        <v>42072698</v>
      </c>
      <c r="BL122" s="101">
        <f t="shared" si="204"/>
        <v>97049698</v>
      </c>
      <c r="BM122" s="94">
        <f>SUMIFS('Federal Data'!AH2:AH501,'Federal Data'!$F2:$F501,"Sustainability and Self-Sufficiency",'Federal Data'!$D2:$D501,"Nongrant")</f>
        <v>45644000</v>
      </c>
      <c r="BN122" s="101">
        <f>'State and Local P&amp;L (detailed)'!$X$72</f>
        <v>53449567</v>
      </c>
      <c r="BO122" s="101">
        <f t="shared" si="205"/>
        <v>99093567</v>
      </c>
      <c r="BP122" s="94">
        <f>SUMIFS('Federal Data'!AI2:AI501,'Federal Data'!$F2:$F501,"Sustainability and Self-Sufficiency",'Federal Data'!$D2:$D501,"Nongrant")</f>
        <v>45500000</v>
      </c>
      <c r="BQ122" s="101">
        <f>'State and Local P&amp;L (detailed)'!$Y$72</f>
        <v>55115084</v>
      </c>
      <c r="BR122" s="101">
        <f t="shared" si="206"/>
        <v>100615084</v>
      </c>
      <c r="BS122" s="94">
        <f>SUMIFS('Federal Data'!AJ2:AJ501,'Federal Data'!$F2:$F501,"Sustainability and Self-Sufficiency",'Federal Data'!$D2:$D501,"Nongrant")</f>
        <v>44454000</v>
      </c>
      <c r="BT122" s="101">
        <f>'State and Local P&amp;L (detailed)'!$Z$72</f>
        <v>55127281</v>
      </c>
      <c r="BU122" s="101">
        <f t="shared" si="207"/>
        <v>99581281</v>
      </c>
      <c r="BV122" s="94">
        <f>SUMIFS('Federal Data'!AK2:AK501,'Federal Data'!$F2:$F501,"Sustainability and Self-Sufficiency",'Federal Data'!$D2:$D501,"Nongrant")</f>
        <v>38365000</v>
      </c>
      <c r="BW122" s="101">
        <f>'State and Local P&amp;L (detailed)'!$AA$72</f>
        <v>60585332</v>
      </c>
      <c r="BX122" s="101">
        <f t="shared" si="208"/>
        <v>98950332</v>
      </c>
      <c r="BY122" s="94">
        <f>SUMIFS('Federal Data'!AL2:AL501,'Federal Data'!$F2:$F501,"Sustainability and Self-Sufficiency",'Federal Data'!$D2:$D501,"Nongrant")</f>
        <v>47551000</v>
      </c>
      <c r="BZ122" s="101">
        <f>'State and Local P&amp;L (detailed)'!$AB$72</f>
        <v>59608129</v>
      </c>
      <c r="CA122" s="101">
        <f t="shared" si="209"/>
        <v>107159129</v>
      </c>
      <c r="CB122" s="94">
        <f>SUMIFS('Federal Data'!AM2:AM501,'Federal Data'!$F2:$F501,"Sustainability and Self-Sufficiency",'Federal Data'!$D2:$D501,"Nongrant")</f>
        <v>52295000</v>
      </c>
      <c r="CC122" s="101">
        <f>'State and Local P&amp;L (detailed)'!$AC$72</f>
        <v>63743731</v>
      </c>
      <c r="CD122" s="101">
        <f t="shared" si="210"/>
        <v>116038731</v>
      </c>
      <c r="CE122" s="94">
        <f>SUMIFS('Federal Data'!AN2:AN501,'Federal Data'!$F2:$F501,"Sustainability and Self-Sufficiency",'Federal Data'!$D2:$D501,"Nongrant")</f>
        <v>41000000</v>
      </c>
      <c r="CF122" s="101">
        <f>'State and Local P&amp;L (detailed)'!$AD$72</f>
        <v>76337260</v>
      </c>
      <c r="CG122" s="101">
        <f t="shared" si="211"/>
        <v>117337260</v>
      </c>
      <c r="CH122" s="94">
        <f>SUMIFS('Federal Data'!AO2:AO501,'Federal Data'!$F2:$F501,"Sustainability and Self-Sufficiency",'Federal Data'!$D2:$D501,"Nongrant")</f>
        <v>43553000</v>
      </c>
      <c r="CI122" s="101">
        <f>'State and Local P&amp;L (detailed)'!$AE$72</f>
        <v>80749640</v>
      </c>
      <c r="CJ122" s="101">
        <f t="shared" si="212"/>
        <v>124302640</v>
      </c>
      <c r="CK122" s="94">
        <f>SUMIFS('Federal Data'!AP2:AP501,'Federal Data'!$F2:$F501,"Sustainability and Self-Sufficiency",'Federal Data'!$D2:$D501,"Nongrant")</f>
        <v>57152000</v>
      </c>
      <c r="CL122" s="101">
        <f>'State and Local P&amp;L (detailed)'!$AF$72</f>
        <v>84856766</v>
      </c>
      <c r="CM122" s="101">
        <f t="shared" si="213"/>
        <v>142008766</v>
      </c>
      <c r="CN122" s="94">
        <f>SUMIFS('Federal Data'!AQ2:AQ501,'Federal Data'!$F2:$F501,"Sustainability and Self-Sufficiency",'Federal Data'!$D2:$D501,"Nongrant")</f>
        <v>64039000</v>
      </c>
      <c r="CO122" s="101">
        <f>'State and Local P&amp;L (detailed)'!$AG$72</f>
        <v>77052636</v>
      </c>
      <c r="CP122" s="101">
        <f t="shared" si="214"/>
        <v>141091636</v>
      </c>
      <c r="CQ122" s="94">
        <f>SUMIFS('Federal Data'!AR2:AR501,'Federal Data'!$F2:$F501,"Sustainability and Self-Sufficiency",'Federal Data'!$D2:$D501,"Nongrant")</f>
        <v>63981000</v>
      </c>
      <c r="CR122" s="101">
        <f>'State and Local P&amp;L (detailed)'!$AH$72</f>
        <v>71499830</v>
      </c>
      <c r="CS122" s="101">
        <f t="shared" si="215"/>
        <v>135480830</v>
      </c>
      <c r="CT122" s="94">
        <f>SUMIFS('Federal Data'!AS2:AS501,'Federal Data'!$F2:$F501,"Sustainability and Self-Sufficiency",'Federal Data'!$D2:$D501,"Nongrant")</f>
        <v>61631000</v>
      </c>
      <c r="CU122" s="101">
        <f>'State and Local P&amp;L (detailed)'!$AI$72</f>
        <v>63063628</v>
      </c>
      <c r="CV122" s="101">
        <f t="shared" si="216"/>
        <v>124694628</v>
      </c>
      <c r="CW122" s="94">
        <f>SUMIFS('Federal Data'!AT2:AT501,'Federal Data'!$F2:$F501,"Sustainability and Self-Sufficiency",'Federal Data'!$D2:$D501,"Nongrant")</f>
        <v>69952000</v>
      </c>
      <c r="CX122" s="101">
        <f>'State and Local P&amp;L (detailed)'!$AJ$72</f>
        <v>57425549</v>
      </c>
      <c r="CY122" s="101">
        <f t="shared" si="217"/>
        <v>127377549</v>
      </c>
      <c r="CZ122" s="94">
        <f>SUMIFS('Federal Data'!AU2:AU501,'Federal Data'!$F2:$F501,"Sustainability and Self-Sufficiency",'Federal Data'!$D2:$D501,"Nongrant")</f>
        <v>57673000</v>
      </c>
      <c r="DA122" s="101">
        <f>'State and Local P&amp;L (detailed)'!$AK$72</f>
        <v>51687828</v>
      </c>
      <c r="DB122" s="101">
        <f t="shared" si="218"/>
        <v>109360828</v>
      </c>
      <c r="DC122" s="37">
        <f>SUMIFS('Federal Data'!AV2:AV501,'Federal Data'!$F2:$F501,"Sustainability and Self-Sufficiency",'Federal Data'!$D2:$D501,"Nongrant")</f>
        <v>53053000</v>
      </c>
      <c r="DD122" s="85">
        <f>'State and Local P&amp;L (detailed)'!$AL$72</f>
        <v>0</v>
      </c>
      <c r="DE122" s="85">
        <f t="shared" si="219"/>
        <v>53053000</v>
      </c>
    </row>
    <row r="123" spans="1:110" outlineLevel="2">
      <c r="A123" s="29" t="s">
        <v>297</v>
      </c>
      <c r="B123" s="94">
        <f>SUMIFS('Federal Data'!M2:M501,'Federal Data'!$G2:$G501,"Energy",'Federal Data'!$D2:$D501,"Nongrant")</f>
        <v>9815301</v>
      </c>
      <c r="C123" s="101">
        <f>'State and Local P&amp;L (detailed)'!$C$73</f>
        <v>1983966</v>
      </c>
      <c r="D123" s="101">
        <f t="shared" si="184"/>
        <v>11799267</v>
      </c>
      <c r="E123" s="94">
        <f>SUMIFS('Federal Data'!N2:N501,'Federal Data'!$G2:$G501,"Energy",'Federal Data'!$D2:$D501,"Nongrant")</f>
        <v>14710647</v>
      </c>
      <c r="F123" s="101">
        <f>'State and Local P&amp;L (detailed)'!$D$73</f>
        <v>2216364</v>
      </c>
      <c r="G123" s="101">
        <f t="shared" si="185"/>
        <v>16927011</v>
      </c>
      <c r="H123" s="94">
        <f>SUMIFS('Federal Data'!O2:O501,'Federal Data'!$G2:$G501,"Energy",'Federal Data'!$D2:$D501,"Nongrant")</f>
        <v>13209335</v>
      </c>
      <c r="I123" s="101">
        <f>'State and Local P&amp;L (detailed)'!$E$73</f>
        <v>1708481</v>
      </c>
      <c r="J123" s="101">
        <f t="shared" si="186"/>
        <v>14917816</v>
      </c>
      <c r="K123" s="94">
        <f>SUMIFS('Federal Data'!P2:P501,'Federal Data'!$G2:$G501,"Energy",'Federal Data'!$D2:$D501,"Nongrant")</f>
        <v>9031019</v>
      </c>
      <c r="L123" s="101">
        <f>'State and Local P&amp;L (detailed)'!$F$73</f>
        <v>1122151</v>
      </c>
      <c r="M123" s="101">
        <f t="shared" si="187"/>
        <v>10153170</v>
      </c>
      <c r="N123" s="94">
        <f>SUMIFS('Federal Data'!Q2:Q501,'Federal Data'!$G2:$G501,"Energy",'Federal Data'!$D2:$D501,"Nongrant")</f>
        <v>6705508</v>
      </c>
      <c r="O123" s="101">
        <f>'State and Local P&amp;L (detailed)'!$G$73</f>
        <v>-175766</v>
      </c>
      <c r="P123" s="101">
        <f t="shared" si="188"/>
        <v>6529742</v>
      </c>
      <c r="Q123" s="94">
        <f>SUMIFS('Federal Data'!R2:R501,'Federal Data'!$G2:$G501,"Energy",'Federal Data'!$D2:$D501,"Nongrant")</f>
        <v>5219980</v>
      </c>
      <c r="R123" s="101">
        <f>'State and Local P&amp;L (detailed)'!$H$73</f>
        <v>-603633</v>
      </c>
      <c r="S123" s="101">
        <f t="shared" si="189"/>
        <v>4616347</v>
      </c>
      <c r="T123" s="94">
        <f>SUMIFS('Federal Data'!S2:S501,'Federal Data'!$G2:$G501,"Energy",'Federal Data'!$D2:$D501,"Nongrant")</f>
        <v>4273601</v>
      </c>
      <c r="U123" s="101">
        <f>'State and Local P&amp;L (detailed)'!$I$73</f>
        <v>629495</v>
      </c>
      <c r="V123" s="101">
        <f t="shared" si="190"/>
        <v>4903096</v>
      </c>
      <c r="W123" s="94">
        <f>SUMIFS('Federal Data'!T2:T501,'Federal Data'!$G2:$G501,"Energy",'Federal Data'!$D2:$D501,"Nongrant")</f>
        <v>3729181</v>
      </c>
      <c r="X123" s="101">
        <f>'State and Local P&amp;L (detailed)'!$J$73</f>
        <v>-1226990</v>
      </c>
      <c r="Y123" s="101">
        <f t="shared" si="191"/>
        <v>2502191</v>
      </c>
      <c r="Z123" s="94">
        <f>SUMIFS('Federal Data'!U2:U501,'Federal Data'!$G2:$G501,"Energy",'Federal Data'!$D2:$D501,"Nongrant")</f>
        <v>1936031</v>
      </c>
      <c r="AA123" s="101">
        <f>'State and Local P&amp;L (detailed)'!$K$73</f>
        <v>-2575341</v>
      </c>
      <c r="AB123" s="101">
        <f t="shared" si="192"/>
        <v>-639310</v>
      </c>
      <c r="AC123" s="94">
        <f>SUMIFS('Federal Data'!V2:V501,'Federal Data'!$G2:$G501,"Energy",'Federal Data'!$D2:$D501,"Nongrant")</f>
        <v>2379775</v>
      </c>
      <c r="AD123" s="101">
        <f>'State and Local P&amp;L (detailed)'!$L$73</f>
        <v>-3538754</v>
      </c>
      <c r="AE123" s="101">
        <f t="shared" si="193"/>
        <v>-1158979</v>
      </c>
      <c r="AF123" s="94">
        <f>SUMIFS('Federal Data'!W2:W501,'Federal Data'!$G2:$G501,"Energy",'Federal Data'!$D2:$D501,"Nongrant")</f>
        <v>2977794</v>
      </c>
      <c r="AG123" s="101">
        <f>'State and Local P&amp;L (detailed)'!$M$73</f>
        <v>-3832537</v>
      </c>
      <c r="AH123" s="101">
        <f t="shared" si="194"/>
        <v>-854743</v>
      </c>
      <c r="AI123" s="94">
        <f>SUMIFS('Federal Data'!X2:X501,'Federal Data'!$G2:$G501,"Energy",'Federal Data'!$D2:$D501,"Nongrant")</f>
        <v>2085801</v>
      </c>
      <c r="AJ123" s="101">
        <f>'State and Local P&amp;L (detailed)'!$N$73</f>
        <v>-4764614</v>
      </c>
      <c r="AK123" s="101">
        <f t="shared" si="195"/>
        <v>-2678813</v>
      </c>
      <c r="AL123" s="94">
        <f>SUMIFS('Federal Data'!Y2:Y501,'Federal Data'!$G2:$G501,"Energy",'Federal Data'!$D2:$D501,"Nongrant")</f>
        <v>4146112</v>
      </c>
      <c r="AM123" s="101">
        <f>'State and Local P&amp;L (detailed)'!$O$73</f>
        <v>-4262831</v>
      </c>
      <c r="AN123" s="101">
        <f t="shared" si="196"/>
        <v>-116719</v>
      </c>
      <c r="AO123" s="94">
        <f>SUMIFS('Federal Data'!Z2:Z501,'Federal Data'!$G2:$G501,"Energy",'Federal Data'!$D2:$D501,"Nongrant")</f>
        <v>4002648</v>
      </c>
      <c r="AP123" s="101">
        <f>'State and Local P&amp;L (detailed)'!$P$73</f>
        <v>-5046003</v>
      </c>
      <c r="AQ123" s="101">
        <f t="shared" si="197"/>
        <v>-1043355</v>
      </c>
      <c r="AR123" s="94">
        <f>SUMIFS('Federal Data'!AA2:AA501,'Federal Data'!$G2:$G501,"Energy",'Federal Data'!$D2:$D501,"Nongrant")</f>
        <v>4921531</v>
      </c>
      <c r="AS123" s="101">
        <f>'State and Local P&amp;L (detailed)'!$Q$73</f>
        <v>-5189453</v>
      </c>
      <c r="AT123" s="101">
        <f t="shared" si="198"/>
        <v>-267922</v>
      </c>
      <c r="AU123" s="94">
        <f>SUMIFS('Federal Data'!AB2:AB501,'Federal Data'!$G2:$G501,"Energy",'Federal Data'!$D2:$D501,"Nongrant")</f>
        <v>4654000</v>
      </c>
      <c r="AV123" s="101">
        <f>'State and Local P&amp;L (detailed)'!$R$73</f>
        <v>-5754958</v>
      </c>
      <c r="AW123" s="101">
        <f t="shared" si="199"/>
        <v>-1100958</v>
      </c>
      <c r="AX123" s="94">
        <f>SUMIFS('Federal Data'!AC2:AC501,'Federal Data'!$G2:$G501,"Energy",'Federal Data'!$D2:$D501,"Nongrant")</f>
        <v>2465000</v>
      </c>
      <c r="AY123" s="101">
        <f>'State and Local P&amp;L (detailed)'!$S$73</f>
        <v>-6652537</v>
      </c>
      <c r="AZ123" s="101">
        <f t="shared" si="200"/>
        <v>-4187537</v>
      </c>
      <c r="BA123" s="94">
        <f>SUMIFS('Federal Data'!AD2:AD501,'Federal Data'!$G2:$G501,"Energy",'Federal Data'!$D2:$D501,"Nongrant")</f>
        <v>1147000</v>
      </c>
      <c r="BB123" s="101">
        <f>'State and Local P&amp;L (detailed)'!$T$73</f>
        <v>-6401882</v>
      </c>
      <c r="BC123" s="101">
        <f t="shared" si="201"/>
        <v>-5254882</v>
      </c>
      <c r="BD123" s="94">
        <f>SUMIFS('Federal Data'!AE2:AE501,'Federal Data'!$G2:$G501,"Energy",'Federal Data'!$D2:$D501,"Nongrant")</f>
        <v>931000</v>
      </c>
      <c r="BE123" s="101">
        <f>'State and Local P&amp;L (detailed)'!$U$73</f>
        <v>-6715744</v>
      </c>
      <c r="BF123" s="101">
        <f t="shared" si="202"/>
        <v>-5784744</v>
      </c>
      <c r="BG123" s="94">
        <f>SUMIFS('Federal Data'!AF2:AF501,'Federal Data'!$G2:$G501,"Energy",'Federal Data'!$D2:$D501,"Nongrant")</f>
        <v>500000</v>
      </c>
      <c r="BH123" s="101">
        <f>'State and Local P&amp;L (detailed)'!$V$73</f>
        <v>-7625171</v>
      </c>
      <c r="BI123" s="101">
        <f t="shared" si="203"/>
        <v>-7125171</v>
      </c>
      <c r="BJ123" s="94">
        <f>SUMIFS('Federal Data'!AG2:AG501,'Federal Data'!$G2:$G501,"Energy",'Federal Data'!$D2:$D501,"Nongrant")</f>
        <v>-1154000</v>
      </c>
      <c r="BK123" s="101">
        <f>'State and Local P&amp;L (detailed)'!$W$73</f>
        <v>-7634397</v>
      </c>
      <c r="BL123" s="101">
        <f t="shared" si="204"/>
        <v>-8788397</v>
      </c>
      <c r="BM123" s="94">
        <f>SUMIFS('Federal Data'!AH2:AH501,'Federal Data'!$G2:$G501,"Energy",'Federal Data'!$D2:$D501,"Nongrant")</f>
        <v>-475000</v>
      </c>
      <c r="BN123" s="101">
        <f>'State and Local P&amp;L (detailed)'!$X$73</f>
        <v>-642368</v>
      </c>
      <c r="BO123" s="101">
        <f t="shared" si="205"/>
        <v>-1117368</v>
      </c>
      <c r="BP123" s="94">
        <f>SUMIFS('Federal Data'!AI2:AI501,'Federal Data'!$G2:$G501,"Energy",'Federal Data'!$D2:$D501,"Nongrant")</f>
        <v>-50000</v>
      </c>
      <c r="BQ123" s="101">
        <f>'State and Local P&amp;L (detailed)'!$Y$73</f>
        <v>-3546137</v>
      </c>
      <c r="BR123" s="101">
        <f t="shared" si="206"/>
        <v>-3596137</v>
      </c>
      <c r="BS123" s="94">
        <f>SUMIFS('Federal Data'!AJ2:AJ501,'Federal Data'!$G2:$G501,"Energy",'Federal Data'!$D2:$D501,"Nongrant")</f>
        <v>-1312000</v>
      </c>
      <c r="BT123" s="101">
        <f>'State and Local P&amp;L (detailed)'!$Z$73</f>
        <v>-4599194</v>
      </c>
      <c r="BU123" s="101">
        <f t="shared" si="207"/>
        <v>-5911194</v>
      </c>
      <c r="BV123" s="94">
        <f>SUMIFS('Federal Data'!AK2:AK501,'Federal Data'!$G2:$G501,"Energy",'Federal Data'!$D2:$D501,"Nongrant")</f>
        <v>-755000</v>
      </c>
      <c r="BW123" s="101">
        <f>'State and Local P&amp;L (detailed)'!$AA$73</f>
        <v>-1371072</v>
      </c>
      <c r="BX123" s="101">
        <f t="shared" si="208"/>
        <v>-2126072</v>
      </c>
      <c r="BY123" s="94">
        <f>SUMIFS('Federal Data'!AL2:AL501,'Federal Data'!$G2:$G501,"Energy",'Federal Data'!$D2:$D501,"Nongrant")</f>
        <v>-196000</v>
      </c>
      <c r="BZ123" s="101">
        <f>'State and Local P&amp;L (detailed)'!$AB$73</f>
        <v>-4925850</v>
      </c>
      <c r="CA123" s="101">
        <f t="shared" si="209"/>
        <v>-5121850</v>
      </c>
      <c r="CB123" s="94">
        <f>SUMIFS('Federal Data'!AM2:AM501,'Federal Data'!$G2:$G501,"Energy",'Federal Data'!$D2:$D501,"Nongrant")</f>
        <v>134000</v>
      </c>
      <c r="CC123" s="101">
        <f>'State and Local P&amp;L (detailed)'!$AC$73</f>
        <v>-3762181</v>
      </c>
      <c r="CD123" s="101">
        <f t="shared" si="210"/>
        <v>-3628181</v>
      </c>
      <c r="CE123" s="94">
        <f>SUMIFS('Federal Data'!AN2:AN501,'Federal Data'!$G2:$G501,"Energy",'Federal Data'!$D2:$D501,"Nongrant")</f>
        <v>-1519000</v>
      </c>
      <c r="CF123" s="101">
        <f>'State and Local P&amp;L (detailed)'!$AD$73</f>
        <v>-2284722</v>
      </c>
      <c r="CG123" s="101">
        <f t="shared" si="211"/>
        <v>-3803722</v>
      </c>
      <c r="CH123" s="94">
        <f>SUMIFS('Federal Data'!AO2:AO501,'Federal Data'!$G2:$G501,"Energy",'Federal Data'!$D2:$D501,"Nongrant")</f>
        <v>107000</v>
      </c>
      <c r="CI123" s="101">
        <f>'State and Local P&amp;L (detailed)'!$AE$73</f>
        <v>-1273401</v>
      </c>
      <c r="CJ123" s="101">
        <f t="shared" si="212"/>
        <v>-1166401</v>
      </c>
      <c r="CK123" s="94">
        <f>SUMIFS('Federal Data'!AP2:AP501,'Federal Data'!$G2:$G501,"Energy",'Federal Data'!$D2:$D501,"Nongrant")</f>
        <v>3756000</v>
      </c>
      <c r="CL123" s="101">
        <f>'State and Local P&amp;L (detailed)'!$AF$73</f>
        <v>-2221545</v>
      </c>
      <c r="CM123" s="101">
        <f t="shared" si="213"/>
        <v>1534455</v>
      </c>
      <c r="CN123" s="94">
        <f>SUMIFS('Federal Data'!AQ2:AQ501,'Federal Data'!$G2:$G501,"Energy",'Federal Data'!$D2:$D501,"Nongrant")</f>
        <v>8962000</v>
      </c>
      <c r="CO123" s="101">
        <f>'State and Local P&amp;L (detailed)'!$AG$73</f>
        <v>-3485174</v>
      </c>
      <c r="CP123" s="101">
        <f t="shared" si="214"/>
        <v>5476826</v>
      </c>
      <c r="CQ123" s="94">
        <f>SUMIFS('Federal Data'!AR2:AR501,'Federal Data'!$G2:$G501,"Energy",'Federal Data'!$D2:$D501,"Nongrant")</f>
        <v>7046000</v>
      </c>
      <c r="CR123" s="101">
        <f>'State and Local P&amp;L (detailed)'!$AH$73</f>
        <v>-3750466</v>
      </c>
      <c r="CS123" s="101">
        <f t="shared" si="215"/>
        <v>3295534</v>
      </c>
      <c r="CT123" s="94">
        <f>SUMIFS('Federal Data'!AS2:AS501,'Federal Data'!$G2:$G501,"Energy",'Federal Data'!$D2:$D501,"Nongrant")</f>
        <v>10635000</v>
      </c>
      <c r="CU123" s="101">
        <f>'State and Local P&amp;L (detailed)'!$AI$73</f>
        <v>-5148262</v>
      </c>
      <c r="CV123" s="101">
        <f t="shared" si="216"/>
        <v>5486738</v>
      </c>
      <c r="CW123" s="94">
        <f>SUMIFS('Federal Data'!AT2:AT501,'Federal Data'!$G2:$G501,"Energy",'Federal Data'!$D2:$D501,"Nongrant")</f>
        <v>10106000</v>
      </c>
      <c r="CX123" s="101">
        <f>'State and Local P&amp;L (detailed)'!$AJ$73</f>
        <v>-5191609</v>
      </c>
      <c r="CY123" s="101">
        <f t="shared" si="217"/>
        <v>4914391</v>
      </c>
      <c r="CZ123" s="94">
        <f>SUMIFS('Federal Data'!AU2:AU501,'Federal Data'!$G2:$G501,"Energy",'Federal Data'!$D2:$D501,"Nongrant")</f>
        <v>4511000</v>
      </c>
      <c r="DA123" s="101">
        <f>'State and Local P&amp;L (detailed)'!$AK$73</f>
        <v>-6682265</v>
      </c>
      <c r="DB123" s="101">
        <f t="shared" si="218"/>
        <v>-2171265</v>
      </c>
      <c r="DC123" s="37">
        <f>SUMIFS('Federal Data'!AV2:AV501,'Federal Data'!$G2:$G501,"Energy",'Federal Data'!$D2:$D501,"Nongrant")</f>
        <v>6261000</v>
      </c>
      <c r="DD123" s="85">
        <f>'State and Local P&amp;L (detailed)'!$AL$73</f>
        <v>0</v>
      </c>
      <c r="DE123" s="85">
        <f t="shared" si="219"/>
        <v>6261000</v>
      </c>
    </row>
    <row r="124" spans="1:110" outlineLevel="2">
      <c r="A124" s="29" t="s">
        <v>51</v>
      </c>
      <c r="B124" s="94">
        <f>SUMIFS('Federal Data'!M2:M501,'Federal Data'!$G2:$G501,"Environment and Natural Resources",'Federal Data'!$D2:$D501,"Nongrant")</f>
        <v>8514902</v>
      </c>
      <c r="C124" s="101">
        <f>'State and Local P&amp;L (detailed)'!$C$74</f>
        <v>18670189</v>
      </c>
      <c r="D124" s="101">
        <f t="shared" si="184"/>
        <v>27185091</v>
      </c>
      <c r="E124" s="94">
        <f>SUMIFS('Federal Data'!N2:N501,'Federal Data'!$G2:$G501,"Environment and Natural Resources",'Federal Data'!$D2:$D501,"Nongrant")</f>
        <v>8661681</v>
      </c>
      <c r="F124" s="101">
        <f>'State and Local P&amp;L (detailed)'!$D$74</f>
        <v>20565108</v>
      </c>
      <c r="G124" s="101">
        <f t="shared" si="185"/>
        <v>29226789</v>
      </c>
      <c r="H124" s="94">
        <f>SUMIFS('Federal Data'!O2:O501,'Federal Data'!$G2:$G501,"Environment and Natural Resources",'Federal Data'!$D2:$D501,"Nongrant")</f>
        <v>8153892</v>
      </c>
      <c r="I124" s="101">
        <f>'State and Local P&amp;L (detailed)'!$E$74</f>
        <v>20344221</v>
      </c>
      <c r="J124" s="101">
        <f t="shared" si="186"/>
        <v>28498113</v>
      </c>
      <c r="K124" s="94">
        <f>SUMIFS('Federal Data'!P2:P501,'Federal Data'!$G2:$G501,"Environment and Natural Resources",'Federal Data'!$D2:$D501,"Nongrant")</f>
        <v>8614662</v>
      </c>
      <c r="L124" s="101">
        <f>'State and Local P&amp;L (detailed)'!$F$74</f>
        <v>20451914</v>
      </c>
      <c r="M124" s="101">
        <f t="shared" si="187"/>
        <v>29066576</v>
      </c>
      <c r="N124" s="94">
        <f>SUMIFS('Federal Data'!Q2:Q501,'Federal Data'!$G2:$G501,"Environment and Natural Resources",'Federal Data'!$D2:$D501,"Nongrant")</f>
        <v>8800674</v>
      </c>
      <c r="O124" s="101">
        <f>'State and Local P&amp;L (detailed)'!$G$74</f>
        <v>19304710</v>
      </c>
      <c r="P124" s="101">
        <f t="shared" si="188"/>
        <v>28105384</v>
      </c>
      <c r="Q124" s="94">
        <f>SUMIFS('Federal Data'!R2:R501,'Federal Data'!$G2:$G501,"Environment and Natural Resources",'Federal Data'!$D2:$D501,"Nongrant")</f>
        <v>9263122</v>
      </c>
      <c r="R124" s="101">
        <f>'State and Local P&amp;L (detailed)'!$H$74</f>
        <v>20876905</v>
      </c>
      <c r="S124" s="101">
        <f t="shared" si="189"/>
        <v>30140027</v>
      </c>
      <c r="T124" s="94">
        <f>SUMIFS('Federal Data'!S2:S501,'Federal Data'!$G2:$G501,"Environment and Natural Resources",'Federal Data'!$D2:$D501,"Nongrant")</f>
        <v>9345325</v>
      </c>
      <c r="U124" s="101">
        <f>'State and Local P&amp;L (detailed)'!$I$74</f>
        <v>23223562</v>
      </c>
      <c r="V124" s="101">
        <f t="shared" si="190"/>
        <v>32568887</v>
      </c>
      <c r="W124" s="94">
        <f>SUMIFS('Federal Data'!T2:T501,'Federal Data'!$G2:$G501,"Environment and Natural Resources",'Federal Data'!$D2:$D501,"Nongrant")</f>
        <v>9262032</v>
      </c>
      <c r="X124" s="101">
        <f>'State and Local P&amp;L (detailed)'!$J$74</f>
        <v>26404465</v>
      </c>
      <c r="Y124" s="101">
        <f t="shared" si="191"/>
        <v>35666497</v>
      </c>
      <c r="Z124" s="94">
        <f>SUMIFS('Federal Data'!U2:U501,'Federal Data'!$G2:$G501,"Environment and Natural Resources",'Federal Data'!$D2:$D501,"Nongrant")</f>
        <v>10863132</v>
      </c>
      <c r="AA124" s="101">
        <f>'State and Local P&amp;L (detailed)'!$K$74</f>
        <v>27208034</v>
      </c>
      <c r="AB124" s="101">
        <f t="shared" si="192"/>
        <v>38071166</v>
      </c>
      <c r="AC124" s="94">
        <f>SUMIFS('Federal Data'!V2:V501,'Federal Data'!$G2:$G501,"Environment and Natural Resources",'Federal Data'!$D2:$D501,"Nongrant")</f>
        <v>12572700</v>
      </c>
      <c r="AD124" s="101">
        <f>'State and Local P&amp;L (detailed)'!$L$74</f>
        <v>28844238</v>
      </c>
      <c r="AE124" s="101">
        <f t="shared" si="193"/>
        <v>41416938</v>
      </c>
      <c r="AF124" s="94">
        <f>SUMIFS('Federal Data'!W2:W501,'Federal Data'!$G2:$G501,"Environment and Natural Resources",'Federal Data'!$D2:$D501,"Nongrant")</f>
        <v>13336949</v>
      </c>
      <c r="AG124" s="101">
        <f>'State and Local P&amp;L (detailed)'!$M$74</f>
        <v>31687053</v>
      </c>
      <c r="AH124" s="101">
        <f t="shared" si="194"/>
        <v>45024002</v>
      </c>
      <c r="AI124" s="94">
        <f>SUMIFS('Federal Data'!X2:X501,'Federal Data'!$G2:$G501,"Environment and Natural Resources",'Federal Data'!$D2:$D501,"Nongrant")</f>
        <v>14513410</v>
      </c>
      <c r="AJ124" s="101">
        <f>'State and Local P&amp;L (detailed)'!$N$74</f>
        <v>34691881</v>
      </c>
      <c r="AK124" s="101">
        <f t="shared" si="195"/>
        <v>49205291</v>
      </c>
      <c r="AL124" s="94">
        <f>SUMIFS('Federal Data'!Y2:Y501,'Federal Data'!$G2:$G501,"Environment and Natural Resources",'Federal Data'!$D2:$D501,"Nongrant")</f>
        <v>16080864</v>
      </c>
      <c r="AM124" s="101">
        <f>'State and Local P&amp;L (detailed)'!$O$74</f>
        <v>34099498</v>
      </c>
      <c r="AN124" s="101">
        <f t="shared" si="196"/>
        <v>50180362</v>
      </c>
      <c r="AO124" s="94">
        <f>SUMIFS('Federal Data'!Z2:Z501,'Federal Data'!$G2:$G501,"Environment and Natural Resources",'Federal Data'!$D2:$D501,"Nongrant")</f>
        <v>16453007</v>
      </c>
      <c r="AP124" s="101">
        <f>'State and Local P&amp;L (detailed)'!$P$74</f>
        <v>33822476</v>
      </c>
      <c r="AQ124" s="101">
        <f t="shared" si="197"/>
        <v>50275483</v>
      </c>
      <c r="AR124" s="94">
        <f>SUMIFS('Federal Data'!AA2:AA501,'Federal Data'!$G2:$G501,"Environment and Natural Resources",'Federal Data'!$D2:$D501,"Nongrant")</f>
        <v>17296943</v>
      </c>
      <c r="AS124" s="101">
        <f>'State and Local P&amp;L (detailed)'!$Q$74</f>
        <v>31438965</v>
      </c>
      <c r="AT124" s="101">
        <f t="shared" si="198"/>
        <v>48735908</v>
      </c>
      <c r="AU124" s="94">
        <f>SUMIFS('Federal Data'!AB2:AB501,'Federal Data'!$G2:$G501,"Environment and Natural Resources",'Federal Data'!$D2:$D501,"Nongrant")</f>
        <v>17956000</v>
      </c>
      <c r="AV124" s="101">
        <f>'State and Local P&amp;L (detailed)'!$R$74</f>
        <v>34794028</v>
      </c>
      <c r="AW124" s="101">
        <f t="shared" si="199"/>
        <v>52750028</v>
      </c>
      <c r="AX124" s="94">
        <f>SUMIFS('Federal Data'!AC2:AC501,'Federal Data'!$G2:$G501,"Environment and Natural Resources",'Federal Data'!$D2:$D501,"Nongrant")</f>
        <v>17693000</v>
      </c>
      <c r="AY124" s="101">
        <f>'State and Local P&amp;L (detailed)'!$S$74</f>
        <v>34380285</v>
      </c>
      <c r="AZ124" s="101">
        <f t="shared" si="200"/>
        <v>52073285</v>
      </c>
      <c r="BA124" s="94">
        <f>SUMIFS('Federal Data'!AD2:AD501,'Federal Data'!$G2:$G501,"Environment and Natural Resources",'Federal Data'!$D2:$D501,"Nongrant")</f>
        <v>15422000</v>
      </c>
      <c r="BB124" s="101">
        <f>'State and Local P&amp;L (detailed)'!$T$74</f>
        <v>37611396</v>
      </c>
      <c r="BC124" s="101">
        <f t="shared" si="201"/>
        <v>53033396</v>
      </c>
      <c r="BD124" s="94">
        <f>SUMIFS('Federal Data'!AE2:AE501,'Federal Data'!$G2:$G501,"Environment and Natural Resources",'Federal Data'!$D2:$D501,"Nongrant")</f>
        <v>16626000</v>
      </c>
      <c r="BE124" s="101">
        <f>'State and Local P&amp;L (detailed)'!$U$74</f>
        <v>38941015</v>
      </c>
      <c r="BF124" s="101">
        <f t="shared" si="202"/>
        <v>55567015</v>
      </c>
      <c r="BG124" s="94">
        <f>SUMIFS('Federal Data'!AF2:AF501,'Federal Data'!$G2:$G501,"Environment and Natural Resources",'Federal Data'!$D2:$D501,"Nongrant")</f>
        <v>18101000</v>
      </c>
      <c r="BH124" s="101">
        <f>'State and Local P&amp;L (detailed)'!$V$74</f>
        <v>40624029</v>
      </c>
      <c r="BI124" s="101">
        <f t="shared" si="203"/>
        <v>58725029</v>
      </c>
      <c r="BJ124" s="94">
        <f>SUMIFS('Federal Data'!AG2:AG501,'Federal Data'!$G2:$G501,"Environment and Natural Resources",'Federal Data'!$D2:$D501,"Nongrant")</f>
        <v>18623000</v>
      </c>
      <c r="BK124" s="101">
        <f>'State and Local P&amp;L (detailed)'!$W$74</f>
        <v>44250821</v>
      </c>
      <c r="BL124" s="101">
        <f t="shared" si="204"/>
        <v>62873821</v>
      </c>
      <c r="BM124" s="94">
        <f>SUMIFS('Federal Data'!AH2:AH501,'Federal Data'!$G2:$G501,"Environment and Natural Resources",'Federal Data'!$D2:$D501,"Nongrant")</f>
        <v>18676000</v>
      </c>
      <c r="BN124" s="101">
        <f>'State and Local P&amp;L (detailed)'!$X$74</f>
        <v>48454306</v>
      </c>
      <c r="BO124" s="101">
        <f t="shared" si="205"/>
        <v>67130306</v>
      </c>
      <c r="BP124" s="94">
        <f>SUMIFS('Federal Data'!AI2:AI501,'Federal Data'!$G2:$G501,"Environment and Natural Resources",'Federal Data'!$D2:$D501,"Nongrant")</f>
        <v>22262000</v>
      </c>
      <c r="BQ124" s="101">
        <f>'State and Local P&amp;L (detailed)'!$Y$74</f>
        <v>53157357</v>
      </c>
      <c r="BR124" s="101">
        <f t="shared" si="206"/>
        <v>75419357</v>
      </c>
      <c r="BS124" s="94">
        <f>SUMIFS('Federal Data'!AJ2:AJ501,'Federal Data'!$G2:$G501,"Environment and Natural Resources",'Federal Data'!$D2:$D501,"Nongrant")</f>
        <v>22096000</v>
      </c>
      <c r="BT124" s="101">
        <f>'State and Local P&amp;L (detailed)'!$Z$74</f>
        <v>54135122</v>
      </c>
      <c r="BU124" s="101">
        <f t="shared" si="207"/>
        <v>76231122</v>
      </c>
      <c r="BV124" s="94">
        <f>SUMIFS('Federal Data'!AK2:AK501,'Federal Data'!$G2:$G501,"Environment and Natural Resources",'Federal Data'!$D2:$D501,"Nongrant")</f>
        <v>22777000</v>
      </c>
      <c r="BW124" s="101">
        <f>'State and Local P&amp;L (detailed)'!$AA$74</f>
        <v>56382786</v>
      </c>
      <c r="BX124" s="101">
        <f t="shared" si="208"/>
        <v>79159786</v>
      </c>
      <c r="BY124" s="94">
        <f>SUMIFS('Federal Data'!AL2:AL501,'Federal Data'!$G2:$G501,"Environment and Natural Resources",'Federal Data'!$D2:$D501,"Nongrant")</f>
        <v>20264000</v>
      </c>
      <c r="BZ124" s="101">
        <f>'State and Local P&amp;L (detailed)'!$AB$74</f>
        <v>64533979</v>
      </c>
      <c r="CA124" s="101">
        <f t="shared" si="209"/>
        <v>84797979</v>
      </c>
      <c r="CB124" s="94">
        <f>SUMIFS('Federal Data'!AM2:AM501,'Federal Data'!$G2:$G501,"Environment and Natural Resources",'Federal Data'!$D2:$D501,"Nongrant")</f>
        <v>25033000</v>
      </c>
      <c r="CC124" s="101">
        <f>'State and Local P&amp;L (detailed)'!$AC$74</f>
        <v>67505912</v>
      </c>
      <c r="CD124" s="101">
        <f t="shared" si="210"/>
        <v>92538912</v>
      </c>
      <c r="CE124" s="94">
        <f>SUMIFS('Federal Data'!AN2:AN501,'Federal Data'!$G2:$G501,"Environment and Natural Resources",'Federal Data'!$D2:$D501,"Nongrant")</f>
        <v>23682000</v>
      </c>
      <c r="CF124" s="101">
        <f>'State and Local P&amp;L (detailed)'!$AD$74</f>
        <v>78621982</v>
      </c>
      <c r="CG124" s="101">
        <f t="shared" si="211"/>
        <v>102303982</v>
      </c>
      <c r="CH124" s="94">
        <f>SUMIFS('Federal Data'!AO2:AO501,'Federal Data'!$G2:$G501,"Environment and Natural Resources",'Federal Data'!$D2:$D501,"Nongrant")</f>
        <v>23916000</v>
      </c>
      <c r="CI124" s="101">
        <f>'State and Local P&amp;L (detailed)'!$AE$74</f>
        <v>82023041</v>
      </c>
      <c r="CJ124" s="101">
        <f t="shared" si="212"/>
        <v>105939041</v>
      </c>
      <c r="CK124" s="94">
        <f>SUMIFS('Federal Data'!AP2:AP501,'Federal Data'!$G2:$G501,"Environment and Natural Resources",'Federal Data'!$D2:$D501,"Nongrant")</f>
        <v>30170000</v>
      </c>
      <c r="CL124" s="101">
        <f>'State and Local P&amp;L (detailed)'!$AF$74</f>
        <v>87078311</v>
      </c>
      <c r="CM124" s="101">
        <f t="shared" si="213"/>
        <v>117248311</v>
      </c>
      <c r="CN124" s="94">
        <f>SUMIFS('Federal Data'!AQ2:AQ501,'Federal Data'!$G2:$G501,"Environment and Natural Resources",'Federal Data'!$D2:$D501,"Nongrant")</f>
        <v>32705000</v>
      </c>
      <c r="CO124" s="101">
        <f>'State and Local P&amp;L (detailed)'!$AG$74</f>
        <v>80537810</v>
      </c>
      <c r="CP124" s="101">
        <f t="shared" si="214"/>
        <v>113242810</v>
      </c>
      <c r="CQ124" s="94">
        <f>SUMIFS('Federal Data'!AR2:AR501,'Federal Data'!$G2:$G501,"Environment and Natural Resources",'Federal Data'!$D2:$D501,"Nongrant")</f>
        <v>35292000</v>
      </c>
      <c r="CR124" s="101">
        <f>'State and Local P&amp;L (detailed)'!$AH$74</f>
        <v>75250296</v>
      </c>
      <c r="CS124" s="101">
        <f t="shared" si="215"/>
        <v>110542296</v>
      </c>
      <c r="CT124" s="94">
        <f>SUMIFS('Federal Data'!AS2:AS501,'Federal Data'!$G2:$G501,"Environment and Natural Resources",'Federal Data'!$D2:$D501,"Nongrant")</f>
        <v>31915000</v>
      </c>
      <c r="CU124" s="101">
        <f>'State and Local P&amp;L (detailed)'!$AI$74</f>
        <v>68211890</v>
      </c>
      <c r="CV124" s="101">
        <f t="shared" si="216"/>
        <v>100126890</v>
      </c>
      <c r="CW124" s="94">
        <f>SUMIFS('Federal Data'!AT2:AT501,'Federal Data'!$G2:$G501,"Environment and Natural Resources",'Federal Data'!$D2:$D501,"Nongrant")</f>
        <v>28906000</v>
      </c>
      <c r="CX124" s="101">
        <f>'State and Local P&amp;L (detailed)'!$AJ$74</f>
        <v>62617158</v>
      </c>
      <c r="CY124" s="101">
        <f t="shared" si="217"/>
        <v>91523158</v>
      </c>
      <c r="CZ124" s="94">
        <f>SUMIFS('Federal Data'!AU2:AU501,'Federal Data'!$G2:$G501,"Environment and Natural Resources",'Federal Data'!$D2:$D501,"Nongrant")</f>
        <v>27741000</v>
      </c>
      <c r="DA124" s="101">
        <f>'State and Local P&amp;L (detailed)'!$AK$74</f>
        <v>52509304.010971516</v>
      </c>
      <c r="DB124" s="101">
        <f t="shared" si="218"/>
        <v>80250304.010971516</v>
      </c>
      <c r="DC124" s="37">
        <f>SUMIFS('Federal Data'!AV2:AV501,'Federal Data'!$G2:$G501,"Environment and Natural Resources",'Federal Data'!$D2:$D501,"Nongrant")</f>
        <v>27269000</v>
      </c>
      <c r="DD124" s="85">
        <f>'State and Local P&amp;L (detailed)'!$AL$74</f>
        <v>0</v>
      </c>
      <c r="DE124" s="85">
        <f t="shared" si="219"/>
        <v>27269000</v>
      </c>
    </row>
    <row r="125" spans="1:110" outlineLevel="3">
      <c r="A125" s="31" t="s">
        <v>286</v>
      </c>
      <c r="B125" s="101" t="s">
        <v>487</v>
      </c>
      <c r="C125" s="101">
        <f>'State and Local P&amp;L (detailed)'!$C$75</f>
        <v>8341230</v>
      </c>
      <c r="D125" s="101" t="s">
        <v>487</v>
      </c>
      <c r="E125" s="101" t="s">
        <v>487</v>
      </c>
      <c r="F125" s="101">
        <f>'State and Local P&amp;L (detailed)'!$D$75</f>
        <v>9195961</v>
      </c>
      <c r="G125" s="101" t="s">
        <v>487</v>
      </c>
      <c r="H125" s="101" t="s">
        <v>487</v>
      </c>
      <c r="I125" s="101">
        <f>'State and Local P&amp;L (detailed)'!$E$75</f>
        <v>8560298</v>
      </c>
      <c r="J125" s="101" t="s">
        <v>487</v>
      </c>
      <c r="K125" s="101" t="s">
        <v>487</v>
      </c>
      <c r="L125" s="101">
        <f>'State and Local P&amp;L (detailed)'!$F$75</f>
        <v>8143290</v>
      </c>
      <c r="M125" s="101" t="s">
        <v>487</v>
      </c>
      <c r="N125" s="101" t="s">
        <v>487</v>
      </c>
      <c r="O125" s="101">
        <f>'State and Local P&amp;L (detailed)'!$G$75</f>
        <v>7642469</v>
      </c>
      <c r="P125" s="101" t="s">
        <v>487</v>
      </c>
      <c r="Q125" s="101" t="s">
        <v>487</v>
      </c>
      <c r="R125" s="101">
        <f>'State and Local P&amp;L (detailed)'!$H$75</f>
        <v>7824794</v>
      </c>
      <c r="S125" s="101" t="s">
        <v>487</v>
      </c>
      <c r="T125" s="101" t="s">
        <v>487</v>
      </c>
      <c r="U125" s="101">
        <f>'State and Local P&amp;L (detailed)'!$I$75</f>
        <v>8333331</v>
      </c>
      <c r="V125" s="101" t="s">
        <v>487</v>
      </c>
      <c r="W125" s="101" t="s">
        <v>487</v>
      </c>
      <c r="X125" s="101">
        <f>'State and Local P&amp;L (detailed)'!$J$75</f>
        <v>9495297</v>
      </c>
      <c r="Y125" s="101" t="s">
        <v>487</v>
      </c>
      <c r="Z125" s="101" t="s">
        <v>487</v>
      </c>
      <c r="AA125" s="101">
        <f>'State and Local P&amp;L (detailed)'!$K$75</f>
        <v>10196274</v>
      </c>
      <c r="AB125" s="101" t="s">
        <v>487</v>
      </c>
      <c r="AC125" s="101" t="s">
        <v>487</v>
      </c>
      <c r="AD125" s="101">
        <f>'State and Local P&amp;L (detailed)'!$L$75</f>
        <v>10610364</v>
      </c>
      <c r="AE125" s="101" t="s">
        <v>487</v>
      </c>
      <c r="AF125" s="101" t="s">
        <v>487</v>
      </c>
      <c r="AG125" s="101">
        <f>'State and Local P&amp;L (detailed)'!$M$75</f>
        <v>10805485</v>
      </c>
      <c r="AH125" s="101" t="s">
        <v>487</v>
      </c>
      <c r="AI125" s="101" t="s">
        <v>487</v>
      </c>
      <c r="AJ125" s="101">
        <f>'State and Local P&amp;L (detailed)'!$N$75</f>
        <v>11409979</v>
      </c>
      <c r="AK125" s="101" t="s">
        <v>487</v>
      </c>
      <c r="AL125" s="101" t="s">
        <v>487</v>
      </c>
      <c r="AM125" s="101">
        <f>'State and Local P&amp;L (detailed)'!$O$75</f>
        <v>11249244</v>
      </c>
      <c r="AN125" s="101" t="s">
        <v>487</v>
      </c>
      <c r="AO125" s="101" t="s">
        <v>487</v>
      </c>
      <c r="AP125" s="101">
        <f>'State and Local P&amp;L (detailed)'!$P$75</f>
        <v>12311045</v>
      </c>
      <c r="AQ125" s="101" t="s">
        <v>487</v>
      </c>
      <c r="AR125" s="101" t="s">
        <v>487</v>
      </c>
      <c r="AS125" s="101">
        <f>'State and Local P&amp;L (detailed)'!$Q$75</f>
        <v>9154626</v>
      </c>
      <c r="AT125" s="101" t="s">
        <v>487</v>
      </c>
      <c r="AU125" s="101" t="s">
        <v>487</v>
      </c>
      <c r="AV125" s="101">
        <f>'State and Local P&amp;L (detailed)'!$R$75</f>
        <v>10213734</v>
      </c>
      <c r="AW125" s="101" t="s">
        <v>487</v>
      </c>
      <c r="AX125" s="101" t="s">
        <v>487</v>
      </c>
      <c r="AY125" s="101">
        <f>'State and Local P&amp;L (detailed)'!$S$75</f>
        <v>9278426</v>
      </c>
      <c r="AZ125" s="101" t="s">
        <v>487</v>
      </c>
      <c r="BA125" s="101" t="s">
        <v>487</v>
      </c>
      <c r="BB125" s="101">
        <f>'State and Local P&amp;L (detailed)'!$T$75</f>
        <v>10098444</v>
      </c>
      <c r="BC125" s="101" t="s">
        <v>487</v>
      </c>
      <c r="BD125" s="101" t="s">
        <v>487</v>
      </c>
      <c r="BE125" s="101">
        <f>'State and Local P&amp;L (detailed)'!$U$75</f>
        <v>9430530</v>
      </c>
      <c r="BF125" s="101" t="s">
        <v>487</v>
      </c>
      <c r="BG125" s="101" t="s">
        <v>487</v>
      </c>
      <c r="BH125" s="101">
        <f>'State and Local P&amp;L (detailed)'!$V$75</f>
        <v>9412339</v>
      </c>
      <c r="BI125" s="101" t="s">
        <v>487</v>
      </c>
      <c r="BJ125" s="101" t="s">
        <v>487</v>
      </c>
      <c r="BK125" s="101">
        <f>'State and Local P&amp;L (detailed)'!$W$75</f>
        <v>10724713</v>
      </c>
      <c r="BL125" s="101" t="s">
        <v>487</v>
      </c>
      <c r="BM125" s="101" t="s">
        <v>487</v>
      </c>
      <c r="BN125" s="101">
        <f>'State and Local P&amp;L (detailed)'!$X$75</f>
        <v>9922620</v>
      </c>
      <c r="BO125" s="101" t="s">
        <v>487</v>
      </c>
      <c r="BP125" s="101" t="s">
        <v>487</v>
      </c>
      <c r="BQ125" s="101">
        <f>'State and Local P&amp;L (detailed)'!$Y$75</f>
        <v>12004103</v>
      </c>
      <c r="BR125" s="101" t="s">
        <v>487</v>
      </c>
      <c r="BS125" s="101" t="s">
        <v>487</v>
      </c>
      <c r="BT125" s="101">
        <f>'State and Local P&amp;L (detailed)'!$Z$75</f>
        <v>11926725</v>
      </c>
      <c r="BU125" s="101" t="s">
        <v>487</v>
      </c>
      <c r="BV125" s="101" t="s">
        <v>487</v>
      </c>
      <c r="BW125" s="101">
        <f>'State and Local P&amp;L (detailed)'!$AA$75</f>
        <v>13397142</v>
      </c>
      <c r="BX125" s="101" t="s">
        <v>487</v>
      </c>
      <c r="BY125" s="101" t="s">
        <v>487</v>
      </c>
      <c r="BZ125" s="101">
        <f>'State and Local P&amp;L (detailed)'!$AB$75</f>
        <v>13459669</v>
      </c>
      <c r="CA125" s="101" t="s">
        <v>487</v>
      </c>
      <c r="CB125" s="101" t="s">
        <v>487</v>
      </c>
      <c r="CC125" s="101">
        <f>'State and Local P&amp;L (detailed)'!$AC$75</f>
        <v>14445095</v>
      </c>
      <c r="CD125" s="101" t="s">
        <v>487</v>
      </c>
      <c r="CE125" s="101" t="s">
        <v>487</v>
      </c>
      <c r="CF125" s="101">
        <f>'State and Local P&amp;L (detailed)'!$AD$75</f>
        <v>16243556</v>
      </c>
      <c r="CG125" s="101" t="s">
        <v>487</v>
      </c>
      <c r="CH125" s="101" t="s">
        <v>487</v>
      </c>
      <c r="CI125" s="101">
        <f>'State and Local P&amp;L (detailed)'!$AE$75</f>
        <v>16991980</v>
      </c>
      <c r="CJ125" s="101" t="s">
        <v>487</v>
      </c>
      <c r="CK125" s="101" t="s">
        <v>487</v>
      </c>
      <c r="CL125" s="101">
        <f>'State and Local P&amp;L (detailed)'!$AF$75</f>
        <v>17985610</v>
      </c>
      <c r="CM125" s="101" t="s">
        <v>487</v>
      </c>
      <c r="CN125" s="101" t="s">
        <v>487</v>
      </c>
      <c r="CO125" s="101">
        <f>'State and Local P&amp;L (detailed)'!$AG$75</f>
        <v>16410439</v>
      </c>
      <c r="CP125" s="101" t="s">
        <v>487</v>
      </c>
      <c r="CQ125" s="101" t="s">
        <v>487</v>
      </c>
      <c r="CR125" s="101">
        <f>'State and Local P&amp;L (detailed)'!$AH$75</f>
        <v>15415085</v>
      </c>
      <c r="CS125" s="101" t="s">
        <v>487</v>
      </c>
      <c r="CT125" s="101" t="s">
        <v>487</v>
      </c>
      <c r="CU125" s="101">
        <f>'State and Local P&amp;L (detailed)'!$AI$75</f>
        <v>11980227</v>
      </c>
      <c r="CV125" s="101" t="s">
        <v>487</v>
      </c>
      <c r="CW125" s="101" t="s">
        <v>487</v>
      </c>
      <c r="CX125" s="101">
        <f>'State and Local P&amp;L (detailed)'!$AJ$75</f>
        <v>8964158</v>
      </c>
      <c r="CY125" s="101" t="s">
        <v>487</v>
      </c>
      <c r="CZ125" s="101" t="s">
        <v>487</v>
      </c>
      <c r="DA125" s="101">
        <f>'State and Local P&amp;L (detailed)'!$AK$75</f>
        <v>5859147</v>
      </c>
      <c r="DB125" s="101" t="s">
        <v>487</v>
      </c>
      <c r="DC125" s="85" t="s">
        <v>487</v>
      </c>
      <c r="DD125" s="85">
        <f>'State and Local P&amp;L (detailed)'!$AL$75</f>
        <v>0</v>
      </c>
      <c r="DE125" s="85" t="s">
        <v>487</v>
      </c>
      <c r="DF125" s="85"/>
    </row>
    <row r="126" spans="1:110" outlineLevel="3">
      <c r="A126" s="31" t="s">
        <v>287</v>
      </c>
      <c r="B126" s="101" t="s">
        <v>487</v>
      </c>
      <c r="C126" s="101">
        <f>'State and Local P&amp;L (detailed)'!$C$76</f>
        <v>1440828</v>
      </c>
      <c r="D126" s="101" t="s">
        <v>487</v>
      </c>
      <c r="E126" s="101" t="s">
        <v>487</v>
      </c>
      <c r="F126" s="101">
        <f>'State and Local P&amp;L (detailed)'!$D$76</f>
        <v>1722163</v>
      </c>
      <c r="G126" s="101" t="s">
        <v>487</v>
      </c>
      <c r="H126" s="101" t="s">
        <v>487</v>
      </c>
      <c r="I126" s="101">
        <f>'State and Local P&amp;L (detailed)'!$E$76</f>
        <v>1660730</v>
      </c>
      <c r="J126" s="101" t="s">
        <v>487</v>
      </c>
      <c r="K126" s="101" t="s">
        <v>487</v>
      </c>
      <c r="L126" s="101">
        <f>'State and Local P&amp;L (detailed)'!$F$76</f>
        <v>1428280</v>
      </c>
      <c r="M126" s="101" t="s">
        <v>487</v>
      </c>
      <c r="N126" s="101" t="s">
        <v>487</v>
      </c>
      <c r="O126" s="101">
        <f>'State and Local P&amp;L (detailed)'!$G$76</f>
        <v>447131</v>
      </c>
      <c r="P126" s="101" t="s">
        <v>487</v>
      </c>
      <c r="Q126" s="101" t="s">
        <v>487</v>
      </c>
      <c r="R126" s="101">
        <f>'State and Local P&amp;L (detailed)'!$H$76</f>
        <v>508053</v>
      </c>
      <c r="S126" s="101" t="s">
        <v>487</v>
      </c>
      <c r="T126" s="101" t="s">
        <v>487</v>
      </c>
      <c r="U126" s="101">
        <f>'State and Local P&amp;L (detailed)'!$I$76</f>
        <v>952585</v>
      </c>
      <c r="V126" s="101" t="s">
        <v>487</v>
      </c>
      <c r="W126" s="101" t="s">
        <v>487</v>
      </c>
      <c r="X126" s="101">
        <f>'State and Local P&amp;L (detailed)'!$J$76</f>
        <v>1696942</v>
      </c>
      <c r="Y126" s="101" t="s">
        <v>487</v>
      </c>
      <c r="Z126" s="101" t="s">
        <v>487</v>
      </c>
      <c r="AA126" s="101">
        <f>'State and Local P&amp;L (detailed)'!$K$76</f>
        <v>1096065</v>
      </c>
      <c r="AB126" s="101" t="s">
        <v>487</v>
      </c>
      <c r="AC126" s="101" t="s">
        <v>487</v>
      </c>
      <c r="AD126" s="101">
        <f>'State and Local P&amp;L (detailed)'!$L$76</f>
        <v>1019580</v>
      </c>
      <c r="AE126" s="101" t="s">
        <v>487</v>
      </c>
      <c r="AF126" s="101" t="s">
        <v>487</v>
      </c>
      <c r="AG126" s="101">
        <f>'State and Local P&amp;L (detailed)'!$M$76</f>
        <v>1522909</v>
      </c>
      <c r="AH126" s="101" t="s">
        <v>487</v>
      </c>
      <c r="AI126" s="101" t="s">
        <v>487</v>
      </c>
      <c r="AJ126" s="101">
        <f>'State and Local P&amp;L (detailed)'!$N$76</f>
        <v>2455623</v>
      </c>
      <c r="AK126" s="101" t="s">
        <v>487</v>
      </c>
      <c r="AL126" s="101" t="s">
        <v>487</v>
      </c>
      <c r="AM126" s="101">
        <f>'State and Local P&amp;L (detailed)'!$O$76</f>
        <v>2089384</v>
      </c>
      <c r="AN126" s="101" t="s">
        <v>487</v>
      </c>
      <c r="AO126" s="101" t="s">
        <v>487</v>
      </c>
      <c r="AP126" s="101">
        <f>'State and Local P&amp;L (detailed)'!$P$76</f>
        <v>578261</v>
      </c>
      <c r="AQ126" s="101" t="s">
        <v>487</v>
      </c>
      <c r="AR126" s="101" t="s">
        <v>487</v>
      </c>
      <c r="AS126" s="101">
        <f>'State and Local P&amp;L (detailed)'!$Q$76</f>
        <v>295709</v>
      </c>
      <c r="AT126" s="101" t="s">
        <v>487</v>
      </c>
      <c r="AU126" s="101" t="s">
        <v>487</v>
      </c>
      <c r="AV126" s="101">
        <f>'State and Local P&amp;L (detailed)'!$R$76</f>
        <v>543110</v>
      </c>
      <c r="AW126" s="101" t="s">
        <v>487</v>
      </c>
      <c r="AX126" s="101" t="s">
        <v>487</v>
      </c>
      <c r="AY126" s="101">
        <f>'State and Local P&amp;L (detailed)'!$S$76</f>
        <v>-396673</v>
      </c>
      <c r="AZ126" s="101" t="s">
        <v>487</v>
      </c>
      <c r="BA126" s="101" t="s">
        <v>487</v>
      </c>
      <c r="BB126" s="101">
        <f>'State and Local P&amp;L (detailed)'!$T$76</f>
        <v>223742</v>
      </c>
      <c r="BC126" s="101" t="s">
        <v>487</v>
      </c>
      <c r="BD126" s="101" t="s">
        <v>487</v>
      </c>
      <c r="BE126" s="101">
        <f>'State and Local P&amp;L (detailed)'!$U$76</f>
        <v>338715</v>
      </c>
      <c r="BF126" s="101" t="s">
        <v>487</v>
      </c>
      <c r="BG126" s="101" t="s">
        <v>487</v>
      </c>
      <c r="BH126" s="101">
        <f>'State and Local P&amp;L (detailed)'!$V$76</f>
        <v>782042</v>
      </c>
      <c r="BI126" s="101" t="s">
        <v>487</v>
      </c>
      <c r="BJ126" s="101" t="s">
        <v>487</v>
      </c>
      <c r="BK126" s="101">
        <f>'State and Local P&amp;L (detailed)'!$W$76</f>
        <v>625076</v>
      </c>
      <c r="BL126" s="101" t="s">
        <v>487</v>
      </c>
      <c r="BM126" s="101" t="s">
        <v>487</v>
      </c>
      <c r="BN126" s="101">
        <f>'State and Local P&amp;L (detailed)'!$X$76</f>
        <v>1258363</v>
      </c>
      <c r="BO126" s="101" t="s">
        <v>487</v>
      </c>
      <c r="BP126" s="101" t="s">
        <v>487</v>
      </c>
      <c r="BQ126" s="101">
        <f>'State and Local P&amp;L (detailed)'!$Y$76</f>
        <v>2296164</v>
      </c>
      <c r="BR126" s="101" t="s">
        <v>487</v>
      </c>
      <c r="BS126" s="101" t="s">
        <v>487</v>
      </c>
      <c r="BT126" s="101">
        <f>'State and Local P&amp;L (detailed)'!$Z$76</f>
        <v>3352783</v>
      </c>
      <c r="BU126" s="101" t="s">
        <v>487</v>
      </c>
      <c r="BV126" s="101" t="s">
        <v>487</v>
      </c>
      <c r="BW126" s="101">
        <f>'State and Local P&amp;L (detailed)'!$AA$76</f>
        <v>3105898</v>
      </c>
      <c r="BX126" s="101" t="s">
        <v>487</v>
      </c>
      <c r="BY126" s="101" t="s">
        <v>487</v>
      </c>
      <c r="BZ126" s="101">
        <f>'State and Local P&amp;L (detailed)'!$AB$76</f>
        <v>3566383</v>
      </c>
      <c r="CA126" s="101" t="s">
        <v>487</v>
      </c>
      <c r="CB126" s="101" t="s">
        <v>487</v>
      </c>
      <c r="CC126" s="101">
        <f>'State and Local P&amp;L (detailed)'!$AC$76</f>
        <v>2667558</v>
      </c>
      <c r="CD126" s="101" t="s">
        <v>487</v>
      </c>
      <c r="CE126" s="101" t="s">
        <v>487</v>
      </c>
      <c r="CF126" s="101">
        <f>'State and Local P&amp;L (detailed)'!$AD$76</f>
        <v>4990622</v>
      </c>
      <c r="CG126" s="101" t="s">
        <v>487</v>
      </c>
      <c r="CH126" s="101" t="s">
        <v>487</v>
      </c>
      <c r="CI126" s="101">
        <f>'State and Local P&amp;L (detailed)'!$AE$76</f>
        <v>4262671</v>
      </c>
      <c r="CJ126" s="101" t="s">
        <v>487</v>
      </c>
      <c r="CK126" s="101" t="s">
        <v>487</v>
      </c>
      <c r="CL126" s="101">
        <f>'State and Local P&amp;L (detailed)'!$AF$76</f>
        <v>6572650</v>
      </c>
      <c r="CM126" s="101" t="s">
        <v>487</v>
      </c>
      <c r="CN126" s="101" t="s">
        <v>487</v>
      </c>
      <c r="CO126" s="101">
        <f>'State and Local P&amp;L (detailed)'!$AG$76</f>
        <v>4775891</v>
      </c>
      <c r="CP126" s="101" t="s">
        <v>487</v>
      </c>
      <c r="CQ126" s="101" t="s">
        <v>487</v>
      </c>
      <c r="CR126" s="101">
        <f>'State and Local P&amp;L (detailed)'!$AH$76</f>
        <v>2142024</v>
      </c>
      <c r="CS126" s="101" t="s">
        <v>487</v>
      </c>
      <c r="CT126" s="101" t="s">
        <v>487</v>
      </c>
      <c r="CU126" s="101">
        <f>'State and Local P&amp;L (detailed)'!$AI$76</f>
        <v>-471360</v>
      </c>
      <c r="CV126" s="101" t="s">
        <v>487</v>
      </c>
      <c r="CW126" s="101" t="s">
        <v>487</v>
      </c>
      <c r="CX126" s="101">
        <f>'State and Local P&amp;L (detailed)'!$AJ$76</f>
        <v>-1887657</v>
      </c>
      <c r="CY126" s="101" t="s">
        <v>487</v>
      </c>
      <c r="CZ126" s="101" t="s">
        <v>487</v>
      </c>
      <c r="DA126" s="101">
        <f>'State and Local P&amp;L (detailed)'!$AK$76</f>
        <v>-1835919</v>
      </c>
      <c r="DB126" s="101" t="s">
        <v>487</v>
      </c>
      <c r="DC126" s="85" t="s">
        <v>487</v>
      </c>
      <c r="DD126" s="85">
        <f>'State and Local P&amp;L (detailed)'!$AL$76</f>
        <v>0</v>
      </c>
      <c r="DE126" s="85" t="s">
        <v>487</v>
      </c>
      <c r="DF126" s="85"/>
    </row>
    <row r="127" spans="1:110" outlineLevel="3">
      <c r="A127" s="31" t="s">
        <v>133</v>
      </c>
      <c r="B127" s="101" t="s">
        <v>487</v>
      </c>
      <c r="C127" s="101">
        <f>'State and Local P&amp;L (detailed)'!$C$77</f>
        <v>8888131</v>
      </c>
      <c r="D127" s="101" t="s">
        <v>487</v>
      </c>
      <c r="E127" s="101" t="s">
        <v>487</v>
      </c>
      <c r="F127" s="101">
        <f>'State and Local P&amp;L (detailed)'!$D$77</f>
        <v>9646984</v>
      </c>
      <c r="G127" s="101" t="s">
        <v>487</v>
      </c>
      <c r="H127" s="101" t="s">
        <v>487</v>
      </c>
      <c r="I127" s="101">
        <f>'State and Local P&amp;L (detailed)'!$E$77</f>
        <v>10123193</v>
      </c>
      <c r="J127" s="101" t="s">
        <v>487</v>
      </c>
      <c r="K127" s="101" t="s">
        <v>487</v>
      </c>
      <c r="L127" s="101">
        <f>'State and Local P&amp;L (detailed)'!$F$77</f>
        <v>10880344</v>
      </c>
      <c r="M127" s="101" t="s">
        <v>487</v>
      </c>
      <c r="N127" s="101" t="s">
        <v>487</v>
      </c>
      <c r="O127" s="101">
        <f>'State and Local P&amp;L (detailed)'!$G$77</f>
        <v>11215110</v>
      </c>
      <c r="P127" s="101" t="s">
        <v>487</v>
      </c>
      <c r="Q127" s="101" t="s">
        <v>487</v>
      </c>
      <c r="R127" s="101">
        <f>'State and Local P&amp;L (detailed)'!$H$77</f>
        <v>12544058</v>
      </c>
      <c r="S127" s="101" t="s">
        <v>487</v>
      </c>
      <c r="T127" s="101" t="s">
        <v>487</v>
      </c>
      <c r="U127" s="101">
        <f>'State and Local P&amp;L (detailed)'!$I$77</f>
        <v>13937646</v>
      </c>
      <c r="V127" s="101" t="s">
        <v>487</v>
      </c>
      <c r="W127" s="101" t="s">
        <v>487</v>
      </c>
      <c r="X127" s="101">
        <f>'State and Local P&amp;L (detailed)'!$J$77</f>
        <v>15212226</v>
      </c>
      <c r="Y127" s="101" t="s">
        <v>487</v>
      </c>
      <c r="Z127" s="101" t="s">
        <v>487</v>
      </c>
      <c r="AA127" s="101">
        <f>'State and Local P&amp;L (detailed)'!$K$77</f>
        <v>15915695</v>
      </c>
      <c r="AB127" s="101" t="s">
        <v>487</v>
      </c>
      <c r="AC127" s="101" t="s">
        <v>487</v>
      </c>
      <c r="AD127" s="101">
        <f>'State and Local P&amp;L (detailed)'!$L$77</f>
        <v>17214294</v>
      </c>
      <c r="AE127" s="101" t="s">
        <v>487</v>
      </c>
      <c r="AF127" s="101" t="s">
        <v>487</v>
      </c>
      <c r="AG127" s="101">
        <f>'State and Local P&amp;L (detailed)'!$M$77</f>
        <v>19358659</v>
      </c>
      <c r="AH127" s="101" t="s">
        <v>487</v>
      </c>
      <c r="AI127" s="101" t="s">
        <v>487</v>
      </c>
      <c r="AJ127" s="101">
        <f>'State and Local P&amp;L (detailed)'!$N$77</f>
        <v>20826279</v>
      </c>
      <c r="AK127" s="101" t="s">
        <v>487</v>
      </c>
      <c r="AL127" s="101" t="s">
        <v>487</v>
      </c>
      <c r="AM127" s="101">
        <f>'State and Local P&amp;L (detailed)'!$O$77</f>
        <v>20760870</v>
      </c>
      <c r="AN127" s="101" t="s">
        <v>487</v>
      </c>
      <c r="AO127" s="101" t="s">
        <v>487</v>
      </c>
      <c r="AP127" s="101">
        <f>'State and Local P&amp;L (detailed)'!$P$77</f>
        <v>20933170</v>
      </c>
      <c r="AQ127" s="101" t="s">
        <v>487</v>
      </c>
      <c r="AR127" s="101" t="s">
        <v>487</v>
      </c>
      <c r="AS127" s="101">
        <f>'State and Local P&amp;L (detailed)'!$Q$77</f>
        <v>21988630</v>
      </c>
      <c r="AT127" s="101" t="s">
        <v>487</v>
      </c>
      <c r="AU127" s="101" t="s">
        <v>487</v>
      </c>
      <c r="AV127" s="101">
        <f>'State and Local P&amp;L (detailed)'!$R$77</f>
        <v>24037184</v>
      </c>
      <c r="AW127" s="101" t="s">
        <v>487</v>
      </c>
      <c r="AX127" s="101" t="s">
        <v>487</v>
      </c>
      <c r="AY127" s="101">
        <f>'State and Local P&amp;L (detailed)'!$S$77</f>
        <v>25498532</v>
      </c>
      <c r="AZ127" s="101" t="s">
        <v>487</v>
      </c>
      <c r="BA127" s="101" t="s">
        <v>487</v>
      </c>
      <c r="BB127" s="101">
        <f>'State and Local P&amp;L (detailed)'!$T$77</f>
        <v>27289210</v>
      </c>
      <c r="BC127" s="101" t="s">
        <v>487</v>
      </c>
      <c r="BD127" s="101" t="s">
        <v>487</v>
      </c>
      <c r="BE127" s="101">
        <f>'State and Local P&amp;L (detailed)'!$U$77</f>
        <v>29171770</v>
      </c>
      <c r="BF127" s="101" t="s">
        <v>487</v>
      </c>
      <c r="BG127" s="101" t="s">
        <v>487</v>
      </c>
      <c r="BH127" s="101">
        <f>'State and Local P&amp;L (detailed)'!$V$77</f>
        <v>30429648</v>
      </c>
      <c r="BI127" s="101" t="s">
        <v>487</v>
      </c>
      <c r="BJ127" s="101" t="s">
        <v>487</v>
      </c>
      <c r="BK127" s="101">
        <f>'State and Local P&amp;L (detailed)'!$W$77</f>
        <v>32901032</v>
      </c>
      <c r="BL127" s="101" t="s">
        <v>487</v>
      </c>
      <c r="BM127" s="101" t="s">
        <v>487</v>
      </c>
      <c r="BN127" s="101">
        <f>'State and Local P&amp;L (detailed)'!$X$77</f>
        <v>37273323</v>
      </c>
      <c r="BO127" s="101" t="s">
        <v>487</v>
      </c>
      <c r="BP127" s="101" t="s">
        <v>487</v>
      </c>
      <c r="BQ127" s="101">
        <f>'State and Local P&amp;L (detailed)'!$Y$77</f>
        <v>38857090</v>
      </c>
      <c r="BR127" s="101" t="s">
        <v>487</v>
      </c>
      <c r="BS127" s="101" t="s">
        <v>487</v>
      </c>
      <c r="BT127" s="101">
        <f>'State and Local P&amp;L (detailed)'!$Z$77</f>
        <v>38855614</v>
      </c>
      <c r="BU127" s="101" t="s">
        <v>487</v>
      </c>
      <c r="BV127" s="101" t="s">
        <v>487</v>
      </c>
      <c r="BW127" s="101">
        <f>'State and Local P&amp;L (detailed)'!$AA$77</f>
        <v>39879746</v>
      </c>
      <c r="BX127" s="101" t="s">
        <v>487</v>
      </c>
      <c r="BY127" s="101" t="s">
        <v>487</v>
      </c>
      <c r="BZ127" s="101">
        <f>'State and Local P&amp;L (detailed)'!$AB$77</f>
        <v>41906654.619230531</v>
      </c>
      <c r="CA127" s="101" t="s">
        <v>487</v>
      </c>
      <c r="CB127" s="101" t="s">
        <v>487</v>
      </c>
      <c r="CC127" s="101">
        <f>'State and Local P&amp;L (detailed)'!$AC$77</f>
        <v>44764332.238461055</v>
      </c>
      <c r="CD127" s="101" t="s">
        <v>487</v>
      </c>
      <c r="CE127" s="101" t="s">
        <v>487</v>
      </c>
      <c r="CF127" s="101">
        <f>'State and Local P&amp;L (detailed)'!$AD$77</f>
        <v>51731222.857691586</v>
      </c>
      <c r="CG127" s="101" t="s">
        <v>487</v>
      </c>
      <c r="CH127" s="101" t="s">
        <v>487</v>
      </c>
      <c r="CI127" s="101">
        <f>'State and Local P&amp;L (detailed)'!$AE$77</f>
        <v>55084154.476922117</v>
      </c>
      <c r="CJ127" s="101" t="s">
        <v>487</v>
      </c>
      <c r="CK127" s="101" t="s">
        <v>487</v>
      </c>
      <c r="CL127" s="101">
        <f>'State and Local P&amp;L (detailed)'!$AF$77</f>
        <v>56808161.096152648</v>
      </c>
      <c r="CM127" s="101" t="s">
        <v>487</v>
      </c>
      <c r="CN127" s="101" t="s">
        <v>487</v>
      </c>
      <c r="CO127" s="101">
        <f>'State and Local P&amp;L (detailed)'!$AG$77</f>
        <v>53611935.715383172</v>
      </c>
      <c r="CP127" s="101" t="s">
        <v>487</v>
      </c>
      <c r="CQ127" s="101" t="s">
        <v>487</v>
      </c>
      <c r="CR127" s="101">
        <f>'State and Local P&amp;L (detailed)'!$AH$77</f>
        <v>51925988.334613703</v>
      </c>
      <c r="CS127" s="101" t="s">
        <v>487</v>
      </c>
      <c r="CT127" s="101" t="s">
        <v>487</v>
      </c>
      <c r="CU127" s="101">
        <f>'State and Local P&amp;L (detailed)'!$AI$77</f>
        <v>50908169.953844234</v>
      </c>
      <c r="CV127" s="101" t="s">
        <v>487</v>
      </c>
      <c r="CW127" s="101" t="s">
        <v>487</v>
      </c>
      <c r="CX127" s="101">
        <f>'State and Local P&amp;L (detailed)'!$AJ$77</f>
        <v>49718149.573074758</v>
      </c>
      <c r="CY127" s="101" t="s">
        <v>487</v>
      </c>
      <c r="CZ127" s="101" t="s">
        <v>487</v>
      </c>
      <c r="DA127" s="101">
        <f>'State and Local P&amp;L (detailed)'!$AK$77</f>
        <v>48486076.010971516</v>
      </c>
      <c r="DB127" s="101" t="s">
        <v>487</v>
      </c>
      <c r="DC127" s="85" t="s">
        <v>487</v>
      </c>
      <c r="DD127" s="85">
        <f>'State and Local P&amp;L (detailed)'!$AL$77</f>
        <v>0</v>
      </c>
      <c r="DE127" s="85" t="s">
        <v>487</v>
      </c>
      <c r="DF127" s="85"/>
    </row>
    <row r="128" spans="1:110" outlineLevel="2">
      <c r="A128" s="29" t="s">
        <v>50</v>
      </c>
      <c r="B128" s="94">
        <f>SUMIFS('Federal Data'!M2:M501,'Federal Data'!$G2:$G501,"Agriculture",'Federal Data'!$D2:$D501,"Nongrant")</f>
        <v>8204562</v>
      </c>
      <c r="C128" s="101">
        <f>'State and Local P&amp;L (detailed)'!$C$78</f>
        <v>1762502</v>
      </c>
      <c r="D128" s="101">
        <f>SUM(B128:C128)</f>
        <v>9967064</v>
      </c>
      <c r="E128" s="94">
        <f>SUMIFS('Federal Data'!N2:N501,'Federal Data'!$G2:$G501,"Agriculture",'Federal Data'!$D2:$D501,"Nongrant")</f>
        <v>10411434</v>
      </c>
      <c r="F128" s="101">
        <f>'State and Local P&amp;L (detailed)'!$D$78</f>
        <v>1989315</v>
      </c>
      <c r="G128" s="101">
        <f>SUM(E128:F128)</f>
        <v>12400749</v>
      </c>
      <c r="H128" s="94">
        <f>SUMIFS('Federal Data'!O2:O501,'Federal Data'!$G2:$G501,"Agriculture",'Federal Data'!$D2:$D501,"Nongrant")</f>
        <v>14880603</v>
      </c>
      <c r="I128" s="101">
        <f>'State and Local P&amp;L (detailed)'!$E$78</f>
        <v>2165682</v>
      </c>
      <c r="J128" s="101">
        <f>SUM(H128:I128)</f>
        <v>17046285</v>
      </c>
      <c r="K128" s="94">
        <f>SUMIFS('Federal Data'!P2:P501,'Federal Data'!$G2:$G501,"Agriculture",'Federal Data'!$D2:$D501,"Nongrant")</f>
        <v>20991423</v>
      </c>
      <c r="L128" s="101">
        <f>'State and Local P&amp;L (detailed)'!$F$78</f>
        <v>2269488</v>
      </c>
      <c r="M128" s="101">
        <f>SUM(K128:L128)</f>
        <v>23260911</v>
      </c>
      <c r="N128" s="94">
        <f>SUMIFS('Federal Data'!Q2:Q501,'Federal Data'!$G2:$G501,"Agriculture",'Federal Data'!$D2:$D501,"Nongrant")</f>
        <v>11694181</v>
      </c>
      <c r="O128" s="101">
        <f>'State and Local P&amp;L (detailed)'!$G$78</f>
        <v>2368692</v>
      </c>
      <c r="P128" s="101">
        <f>SUM(N128:O128)</f>
        <v>14062873</v>
      </c>
      <c r="Q128" s="94">
        <f>SUMIFS('Federal Data'!R2:R501,'Federal Data'!$G2:$G501,"Agriculture",'Federal Data'!$D2:$D501,"Nongrant")</f>
        <v>23056218</v>
      </c>
      <c r="R128" s="101">
        <f>'State and Local P&amp;L (detailed)'!$H$78</f>
        <v>2572956</v>
      </c>
      <c r="S128" s="101">
        <f>SUM(Q128:R128)</f>
        <v>25629174</v>
      </c>
      <c r="T128" s="94">
        <f>SUMIFS('Federal Data'!S2:S501,'Federal Data'!$G2:$G501,"Agriculture",'Federal Data'!$D2:$D501,"Nongrant")</f>
        <v>29436798</v>
      </c>
      <c r="U128" s="101">
        <f>'State and Local P&amp;L (detailed)'!$I$78</f>
        <v>2786168</v>
      </c>
      <c r="V128" s="101">
        <f>SUM(T128:U128)</f>
        <v>32222966</v>
      </c>
      <c r="W128" s="94">
        <f>SUMIFS('Federal Data'!T2:T501,'Federal Data'!$G2:$G501,"Agriculture",'Federal Data'!$D2:$D501,"Nongrant")</f>
        <v>24420384</v>
      </c>
      <c r="X128" s="101">
        <f>'State and Local P&amp;L (detailed)'!$J$78</f>
        <v>2988594</v>
      </c>
      <c r="Y128" s="101">
        <f>SUM(W128:X128)</f>
        <v>27408978</v>
      </c>
      <c r="Z128" s="94">
        <f>SUMIFS('Federal Data'!U2:U501,'Federal Data'!$G2:$G501,"Agriculture",'Federal Data'!$D2:$D501,"Nongrant")</f>
        <v>15067913</v>
      </c>
      <c r="AA128" s="101">
        <f>'State and Local P&amp;L (detailed)'!$K$78</f>
        <v>3010051</v>
      </c>
      <c r="AB128" s="101">
        <f>SUM(Z128:AA128)</f>
        <v>18077964</v>
      </c>
      <c r="AC128" s="94">
        <f>SUMIFS('Federal Data'!V2:V501,'Federal Data'!$G2:$G501,"Agriculture",'Federal Data'!$D2:$D501,"Nongrant")</f>
        <v>15499950</v>
      </c>
      <c r="AD128" s="101">
        <f>'State and Local P&amp;L (detailed)'!$L$78</f>
        <v>3241643</v>
      </c>
      <c r="AE128" s="101">
        <f>SUM(AC128:AD128)</f>
        <v>18741593</v>
      </c>
      <c r="AF128" s="94">
        <f>SUMIFS('Federal Data'!W2:W501,'Federal Data'!$G2:$G501,"Agriculture",'Federal Data'!$D2:$D501,"Nongrant")</f>
        <v>10519292</v>
      </c>
      <c r="AG128" s="101">
        <f>'State and Local P&amp;L (detailed)'!$M$78</f>
        <v>3531681</v>
      </c>
      <c r="AH128" s="101">
        <f>SUM(AF128:AG128)</f>
        <v>14050973</v>
      </c>
      <c r="AI128" s="94">
        <f>SUMIFS('Federal Data'!X2:X501,'Federal Data'!$G2:$G501,"Agriculture",'Federal Data'!$D2:$D501,"Nongrant")</f>
        <v>13834240</v>
      </c>
      <c r="AJ128" s="101">
        <f>'State and Local P&amp;L (detailed)'!$N$78</f>
        <v>3635682</v>
      </c>
      <c r="AK128" s="101">
        <f>SUM(AI128:AJ128)</f>
        <v>17469922</v>
      </c>
      <c r="AL128" s="94">
        <f>SUMIFS('Federal Data'!Y2:Y501,'Federal Data'!$G2:$G501,"Agriculture",'Federal Data'!$D2:$D501,"Nongrant")</f>
        <v>13945063</v>
      </c>
      <c r="AM128" s="101">
        <f>'State and Local P&amp;L (detailed)'!$O$78</f>
        <v>3653091</v>
      </c>
      <c r="AN128" s="101">
        <f>SUM(AL128:AM128)</f>
        <v>17598154</v>
      </c>
      <c r="AO128" s="94">
        <f>SUMIFS('Federal Data'!Z2:Z501,'Federal Data'!$G2:$G501,"Agriculture",'Federal Data'!$D2:$D501,"Nongrant")</f>
        <v>19127646</v>
      </c>
      <c r="AP128" s="101">
        <f>'State and Local P&amp;L (detailed)'!$P$78</f>
        <v>3749822</v>
      </c>
      <c r="AQ128" s="101">
        <f>SUM(AO128:AP128)</f>
        <v>22877468</v>
      </c>
      <c r="AR128" s="94">
        <f>SUMIFS('Federal Data'!AA2:AA501,'Federal Data'!$G2:$G501,"Agriculture",'Federal Data'!$D2:$D501,"Nongrant")</f>
        <v>13977354</v>
      </c>
      <c r="AS128" s="101">
        <f>'State and Local P&amp;L (detailed)'!$Q$78</f>
        <v>3795151</v>
      </c>
      <c r="AT128" s="101">
        <f>SUM(AR128:AS128)</f>
        <v>17772505</v>
      </c>
      <c r="AU128" s="94">
        <f>SUMIFS('Federal Data'!AB2:AB501,'Federal Data'!$G2:$G501,"Agriculture",'Federal Data'!$D2:$D501,"Nongrant")</f>
        <v>8891000</v>
      </c>
      <c r="AV128" s="101">
        <f>'State and Local P&amp;L (detailed)'!$R$78</f>
        <v>3866808</v>
      </c>
      <c r="AW128" s="101">
        <f>SUM(AU128:AV128)</f>
        <v>12757808</v>
      </c>
      <c r="AX128" s="94">
        <f>SUMIFS('Federal Data'!AC2:AC501,'Federal Data'!$G2:$G501,"Agriculture",'Federal Data'!$D2:$D501,"Nongrant")</f>
        <v>8403000</v>
      </c>
      <c r="AY128" s="101">
        <f>'State and Local P&amp;L (detailed)'!$S$78</f>
        <v>3993407</v>
      </c>
      <c r="AZ128" s="101">
        <f>SUM(AX128:AY128)</f>
        <v>12396407</v>
      </c>
      <c r="BA128" s="94">
        <f>SUMIFS('Federal Data'!AD2:AD501,'Federal Data'!$G2:$G501,"Agriculture",'Federal Data'!$D2:$D501,"Nongrant")</f>
        <v>10031000</v>
      </c>
      <c r="BB128" s="101">
        <f>'State and Local P&amp;L (detailed)'!$T$78</f>
        <v>4119720</v>
      </c>
      <c r="BC128" s="101">
        <f>SUM(BA128:BB128)</f>
        <v>14150720</v>
      </c>
      <c r="BD128" s="94">
        <f>SUMIFS('Federal Data'!AE2:AE501,'Federal Data'!$G2:$G501,"Agriculture",'Federal Data'!$D2:$D501,"Nongrant")</f>
        <v>13299000</v>
      </c>
      <c r="BE128" s="101">
        <f>'State and Local P&amp;L (detailed)'!$U$78</f>
        <v>4387033</v>
      </c>
      <c r="BF128" s="101">
        <f>SUM(BD128:BE128)</f>
        <v>17686033</v>
      </c>
      <c r="BG128" s="94">
        <f>SUMIFS('Federal Data'!AF2:AF501,'Federal Data'!$G2:$G501,"Agriculture",'Federal Data'!$D2:$D501,"Nongrant")</f>
        <v>23976000</v>
      </c>
      <c r="BH128" s="101">
        <f>'State and Local P&amp;L (detailed)'!$V$78</f>
        <v>4645913</v>
      </c>
      <c r="BI128" s="101">
        <f>SUM(BG128:BH128)</f>
        <v>28621913</v>
      </c>
      <c r="BJ128" s="94">
        <f>SUMIFS('Federal Data'!AG2:AG501,'Federal Data'!$G2:$G501,"Agriculture",'Federal Data'!$D2:$D501,"Nongrant")</f>
        <v>37508000</v>
      </c>
      <c r="BK128" s="101">
        <f>'State and Local P&amp;L (detailed)'!$W$78</f>
        <v>5456274</v>
      </c>
      <c r="BL128" s="101">
        <f>SUM(BJ128:BK128)</f>
        <v>42964274</v>
      </c>
      <c r="BM128" s="94">
        <f>SUMIFS('Federal Data'!AH2:AH501,'Federal Data'!$G2:$G501,"Agriculture",'Federal Data'!$D2:$D501,"Nongrant")</f>
        <v>27443000</v>
      </c>
      <c r="BN128" s="101">
        <f>'State and Local P&amp;L (detailed)'!$X$78</f>
        <v>5637629</v>
      </c>
      <c r="BO128" s="101">
        <f>SUM(BM128:BN128)</f>
        <v>33080629</v>
      </c>
      <c r="BP128" s="94">
        <f>SUMIFS('Federal Data'!AI2:AI501,'Federal Data'!$G2:$G501,"Agriculture",'Federal Data'!$D2:$D501,"Nongrant")</f>
        <v>23288000</v>
      </c>
      <c r="BQ128" s="101">
        <f>'State and Local P&amp;L (detailed)'!$Y$78</f>
        <v>5503864</v>
      </c>
      <c r="BR128" s="101">
        <f>SUM(BP128:BQ128)</f>
        <v>28791864</v>
      </c>
      <c r="BS128" s="94">
        <f>SUMIFS('Federal Data'!AJ2:AJ501,'Federal Data'!$G2:$G501,"Agriculture",'Federal Data'!$D2:$D501,"Nongrant")</f>
        <v>23670000</v>
      </c>
      <c r="BT128" s="101">
        <f>'State and Local P&amp;L (detailed)'!$Z$78</f>
        <v>5591353</v>
      </c>
      <c r="BU128" s="101">
        <f>SUM(BS128:BT128)</f>
        <v>29261353</v>
      </c>
      <c r="BV128" s="94">
        <f>SUMIFS('Federal Data'!AK2:AK501,'Federal Data'!$G2:$G501,"Agriculture",'Federal Data'!$D2:$D501,"Nongrant")</f>
        <v>16343000</v>
      </c>
      <c r="BW128" s="101">
        <f>'State and Local P&amp;L (detailed)'!$AA$78</f>
        <v>5573618</v>
      </c>
      <c r="BX128" s="101">
        <f>SUM(BV128:BW128)</f>
        <v>21916618</v>
      </c>
      <c r="BY128" s="94">
        <f>SUMIFS('Federal Data'!AL2:AL501,'Federal Data'!$G2:$G501,"Agriculture",'Federal Data'!$D2:$D501,"Nongrant")</f>
        <v>27483000</v>
      </c>
      <c r="BZ128" s="101">
        <f>'State and Local P&amp;L (detailed)'!$AB$78</f>
        <v>5601272.3807694707</v>
      </c>
      <c r="CA128" s="101">
        <f>SUM(BY128:BZ128)</f>
        <v>33084272.380769469</v>
      </c>
      <c r="CB128" s="94">
        <f>SUMIFS('Federal Data'!AM2:AM501,'Federal Data'!$G2:$G501,"Agriculture",'Federal Data'!$D2:$D501,"Nongrant")</f>
        <v>27128000</v>
      </c>
      <c r="CC128" s="101">
        <f>'State and Local P&amp;L (detailed)'!$AC$78</f>
        <v>5628926.7615389423</v>
      </c>
      <c r="CD128" s="101">
        <f>SUM(CB128:CC128)</f>
        <v>32756926.761538941</v>
      </c>
      <c r="CE128" s="94">
        <f>SUMIFS('Federal Data'!AN2:AN501,'Federal Data'!$G2:$G501,"Agriculture",'Federal Data'!$D2:$D501,"Nongrant")</f>
        <v>18837000</v>
      </c>
      <c r="CF128" s="101">
        <f>'State and Local P&amp;L (detailed)'!$AD$78</f>
        <v>5656581.1423084121</v>
      </c>
      <c r="CG128" s="101">
        <f>SUM(CE128:CF128)</f>
        <v>24493581.142308414</v>
      </c>
      <c r="CH128" s="94">
        <f>SUMIFS('Federal Data'!AO2:AO501,'Federal Data'!$G2:$G501,"Agriculture",'Federal Data'!$D2:$D501,"Nongrant")</f>
        <v>19530000</v>
      </c>
      <c r="CI128" s="101">
        <f>'State and Local P&amp;L (detailed)'!$AE$78</f>
        <v>5684235.5230778838</v>
      </c>
      <c r="CJ128" s="101">
        <f>SUM(CH128:CI128)</f>
        <v>25214235.523077883</v>
      </c>
      <c r="CK128" s="94">
        <f>SUMIFS('Federal Data'!AP2:AP501,'Federal Data'!$G2:$G501,"Agriculture",'Federal Data'!$D2:$D501,"Nongrant")</f>
        <v>23226000</v>
      </c>
      <c r="CL128" s="101">
        <f>'State and Local P&amp;L (detailed)'!$AF$78</f>
        <v>5711889.9038473554</v>
      </c>
      <c r="CM128" s="101">
        <f>SUM(CK128:CL128)</f>
        <v>28937889.903847355</v>
      </c>
      <c r="CN128" s="94">
        <f>SUMIFS('Federal Data'!AQ2:AQ501,'Federal Data'!$G2:$G501,"Agriculture",'Federal Data'!$D2:$D501,"Nongrant")</f>
        <v>22372000</v>
      </c>
      <c r="CO128" s="101">
        <f>'State and Local P&amp;L (detailed)'!$AG$78</f>
        <v>5739544.2846168261</v>
      </c>
      <c r="CP128" s="101">
        <f>SUM(CN128:CO128)</f>
        <v>28111544.284616828</v>
      </c>
      <c r="CQ128" s="94">
        <f>SUMIFS('Federal Data'!AR2:AR501,'Federal Data'!$G2:$G501,"Agriculture",'Federal Data'!$D2:$D501,"Nongrant")</f>
        <v>21643000</v>
      </c>
      <c r="CR128" s="101">
        <f>'State and Local P&amp;L (detailed)'!$AH$78</f>
        <v>5767198.6653862968</v>
      </c>
      <c r="CS128" s="101">
        <f>SUM(CQ128:CR128)</f>
        <v>27410198.665386297</v>
      </c>
      <c r="CT128" s="94">
        <f>SUMIFS('Federal Data'!AS2:AS501,'Federal Data'!$G2:$G501,"Agriculture",'Federal Data'!$D2:$D501,"Nongrant")</f>
        <v>19081000</v>
      </c>
      <c r="CU128" s="101">
        <f>'State and Local P&amp;L (detailed)'!$AI$78</f>
        <v>5794853.0461557675</v>
      </c>
      <c r="CV128" s="101">
        <f>SUM(CT128:CU128)</f>
        <v>24875853.046155766</v>
      </c>
      <c r="CW128" s="94">
        <f>SUMIFS('Federal Data'!AT2:AT501,'Federal Data'!$G2:$G501,"Agriculture",'Federal Data'!$D2:$D501,"Nongrant")</f>
        <v>30940000</v>
      </c>
      <c r="CX128" s="101">
        <f>'State and Local P&amp;L (detailed)'!$AJ$78</f>
        <v>5822507.4269252392</v>
      </c>
      <c r="CY128" s="101">
        <f>SUM(CW128:CX128)</f>
        <v>36762507.426925242</v>
      </c>
      <c r="CZ128" s="94">
        <f>SUMIFS('Federal Data'!AU2:AU501,'Federal Data'!$G2:$G501,"Agriculture",'Federal Data'!$D2:$D501,"Nongrant")</f>
        <v>25421000</v>
      </c>
      <c r="DA128" s="101">
        <f>'State and Local P&amp;L (detailed)'!$AK$78</f>
        <v>5860788.9890284827</v>
      </c>
      <c r="DB128" s="101">
        <f>SUM(CZ128:DA128)</f>
        <v>31281788.989028484</v>
      </c>
      <c r="DC128" s="37">
        <f>SUMIFS('Federal Data'!AV2:AV501,'Federal Data'!$G2:$G501,"Agriculture",'Federal Data'!$D2:$D501,"Nongrant")</f>
        <v>19523000</v>
      </c>
      <c r="DD128" s="85">
        <f>'State and Local P&amp;L (detailed)'!$AL$78</f>
        <v>0</v>
      </c>
      <c r="DE128" s="85">
        <f>SUM(DC128:DD128)</f>
        <v>19523000</v>
      </c>
    </row>
    <row r="129" spans="1:109" outlineLevel="1">
      <c r="A129" s="28" t="s">
        <v>157</v>
      </c>
      <c r="B129" s="94">
        <f>SUMIFS('Federal Data'!M2:M501,'Federal Data'!$F2:$F501,"Savings",'Federal Data'!$D2:$D501,"Nongrant")+SUMIFS('Federal Data'!M2:M501,'Federal Data'!$E2:$E501,"Obligations",'Federal Data'!$D2:$D501,"Nongrant")</f>
        <v>226940606</v>
      </c>
      <c r="C129" s="101">
        <f>'State and Local P&amp;L (detailed)'!$C$79</f>
        <v>21717089</v>
      </c>
      <c r="D129" s="101">
        <f>SUM(B129:C129)</f>
        <v>248657695</v>
      </c>
      <c r="E129" s="94">
        <f>SUMIFS('Federal Data'!N2:N501,'Federal Data'!$F2:$F501,"Savings",'Federal Data'!$D2:$D501,"Nongrant")+SUMIFS('Federal Data'!N2:N501,'Federal Data'!$E2:$E501,"Obligations",'Federal Data'!$D2:$D501,"Nongrant")</f>
        <v>274903878</v>
      </c>
      <c r="F129" s="101">
        <f>'State and Local P&amp;L (detailed)'!$D$79</f>
        <v>24939869</v>
      </c>
      <c r="G129" s="101">
        <f>SUM(E129:F129)</f>
        <v>299843747</v>
      </c>
      <c r="H129" s="94">
        <f>SUMIFS('Federal Data'!O2:O501,'Federal Data'!$F2:$F501,"Savings",'Federal Data'!$D2:$D501,"Nongrant")+SUMIFS('Federal Data'!O2:O501,'Federal Data'!$E2:$E501,"Obligations",'Federal Data'!$D2:$D501,"Nongrant")</f>
        <v>316584531</v>
      </c>
      <c r="I129" s="101">
        <f>'State and Local P&amp;L (detailed)'!$E$79</f>
        <v>28165321</v>
      </c>
      <c r="J129" s="101">
        <f>SUM(H129:I129)</f>
        <v>344749852</v>
      </c>
      <c r="K129" s="94">
        <f>SUMIFS('Federal Data'!P2:P501,'Federal Data'!$F2:$F501,"Savings",'Federal Data'!$D2:$D501,"Nongrant")+SUMIFS('Federal Data'!P2:P501,'Federal Data'!$E2:$E501,"Obligations",'Federal Data'!$D2:$D501,"Nongrant")</f>
        <v>340637984</v>
      </c>
      <c r="L129" s="101">
        <f>'State and Local P&amp;L (detailed)'!$F$79</f>
        <v>37845549</v>
      </c>
      <c r="M129" s="101">
        <f>SUM(K129:L129)</f>
        <v>378483533</v>
      </c>
      <c r="N129" s="94">
        <f>SUMIFS('Federal Data'!Q2:Q501,'Federal Data'!$F2:$F501,"Savings",'Federal Data'!$D2:$D501,"Nongrant")+SUMIFS('Federal Data'!Q2:Q501,'Federal Data'!$E2:$E501,"Obligations",'Federal Data'!$D2:$D501,"Nongrant")</f>
        <v>374020494</v>
      </c>
      <c r="O129" s="101">
        <f>'State and Local P&amp;L (detailed)'!$G$79</f>
        <v>48858294</v>
      </c>
      <c r="P129" s="101">
        <f>SUM(N129:O129)</f>
        <v>422878788</v>
      </c>
      <c r="Q129" s="94">
        <f>SUMIFS('Federal Data'!R2:R501,'Federal Data'!$F2:$F501,"Savings",'Federal Data'!$D2:$D501,"Nongrant")+SUMIFS('Federal Data'!R2:R501,'Federal Data'!$E2:$E501,"Obligations",'Federal Data'!$D2:$D501,"Nongrant")</f>
        <v>409001841</v>
      </c>
      <c r="R129" s="101">
        <f>'State and Local P&amp;L (detailed)'!$H$79</f>
        <v>53088779</v>
      </c>
      <c r="S129" s="101">
        <f>SUM(Q129:R129)</f>
        <v>462090620</v>
      </c>
      <c r="T129" s="94">
        <f>SUMIFS('Federal Data'!S2:S501,'Federal Data'!$F2:$F501,"Savings",'Federal Data'!$D2:$D501,"Nongrant")+SUMIFS('Federal Data'!S2:S501,'Federal Data'!$E2:$E501,"Obligations",'Federal Data'!$D2:$D501,"Nongrant")</f>
        <v>429190286</v>
      </c>
      <c r="U129" s="101">
        <f>'State and Local P&amp;L (detailed)'!$I$79</f>
        <v>61424894</v>
      </c>
      <c r="V129" s="101">
        <f>SUM(T129:U129)</f>
        <v>490615180</v>
      </c>
      <c r="W129" s="94">
        <f>SUMIFS('Federal Data'!T2:T501,'Federal Data'!$F2:$F501,"Savings",'Federal Data'!$D2:$D501,"Nongrant")+SUMIFS('Federal Data'!T2:T501,'Federal Data'!$E2:$E501,"Obligations",'Federal Data'!$D2:$D501,"Nongrant")</f>
        <v>446301665</v>
      </c>
      <c r="X129" s="101">
        <f>'State and Local P&amp;L (detailed)'!$J$79</f>
        <v>72970371</v>
      </c>
      <c r="Y129" s="101">
        <f>SUM(W129:X129)</f>
        <v>519272036</v>
      </c>
      <c r="Z129" s="94">
        <f>SUMIFS('Federal Data'!U2:U501,'Federal Data'!$F2:$F501,"Savings",'Federal Data'!$D2:$D501,"Nongrant")+SUMIFS('Federal Data'!U2:U501,'Federal Data'!$E2:$E501,"Obligations",'Federal Data'!$D2:$D501,"Nongrant")</f>
        <v>481353186</v>
      </c>
      <c r="AA129" s="101">
        <f>'State and Local P&amp;L (detailed)'!$K$79</f>
        <v>69180271</v>
      </c>
      <c r="AB129" s="101">
        <f>SUM(Z129:AA129)</f>
        <v>550533457</v>
      </c>
      <c r="AC129" s="94">
        <f>SUMIFS('Federal Data'!V2:V501,'Federal Data'!$F2:$F501,"Savings",'Federal Data'!$D2:$D501,"Nongrant")+SUMIFS('Federal Data'!V2:V501,'Federal Data'!$E2:$E501,"Obligations",'Federal Data'!$D2:$D501,"Nongrant")</f>
        <v>519494492</v>
      </c>
      <c r="AD129" s="101">
        <f>'State and Local P&amp;L (detailed)'!$L$79</f>
        <v>69897782</v>
      </c>
      <c r="AE129" s="101">
        <f>SUM(AC129:AD129)</f>
        <v>589392274</v>
      </c>
      <c r="AF129" s="94">
        <f>SUMIFS('Federal Data'!W2:W501,'Federal Data'!$F2:$F501,"Savings",'Federal Data'!$D2:$D501,"Nongrant")+SUMIFS('Federal Data'!W2:W501,'Federal Data'!$E2:$E501,"Obligations",'Federal Data'!$D2:$D501,"Nongrant")</f>
        <v>567392749</v>
      </c>
      <c r="AG129" s="101">
        <f>'State and Local P&amp;L (detailed)'!$M$79</f>
        <v>73902386</v>
      </c>
      <c r="AH129" s="101">
        <f>SUM(AF129:AG129)</f>
        <v>641295135</v>
      </c>
      <c r="AI129" s="94">
        <f>SUMIFS('Federal Data'!X2:X501,'Federal Data'!$F2:$F501,"Savings",'Federal Data'!$D2:$D501,"Nongrant")+SUMIFS('Federal Data'!X2:X501,'Federal Data'!$E2:$E501,"Obligations",'Federal Data'!$D2:$D501,"Nongrant")</f>
        <v>608165239</v>
      </c>
      <c r="AJ129" s="101">
        <f>'State and Local P&amp;L (detailed)'!$N$79</f>
        <v>80722143</v>
      </c>
      <c r="AK129" s="101">
        <f>SUM(AI129:AJ129)</f>
        <v>688887382</v>
      </c>
      <c r="AL129" s="94">
        <f>SUMIFS('Federal Data'!Y2:Y501,'Federal Data'!$F2:$F501,"Savings",'Federal Data'!$D2:$D501,"Nongrant")+SUMIFS('Federal Data'!Y2:Y501,'Federal Data'!$E2:$E501,"Obligations",'Federal Data'!$D2:$D501,"Nongrant")</f>
        <v>647684773</v>
      </c>
      <c r="AM129" s="101">
        <f>'State and Local P&amp;L (detailed)'!$O$79</f>
        <v>38988386</v>
      </c>
      <c r="AN129" s="101">
        <f>SUM(AL129:AM129)</f>
        <v>686673159</v>
      </c>
      <c r="AO129" s="94">
        <f>SUMIFS('Federal Data'!Z2:Z501,'Federal Data'!$F2:$F501,"Savings",'Federal Data'!$D2:$D501,"Nongrant")+SUMIFS('Federal Data'!Z2:Z501,'Federal Data'!$E2:$E501,"Obligations",'Federal Data'!$D2:$D501,"Nongrant")</f>
        <v>676632394</v>
      </c>
      <c r="AP129" s="101">
        <f>'State and Local P&amp;L (detailed)'!$P$79</f>
        <v>48067627</v>
      </c>
      <c r="AQ129" s="101">
        <f>SUM(AO129:AP129)</f>
        <v>724700021</v>
      </c>
      <c r="AR129" s="94">
        <f>SUMIFS('Federal Data'!AA2:AA501,'Federal Data'!$F2:$F501,"Savings",'Federal Data'!$D2:$D501,"Nongrant")+SUMIFS('Federal Data'!AA2:AA501,'Federal Data'!$E2:$E501,"Obligations",'Federal Data'!$D2:$D501,"Nongrant")</f>
        <v>712075283</v>
      </c>
      <c r="AS129" s="101">
        <f>'State and Local P&amp;L (detailed)'!$Q$79</f>
        <v>51681852</v>
      </c>
      <c r="AT129" s="101">
        <f>SUM(AR129:AS129)</f>
        <v>763757135</v>
      </c>
      <c r="AU129" s="94">
        <f>SUMIFS('Federal Data'!AB2:AB501,'Federal Data'!$F2:$F501,"Savings",'Federal Data'!$D2:$D501,"Nongrant")+SUMIFS('Federal Data'!AB2:AB501,'Federal Data'!$E2:$E501,"Obligations",'Federal Data'!$D2:$D501,"Nongrant")</f>
        <v>775778000</v>
      </c>
      <c r="AV129" s="101">
        <f>'State and Local P&amp;L (detailed)'!$R$79</f>
        <v>53378032</v>
      </c>
      <c r="AW129" s="101">
        <f>SUM(AU129:AV129)</f>
        <v>829156032</v>
      </c>
      <c r="AX129" s="94">
        <f>SUMIFS('Federal Data'!AC2:AC501,'Federal Data'!$F2:$F501,"Savings",'Federal Data'!$D2:$D501,"Nongrant")+SUMIFS('Federal Data'!AC2:AC501,'Federal Data'!$E2:$E501,"Obligations",'Federal Data'!$D2:$D501,"Nongrant")</f>
        <v>812353000</v>
      </c>
      <c r="AY129" s="101">
        <f>'State and Local P&amp;L (detailed)'!$S$79</f>
        <v>58268864</v>
      </c>
      <c r="AZ129" s="101">
        <f>SUM(AX129:AY129)</f>
        <v>870621864</v>
      </c>
      <c r="BA129" s="94">
        <f>SUMIFS('Federal Data'!AD2:AD501,'Federal Data'!$F2:$F501,"Savings",'Federal Data'!$D2:$D501,"Nongrant")+SUMIFS('Federal Data'!AD2:AD501,'Federal Data'!$E2:$E501,"Obligations",'Federal Data'!$D2:$D501,"Nongrant")</f>
        <v>850691000</v>
      </c>
      <c r="BB129" s="101">
        <f>'State and Local P&amp;L (detailed)'!$T$79</f>
        <v>61893769</v>
      </c>
      <c r="BC129" s="101">
        <f>SUM(BA129:BB129)</f>
        <v>912584769</v>
      </c>
      <c r="BD129" s="94">
        <f>SUMIFS('Federal Data'!AE2:AE501,'Federal Data'!$F2:$F501,"Savings",'Federal Data'!$D2:$D501,"Nongrant")+SUMIFS('Federal Data'!AE2:AE501,'Federal Data'!$E2:$E501,"Obligations",'Federal Data'!$D2:$D501,"Nongrant")</f>
        <v>870506000</v>
      </c>
      <c r="BE129" s="101">
        <f>'State and Local P&amp;L (detailed)'!$U$79</f>
        <v>68307987</v>
      </c>
      <c r="BF129" s="101">
        <f>SUM(BD129:BE129)</f>
        <v>938813987</v>
      </c>
      <c r="BG129" s="94">
        <f>SUMIFS('Federal Data'!AF2:AF501,'Federal Data'!$F2:$F501,"Savings",'Federal Data'!$D2:$D501,"Nongrant")+SUMIFS('Federal Data'!AF2:AF501,'Federal Data'!$E2:$E501,"Obligations",'Federal Data'!$D2:$D501,"Nongrant")</f>
        <v>867955000</v>
      </c>
      <c r="BH129" s="101">
        <f>'State and Local P&amp;L (detailed)'!$V$79</f>
        <v>74219024</v>
      </c>
      <c r="BI129" s="101">
        <f>SUM(BG129:BH129)</f>
        <v>942174024</v>
      </c>
      <c r="BJ129" s="94">
        <f>SUMIFS('Federal Data'!AG2:AG501,'Federal Data'!$F2:$F501,"Savings",'Federal Data'!$D2:$D501,"Nongrant")+SUMIFS('Federal Data'!AG2:AG501,'Federal Data'!$E2:$E501,"Obligations",'Federal Data'!$D2:$D501,"Nongrant")</f>
        <v>886102000</v>
      </c>
      <c r="BK129" s="101">
        <f>'State and Local P&amp;L (detailed)'!$W$79</f>
        <v>82702865</v>
      </c>
      <c r="BL129" s="101">
        <f>SUM(BJ129:BK129)</f>
        <v>968804865</v>
      </c>
      <c r="BM129" s="94">
        <f>SUMIFS('Federal Data'!AH2:AH501,'Federal Data'!$F2:$F501,"Savings",'Federal Data'!$D2:$D501,"Nongrant")+SUMIFS('Federal Data'!AH2:AH501,'Federal Data'!$E2:$E501,"Obligations",'Federal Data'!$D2:$D501,"Nongrant")</f>
        <v>919096000</v>
      </c>
      <c r="BN129" s="101">
        <f>'State and Local P&amp;L (detailed)'!$X$79</f>
        <v>82236509</v>
      </c>
      <c r="BO129" s="101">
        <f>SUM(BM129:BN129)</f>
        <v>1001332509</v>
      </c>
      <c r="BP129" s="94">
        <f>SUMIFS('Federal Data'!AI2:AI501,'Federal Data'!$F2:$F501,"Savings",'Federal Data'!$D2:$D501,"Nongrant")+SUMIFS('Federal Data'!AI2:AI501,'Federal Data'!$E2:$E501,"Obligations",'Federal Data'!$D2:$D501,"Nongrant")</f>
        <v>914825000</v>
      </c>
      <c r="BQ129" s="101">
        <f>'State and Local P&amp;L (detailed)'!$Y$79</f>
        <v>106634092</v>
      </c>
      <c r="BR129" s="101">
        <f>SUM(BP129:BQ129)</f>
        <v>1021459092</v>
      </c>
      <c r="BS129" s="94">
        <f>SUMIFS('Federal Data'!AJ2:AJ501,'Federal Data'!$F2:$F501,"Savings",'Federal Data'!$D2:$D501,"Nongrant")+SUMIFS('Federal Data'!AJ2:AJ501,'Federal Data'!$E2:$E501,"Obligations",'Federal Data'!$D2:$D501,"Nongrant")</f>
        <v>939189000</v>
      </c>
      <c r="BT129" s="101">
        <f>'State and Local P&amp;L (detailed)'!$Z$79</f>
        <v>126804008</v>
      </c>
      <c r="BU129" s="101">
        <f>SUM(BS129:BT129)</f>
        <v>1065993008</v>
      </c>
      <c r="BV129" s="94">
        <f>SUMIFS('Federal Data'!AK2:AK501,'Federal Data'!$F2:$F501,"Savings",'Federal Data'!$D2:$D501,"Nongrant")+SUMIFS('Federal Data'!AK2:AK501,'Federal Data'!$E2:$E501,"Obligations",'Federal Data'!$D2:$D501,"Nongrant")</f>
        <v>993541000</v>
      </c>
      <c r="BW129" s="101">
        <f>'State and Local P&amp;L (detailed)'!$AA$79</f>
        <v>139982854</v>
      </c>
      <c r="BX129" s="101">
        <f>SUM(BV129:BW129)</f>
        <v>1133523854</v>
      </c>
      <c r="BY129" s="94">
        <f>SUMIFS('Federal Data'!AL2:AL501,'Federal Data'!$F2:$F501,"Savings",'Federal Data'!$D2:$D501,"Nongrant")+SUMIFS('Federal Data'!AL2:AL501,'Federal Data'!$E2:$E501,"Obligations",'Federal Data'!$D2:$D501,"Nongrant")</f>
        <v>1072653000</v>
      </c>
      <c r="BZ129" s="101">
        <f>'State and Local P&amp;L (detailed)'!$AB$79</f>
        <v>140851963</v>
      </c>
      <c r="CA129" s="101">
        <f>SUM(BY129:BZ129)</f>
        <v>1213504963</v>
      </c>
      <c r="CB129" s="94">
        <f>SUMIFS('Federal Data'!AM2:AM501,'Federal Data'!$F2:$F501,"Savings",'Federal Data'!$D2:$D501,"Nongrant")+SUMIFS('Federal Data'!AM2:AM501,'Federal Data'!$E2:$E501,"Obligations",'Federal Data'!$D2:$D501,"Nongrant")</f>
        <v>1174545000</v>
      </c>
      <c r="CC129" s="101">
        <f>'State and Local P&amp;L (detailed)'!$AC$79</f>
        <v>143893914</v>
      </c>
      <c r="CD129" s="101">
        <f>SUM(CB129:CC129)</f>
        <v>1318438914</v>
      </c>
      <c r="CE129" s="94">
        <f>SUMIFS('Federal Data'!AN2:AN501,'Federal Data'!$F2:$F501,"Savings",'Federal Data'!$D2:$D501,"Nongrant")+SUMIFS('Federal Data'!AN2:AN501,'Federal Data'!$E2:$E501,"Obligations",'Federal Data'!$D2:$D501,"Nongrant")</f>
        <v>1266219000</v>
      </c>
      <c r="CF129" s="101">
        <f>'State and Local P&amp;L (detailed)'!$AD$79</f>
        <v>140987349</v>
      </c>
      <c r="CG129" s="101">
        <f>SUM(CE129:CF129)</f>
        <v>1407206349</v>
      </c>
      <c r="CH129" s="94">
        <f>SUMIFS('Federal Data'!AO2:AO501,'Federal Data'!$F2:$F501,"Savings",'Federal Data'!$D2:$D501,"Nongrant")+SUMIFS('Federal Data'!AO2:AO501,'Federal Data'!$E2:$E501,"Obligations",'Federal Data'!$D2:$D501,"Nongrant")</f>
        <v>1340344000</v>
      </c>
      <c r="CI129" s="101">
        <f>'State and Local P&amp;L (detailed)'!$AE$79</f>
        <v>162844207</v>
      </c>
      <c r="CJ129" s="101">
        <f>SUM(CH129:CI129)</f>
        <v>1503188207</v>
      </c>
      <c r="CK129" s="94">
        <f>SUMIFS('Federal Data'!AP2:AP501,'Federal Data'!$F2:$F501,"Savings",'Federal Data'!$D2:$D501,"Nongrant")+SUMIFS('Federal Data'!AP2:AP501,'Federal Data'!$E2:$E501,"Obligations",'Federal Data'!$D2:$D501,"Nongrant")</f>
        <v>1489739000</v>
      </c>
      <c r="CL129" s="101">
        <f>'State and Local P&amp;L (detailed)'!$AF$79</f>
        <v>197140317</v>
      </c>
      <c r="CM129" s="101">
        <f>SUM(CK129:CL129)</f>
        <v>1686879317</v>
      </c>
      <c r="CN129" s="94">
        <f>SUMIFS('Federal Data'!AQ2:AQ501,'Federal Data'!$F2:$F501,"Savings",'Federal Data'!$D2:$D501,"Nongrant")+SUMIFS('Federal Data'!AQ2:AQ501,'Federal Data'!$E2:$E501,"Obligations",'Federal Data'!$D2:$D501,"Nongrant")</f>
        <v>1470234000</v>
      </c>
      <c r="CO129" s="101">
        <f>'State and Local P&amp;L (detailed)'!$AG$79</f>
        <v>225971893</v>
      </c>
      <c r="CP129" s="101">
        <f>SUM(CN129:CO129)</f>
        <v>1696205893</v>
      </c>
      <c r="CQ129" s="94">
        <f>SUMIFS('Federal Data'!AR2:AR501,'Federal Data'!$F2:$F501,"Savings",'Federal Data'!$D2:$D501,"Nongrant")+SUMIFS('Federal Data'!AR2:AR501,'Federal Data'!$E2:$E501,"Obligations",'Federal Data'!$D2:$D501,"Nongrant")</f>
        <v>1547449000</v>
      </c>
      <c r="CR129" s="101">
        <f>'State and Local P&amp;L (detailed)'!$AH$79</f>
        <v>247838727</v>
      </c>
      <c r="CS129" s="101">
        <f>SUM(CQ129:CR129)</f>
        <v>1795287727</v>
      </c>
      <c r="CT129" s="94">
        <f>SUMIFS('Federal Data'!AS2:AS501,'Federal Data'!$F2:$F501,"Savings",'Federal Data'!$D2:$D501,"Nongrant")+SUMIFS('Federal Data'!AS2:AS501,'Federal Data'!$E2:$E501,"Obligations",'Federal Data'!$D2:$D501,"Nongrant")</f>
        <v>1541480000</v>
      </c>
      <c r="CU129" s="101">
        <f>'State and Local P&amp;L (detailed)'!$AI$79</f>
        <v>262038131</v>
      </c>
      <c r="CV129" s="101">
        <f>SUM(CT129:CU129)</f>
        <v>1803518131</v>
      </c>
      <c r="CW129" s="94">
        <f>SUMIFS('Federal Data'!AT2:AT501,'Federal Data'!$F2:$F501,"Savings",'Federal Data'!$D2:$D501,"Nongrant")+SUMIFS('Federal Data'!AT2:AT501,'Federal Data'!$E2:$E501,"Obligations",'Federal Data'!$D2:$D501,"Nongrant")</f>
        <v>1539341000</v>
      </c>
      <c r="CX129" s="101">
        <f>'State and Local P&amp;L (detailed)'!$AJ$79</f>
        <v>276038101</v>
      </c>
      <c r="CY129" s="101">
        <f>SUM(CW129:CX129)</f>
        <v>1815379101</v>
      </c>
      <c r="CZ129" s="94">
        <f>SUMIFS('Federal Data'!AU2:AU501,'Federal Data'!$F2:$F501,"Savings",'Federal Data'!$D2:$D501,"Nongrant")+SUMIFS('Federal Data'!AU2:AU501,'Federal Data'!$E2:$E501,"Obligations",'Federal Data'!$D2:$D501,"Nongrant")</f>
        <v>1611528000</v>
      </c>
      <c r="DA129" s="101">
        <f>'State and Local P&amp;L (detailed)'!$AK$79</f>
        <v>285635054</v>
      </c>
      <c r="DB129" s="101">
        <f>SUM(CZ129:DA129)</f>
        <v>1897163054</v>
      </c>
      <c r="DC129" s="37">
        <f>SUMIFS('Federal Data'!AV2:AV501,'Federal Data'!$F2:$F501,"Savings",'Federal Data'!$D2:$D501,"Nongrant")+SUMIFS('Federal Data'!AV2:AV501,'Federal Data'!$E2:$E501,"Obligations",'Federal Data'!$D2:$D501,"Nongrant")</f>
        <v>1729795000</v>
      </c>
      <c r="DD129" s="85">
        <f>'State and Local P&amp;L (detailed)'!$AL$79</f>
        <v>0</v>
      </c>
      <c r="DE129" s="85">
        <f>SUM(DC129:DD129)</f>
        <v>1729795000</v>
      </c>
    </row>
    <row r="130" spans="1:109" outlineLevel="2">
      <c r="A130" s="29" t="s">
        <v>54</v>
      </c>
      <c r="B130" s="94">
        <f>SUMIFS('Federal Data'!M2:M501,'Federal Data'!$G2:$G501,"Social Security",'Federal Data'!$D2:$D501,"Nongrant")</f>
        <v>118546801</v>
      </c>
      <c r="C130" s="101" t="s">
        <v>487</v>
      </c>
      <c r="D130" s="101" t="s">
        <v>487</v>
      </c>
      <c r="E130" s="94">
        <f>SUMIFS('Federal Data'!N2:N501,'Federal Data'!$G2:$G501,"Social Security",'Federal Data'!$D2:$D501,"Nongrant")</f>
        <v>139584428</v>
      </c>
      <c r="F130" s="101" t="s">
        <v>487</v>
      </c>
      <c r="G130" s="101" t="s">
        <v>487</v>
      </c>
      <c r="H130" s="94">
        <f>SUMIFS('Federal Data'!O2:O501,'Federal Data'!$G2:$G501,"Social Security",'Federal Data'!$D2:$D501,"Nongrant")</f>
        <v>155963940</v>
      </c>
      <c r="I130" s="101" t="s">
        <v>487</v>
      </c>
      <c r="J130" s="101" t="s">
        <v>487</v>
      </c>
      <c r="K130" s="94">
        <f>SUMIFS('Federal Data'!P2:P501,'Federal Data'!$G2:$G501,"Social Security",'Federal Data'!$D2:$D501,"Nongrant")</f>
        <v>170723539</v>
      </c>
      <c r="L130" s="101" t="s">
        <v>487</v>
      </c>
      <c r="M130" s="101" t="s">
        <v>487</v>
      </c>
      <c r="N130" s="94">
        <f>SUMIFS('Federal Data'!Q2:Q501,'Federal Data'!$G2:$G501,"Social Security",'Federal Data'!$D2:$D501,"Nongrant")</f>
        <v>178222816</v>
      </c>
      <c r="O130" s="101" t="s">
        <v>487</v>
      </c>
      <c r="P130" s="101" t="s">
        <v>487</v>
      </c>
      <c r="Q130" s="94">
        <f>SUMIFS('Federal Data'!R2:R501,'Federal Data'!$G2:$G501,"Social Security",'Federal Data'!$D2:$D501,"Nongrant")</f>
        <v>188623082</v>
      </c>
      <c r="R130" s="101" t="s">
        <v>487</v>
      </c>
      <c r="S130" s="101" t="s">
        <v>487</v>
      </c>
      <c r="T130" s="94">
        <f>SUMIFS('Federal Data'!S2:S501,'Federal Data'!$G2:$G501,"Social Security",'Federal Data'!$D2:$D501,"Nongrant")</f>
        <v>198756366</v>
      </c>
      <c r="U130" s="101" t="s">
        <v>487</v>
      </c>
      <c r="V130" s="101" t="s">
        <v>487</v>
      </c>
      <c r="W130" s="94">
        <f>SUMIFS('Federal Data'!T2:T501,'Federal Data'!$G2:$G501,"Social Security",'Federal Data'!$D2:$D501,"Nongrant")</f>
        <v>207351976</v>
      </c>
      <c r="X130" s="101" t="s">
        <v>487</v>
      </c>
      <c r="Y130" s="101" t="s">
        <v>487</v>
      </c>
      <c r="Z130" s="94">
        <f>SUMIFS('Federal Data'!U2:U501,'Federal Data'!$G2:$G501,"Social Security",'Federal Data'!$D2:$D501,"Nongrant")</f>
        <v>219340581</v>
      </c>
      <c r="AA130" s="101" t="s">
        <v>487</v>
      </c>
      <c r="AB130" s="101" t="s">
        <v>487</v>
      </c>
      <c r="AC130" s="94">
        <f>SUMIFS('Federal Data'!V2:V501,'Federal Data'!$G2:$G501,"Social Security",'Federal Data'!$D2:$D501,"Nongrant")</f>
        <v>232542077</v>
      </c>
      <c r="AD130" s="101" t="s">
        <v>487</v>
      </c>
      <c r="AE130" s="101" t="s">
        <v>487</v>
      </c>
      <c r="AF130" s="94">
        <f>SUMIFS('Federal Data'!W2:W501,'Federal Data'!$G2:$G501,"Social Security",'Federal Data'!$D2:$D501,"Nongrant")</f>
        <v>248622598</v>
      </c>
      <c r="AG130" s="101" t="s">
        <v>487</v>
      </c>
      <c r="AH130" s="101" t="s">
        <v>487</v>
      </c>
      <c r="AI130" s="94">
        <f>SUMIFS('Federal Data'!X2:X501,'Federal Data'!$G2:$G501,"Social Security",'Federal Data'!$D2:$D501,"Nongrant")</f>
        <v>269014328</v>
      </c>
      <c r="AJ130" s="101" t="s">
        <v>487</v>
      </c>
      <c r="AK130" s="101" t="s">
        <v>487</v>
      </c>
      <c r="AL130" s="94">
        <f>SUMIFS('Federal Data'!Y2:Y501,'Federal Data'!$G2:$G501,"Social Security",'Federal Data'!$D2:$D501,"Nongrant")</f>
        <v>287584387</v>
      </c>
      <c r="AM130" s="101" t="s">
        <v>487</v>
      </c>
      <c r="AN130" s="101" t="s">
        <v>487</v>
      </c>
      <c r="AO130" s="94">
        <f>SUMIFS('Federal Data'!Z2:Z501,'Federal Data'!$G2:$G501,"Social Security",'Federal Data'!$D2:$D501,"Nongrant")</f>
        <v>304584743</v>
      </c>
      <c r="AP130" s="101" t="s">
        <v>487</v>
      </c>
      <c r="AQ130" s="101" t="s">
        <v>487</v>
      </c>
      <c r="AR130" s="94">
        <f>SUMIFS('Federal Data'!AA2:AA501,'Federal Data'!$G2:$G501,"Social Security",'Federal Data'!$D2:$D501,"Nongrant")</f>
        <v>319564709</v>
      </c>
      <c r="AS130" s="101" t="s">
        <v>487</v>
      </c>
      <c r="AT130" s="101" t="s">
        <v>487</v>
      </c>
      <c r="AU130" s="94">
        <f>SUMIFS('Federal Data'!AB2:AB501,'Federal Data'!$G2:$G501,"Social Security",'Federal Data'!$D2:$D501,"Nongrant")</f>
        <v>335846000</v>
      </c>
      <c r="AV130" s="101" t="s">
        <v>487</v>
      </c>
      <c r="AW130" s="101" t="s">
        <v>487</v>
      </c>
      <c r="AX130" s="94">
        <f>SUMIFS('Federal Data'!AC2:AC501,'Federal Data'!$G2:$G501,"Social Security",'Federal Data'!$D2:$D501,"Nongrant")</f>
        <v>349671000</v>
      </c>
      <c r="AY130" s="101" t="s">
        <v>487</v>
      </c>
      <c r="AZ130" s="101" t="s">
        <v>487</v>
      </c>
      <c r="BA130" s="94">
        <f>SUMIFS('Federal Data'!AD2:AD501,'Federal Data'!$G2:$G501,"Social Security",'Federal Data'!$D2:$D501,"Nongrant")</f>
        <v>365251000</v>
      </c>
      <c r="BB130" s="101" t="s">
        <v>487</v>
      </c>
      <c r="BC130" s="101" t="s">
        <v>487</v>
      </c>
      <c r="BD130" s="94">
        <f>SUMIFS('Federal Data'!AE2:AE501,'Federal Data'!$G2:$G501,"Social Security",'Federal Data'!$D2:$D501,"Nongrant")</f>
        <v>379215000</v>
      </c>
      <c r="BE130" s="101" t="s">
        <v>487</v>
      </c>
      <c r="BF130" s="101" t="s">
        <v>487</v>
      </c>
      <c r="BG130" s="94">
        <f>SUMIFS('Federal Data'!AF2:AF501,'Federal Data'!$G2:$G501,"Social Security",'Federal Data'!$D2:$D501,"Nongrant")</f>
        <v>390037000</v>
      </c>
      <c r="BH130" s="101" t="s">
        <v>487</v>
      </c>
      <c r="BI130" s="101" t="s">
        <v>487</v>
      </c>
      <c r="BJ130" s="94">
        <f>SUMIFS('Federal Data'!AG2:AG501,'Federal Data'!$G2:$G501,"Social Security",'Federal Data'!$D2:$D501,"Nongrant")</f>
        <v>409417000</v>
      </c>
      <c r="BK130" s="101" t="s">
        <v>487</v>
      </c>
      <c r="BL130" s="101" t="s">
        <v>487</v>
      </c>
      <c r="BM130" s="94">
        <f>SUMIFS('Federal Data'!AH2:AH501,'Federal Data'!$G2:$G501,"Social Security",'Federal Data'!$D2:$D501,"Nongrant")</f>
        <v>432958000</v>
      </c>
      <c r="BN130" s="101" t="s">
        <v>487</v>
      </c>
      <c r="BO130" s="101" t="s">
        <v>487</v>
      </c>
      <c r="BP130" s="94">
        <f>SUMIFS('Federal Data'!AI2:AI501,'Federal Data'!$G2:$G501,"Social Security",'Federal Data'!$D2:$D501,"Nongrant")</f>
        <v>455979000</v>
      </c>
      <c r="BQ130" s="101" t="s">
        <v>487</v>
      </c>
      <c r="BR130" s="101" t="s">
        <v>487</v>
      </c>
      <c r="BS130" s="94">
        <f>SUMIFS('Federal Data'!AJ2:AJ501,'Federal Data'!$G2:$G501,"Social Security",'Federal Data'!$D2:$D501,"Nongrant")</f>
        <v>474678000</v>
      </c>
      <c r="BT130" s="101" t="s">
        <v>487</v>
      </c>
      <c r="BU130" s="101" t="s">
        <v>487</v>
      </c>
      <c r="BV130" s="94">
        <f>SUMIFS('Federal Data'!AK2:AK501,'Federal Data'!$G2:$G501,"Social Security",'Federal Data'!$D2:$D501,"Nongrant")</f>
        <v>495541000</v>
      </c>
      <c r="BW130" s="101" t="s">
        <v>487</v>
      </c>
      <c r="BX130" s="101" t="s">
        <v>487</v>
      </c>
      <c r="BY130" s="94">
        <f>SUMIFS('Federal Data'!AL2:AL501,'Federal Data'!$G2:$G501,"Social Security",'Federal Data'!$D2:$D501,"Nongrant")</f>
        <v>523303000</v>
      </c>
      <c r="BZ130" s="101" t="s">
        <v>487</v>
      </c>
      <c r="CA130" s="101" t="s">
        <v>487</v>
      </c>
      <c r="CB130" s="94">
        <f>SUMIFS('Federal Data'!AM2:AM501,'Federal Data'!$G2:$G501,"Social Security",'Federal Data'!$D2:$D501,"Nongrant")</f>
        <v>548540000</v>
      </c>
      <c r="CC130" s="101" t="s">
        <v>487</v>
      </c>
      <c r="CD130" s="101" t="s">
        <v>487</v>
      </c>
      <c r="CE130" s="94">
        <f>SUMIFS('Federal Data'!AN2:AN501,'Federal Data'!$G2:$G501,"Social Security",'Federal Data'!$D2:$D501,"Nongrant")</f>
        <v>586137000</v>
      </c>
      <c r="CF130" s="101" t="s">
        <v>487</v>
      </c>
      <c r="CG130" s="101" t="s">
        <v>487</v>
      </c>
      <c r="CH130" s="94">
        <f>SUMIFS('Federal Data'!AO2:AO501,'Federal Data'!$G2:$G501,"Social Security",'Federal Data'!$D2:$D501,"Nongrant")</f>
        <v>617004000</v>
      </c>
      <c r="CI130" s="101" t="s">
        <v>487</v>
      </c>
      <c r="CJ130" s="101" t="s">
        <v>487</v>
      </c>
      <c r="CK130" s="94">
        <f>SUMIFS('Federal Data'!AP2:AP501,'Federal Data'!$G2:$G501,"Social Security",'Federal Data'!$D2:$D501,"Nongrant")</f>
        <v>682918000</v>
      </c>
      <c r="CL130" s="101" t="s">
        <v>487</v>
      </c>
      <c r="CM130" s="101" t="s">
        <v>487</v>
      </c>
      <c r="CN130" s="94">
        <f>SUMIFS('Federal Data'!AQ2:AQ501,'Federal Data'!$G2:$G501,"Social Security",'Federal Data'!$D2:$D501,"Nongrant")</f>
        <v>706709000</v>
      </c>
      <c r="CO130" s="101" t="s">
        <v>487</v>
      </c>
      <c r="CP130" s="101" t="s">
        <v>487</v>
      </c>
      <c r="CQ130" s="94">
        <f>SUMIFS('Federal Data'!AR2:AR501,'Federal Data'!$G2:$G501,"Social Security",'Federal Data'!$D2:$D501,"Nongrant")</f>
        <v>730784000</v>
      </c>
      <c r="CR130" s="101" t="s">
        <v>487</v>
      </c>
      <c r="CS130" s="101" t="s">
        <v>487</v>
      </c>
      <c r="CT130" s="94">
        <f>SUMIFS('Federal Data'!AS2:AS501,'Federal Data'!$G2:$G501,"Social Security",'Federal Data'!$D2:$D501,"Nongrant")</f>
        <v>773261000</v>
      </c>
      <c r="CU130" s="101" t="s">
        <v>487</v>
      </c>
      <c r="CV130" s="101" t="s">
        <v>487</v>
      </c>
      <c r="CW130" s="94">
        <f>SUMIFS('Federal Data'!AT2:AT501,'Federal Data'!$G2:$G501,"Social Security",'Federal Data'!$D2:$D501,"Nongrant")</f>
        <v>813529000</v>
      </c>
      <c r="CX130" s="101" t="s">
        <v>487</v>
      </c>
      <c r="CY130" s="101" t="s">
        <v>487</v>
      </c>
      <c r="CZ130" s="94">
        <f>SUMIFS('Federal Data'!AU2:AU501,'Federal Data'!$G2:$G501,"Social Security",'Federal Data'!$D2:$D501,"Nongrant")</f>
        <v>850517000</v>
      </c>
      <c r="DA130" s="101" t="s">
        <v>487</v>
      </c>
      <c r="DB130" s="101" t="s">
        <v>487</v>
      </c>
      <c r="DC130" s="37">
        <f>SUMIFS('Federal Data'!AV2:AV501,'Federal Data'!$G2:$G501,"Social Security",'Federal Data'!$D2:$D501,"Nongrant")</f>
        <v>887738000</v>
      </c>
      <c r="DD130" s="85" t="s">
        <v>487</v>
      </c>
      <c r="DE130" s="85" t="s">
        <v>487</v>
      </c>
    </row>
    <row r="131" spans="1:109" outlineLevel="3">
      <c r="A131" s="31" t="s">
        <v>117</v>
      </c>
      <c r="B131" s="94">
        <f>SUMIFS('Federal Data'!M2:M501,'Federal Data'!$H2:$H501,"FOASI",'Federal Data'!$D2:$D501,"Nongrant")</f>
        <v>102669877</v>
      </c>
      <c r="C131" s="101" t="s">
        <v>487</v>
      </c>
      <c r="D131" s="101" t="s">
        <v>487</v>
      </c>
      <c r="E131" s="94">
        <f>SUMIFS('Federal Data'!N2:N501,'Federal Data'!$H2:$H501,"FOASI",'Federal Data'!$D2:$D501,"Nongrant")</f>
        <v>121764112</v>
      </c>
      <c r="F131" s="101" t="s">
        <v>487</v>
      </c>
      <c r="G131" s="101" t="s">
        <v>487</v>
      </c>
      <c r="H131" s="94">
        <f>SUMIFS('Federal Data'!O2:O501,'Federal Data'!$H2:$H501,"FOASI",'Federal Data'!$D2:$D501,"Nongrant")</f>
        <v>137253355</v>
      </c>
      <c r="I131" s="101" t="s">
        <v>487</v>
      </c>
      <c r="J131" s="101" t="s">
        <v>487</v>
      </c>
      <c r="K131" s="94">
        <f>SUMIFS('Federal Data'!P2:P501,'Federal Data'!$H2:$H501,"FOASI",'Federal Data'!$D2:$D501,"Nongrant")</f>
        <v>135209189</v>
      </c>
      <c r="L131" s="101" t="s">
        <v>487</v>
      </c>
      <c r="M131" s="101" t="s">
        <v>487</v>
      </c>
      <c r="N131" s="94">
        <f>SUMIFS('Federal Data'!Q2:Q501,'Federal Data'!$H2:$H501,"FOASI",'Federal Data'!$D2:$D501,"Nongrant")</f>
        <v>153323671</v>
      </c>
      <c r="O131" s="101" t="s">
        <v>487</v>
      </c>
      <c r="P131" s="101" t="s">
        <v>487</v>
      </c>
      <c r="Q131" s="94">
        <f>SUMIFS('Federal Data'!R2:R501,'Federal Data'!$H2:$H501,"FOASI",'Federal Data'!$D2:$D501,"Nongrant")</f>
        <v>164252414</v>
      </c>
      <c r="R131" s="101" t="s">
        <v>487</v>
      </c>
      <c r="S131" s="101" t="s">
        <v>487</v>
      </c>
      <c r="T131" s="94">
        <f>SUMIFS('Federal Data'!S2:S501,'Federal Data'!$H2:$H501,"FOASI",'Federal Data'!$D2:$D501,"Nongrant")</f>
        <v>171556101</v>
      </c>
      <c r="U131" s="101" t="s">
        <v>487</v>
      </c>
      <c r="V131" s="101" t="s">
        <v>487</v>
      </c>
      <c r="W131" s="94">
        <f>SUMIFS('Federal Data'!T2:T501,'Federal Data'!$H2:$H501,"FOASI",'Federal Data'!$D2:$D501,"Nongrant")</f>
        <v>180676586</v>
      </c>
      <c r="X131" s="101" t="s">
        <v>487</v>
      </c>
      <c r="Y131" s="101" t="s">
        <v>487</v>
      </c>
      <c r="Z131" s="94">
        <f>SUMIFS('Federal Data'!U2:U501,'Federal Data'!$H2:$H501,"FOASI",'Federal Data'!$D2:$D501,"Nongrant")</f>
        <v>191559286</v>
      </c>
      <c r="AA131" s="101" t="s">
        <v>487</v>
      </c>
      <c r="AB131" s="101" t="s">
        <v>487</v>
      </c>
      <c r="AC131" s="94">
        <f>SUMIFS('Federal Data'!V2:V501,'Federal Data'!$H2:$H501,"FOASI",'Federal Data'!$D2:$D501,"Nongrant")</f>
        <v>203332152</v>
      </c>
      <c r="AD131" s="101" t="s">
        <v>487</v>
      </c>
      <c r="AE131" s="101" t="s">
        <v>487</v>
      </c>
      <c r="AF131" s="94">
        <f>SUMIFS('Federal Data'!W2:W501,'Federal Data'!$H2:$H501,"FOASI",'Federal Data'!$D2:$D501,"Nongrant")</f>
        <v>219087132</v>
      </c>
      <c r="AG131" s="101" t="s">
        <v>487</v>
      </c>
      <c r="AH131" s="101" t="s">
        <v>487</v>
      </c>
      <c r="AI131" s="94">
        <f>SUMIFS('Federal Data'!X2:X501,'Federal Data'!$H2:$H501,"FOASI",'Federal Data'!$D2:$D501,"Nongrant")</f>
        <v>235403689</v>
      </c>
      <c r="AJ131" s="101" t="s">
        <v>487</v>
      </c>
      <c r="AK131" s="101" t="s">
        <v>487</v>
      </c>
      <c r="AL131" s="94">
        <f>SUMIFS('Federal Data'!Y2:Y501,'Federal Data'!$H2:$H501,"FOASI",'Federal Data'!$D2:$D501,"Nongrant")</f>
        <v>250339747</v>
      </c>
      <c r="AM131" s="101" t="s">
        <v>487</v>
      </c>
      <c r="AN131" s="101" t="s">
        <v>487</v>
      </c>
      <c r="AO131" s="94">
        <f>SUMIFS('Federal Data'!Z2:Z501,'Federal Data'!$H2:$H501,"FOASI",'Federal Data'!$D2:$D501,"Nongrant")</f>
        <v>263988277</v>
      </c>
      <c r="AP131" s="101" t="s">
        <v>487</v>
      </c>
      <c r="AQ131" s="101" t="s">
        <v>487</v>
      </c>
      <c r="AR131" s="94">
        <f>SUMIFS('Federal Data'!AA2:AA501,'Federal Data'!$H2:$H501,"FOASI",'Federal Data'!$D2:$D501,"Nongrant")</f>
        <v>276207426</v>
      </c>
      <c r="AS131" s="101" t="s">
        <v>487</v>
      </c>
      <c r="AT131" s="101" t="s">
        <v>487</v>
      </c>
      <c r="AU131" s="94">
        <f>SUMIFS('Federal Data'!AB2:AB501,'Federal Data'!$H2:$H501,"FOASI",'Federal Data'!$D2:$D501,"Nongrant")</f>
        <v>289331000</v>
      </c>
      <c r="AV131" s="101" t="s">
        <v>487</v>
      </c>
      <c r="AW131" s="101" t="s">
        <v>487</v>
      </c>
      <c r="AX131" s="94">
        <f>SUMIFS('Federal Data'!AC2:AC501,'Federal Data'!$H2:$H501,"FOASI",'Federal Data'!$D2:$D501,"Nongrant")</f>
        <v>299560000</v>
      </c>
      <c r="AY131" s="101" t="s">
        <v>487</v>
      </c>
      <c r="AZ131" s="101" t="s">
        <v>487</v>
      </c>
      <c r="BA131" s="94">
        <f>SUMIFS('Federal Data'!AD2:AD501,'Federal Data'!$H2:$H501,"FOASI",'Federal Data'!$D2:$D501,"Nongrant")</f>
        <v>312083000</v>
      </c>
      <c r="BB131" s="101" t="s">
        <v>487</v>
      </c>
      <c r="BC131" s="101" t="s">
        <v>487</v>
      </c>
      <c r="BD131" s="94">
        <f>SUMIFS('Federal Data'!AE2:AE501,'Federal Data'!$H2:$H501,"FOASI",'Federal Data'!$D2:$D501,"Nongrant")</f>
        <v>321149000</v>
      </c>
      <c r="BE131" s="101" t="s">
        <v>487</v>
      </c>
      <c r="BF131" s="101" t="s">
        <v>487</v>
      </c>
      <c r="BG131" s="94">
        <f>SUMIFS('Federal Data'!AF2:AF501,'Federal Data'!$H2:$H501,"FOASI",'Federal Data'!$D2:$D501,"Nongrant")</f>
        <v>327718000</v>
      </c>
      <c r="BH131" s="101" t="s">
        <v>487</v>
      </c>
      <c r="BI131" s="101" t="s">
        <v>487</v>
      </c>
      <c r="BJ131" s="94">
        <f>SUMIFS('Federal Data'!AG2:AG501,'Federal Data'!$H2:$H501,"FOASI",'Federal Data'!$D2:$D501,"Nongrant")</f>
        <v>340918000</v>
      </c>
      <c r="BK131" s="101" t="s">
        <v>487</v>
      </c>
      <c r="BL131" s="101" t="s">
        <v>487</v>
      </c>
      <c r="BM131" s="94">
        <f>SUMIFS('Federal Data'!AH2:AH501,'Federal Data'!$H2:$H501,"FOASI",'Federal Data'!$D2:$D501,"Nongrant")</f>
        <v>361229000</v>
      </c>
      <c r="BN131" s="101" t="s">
        <v>487</v>
      </c>
      <c r="BO131" s="101" t="s">
        <v>487</v>
      </c>
      <c r="BP131" s="94">
        <f>SUMIFS('Federal Data'!AI2:AI501,'Federal Data'!$H2:$H501,"FOASI",'Federal Data'!$D2:$D501,"Nongrant")</f>
        <v>376540000</v>
      </c>
      <c r="BQ131" s="101" t="s">
        <v>487</v>
      </c>
      <c r="BR131" s="101" t="s">
        <v>487</v>
      </c>
      <c r="BS131" s="94">
        <f>SUMIFS('Federal Data'!AJ2:AJ501,'Federal Data'!$H2:$H501,"FOASI",'Federal Data'!$D2:$D501,"Nongrant")</f>
        <v>390330000</v>
      </c>
      <c r="BT131" s="101" t="s">
        <v>487</v>
      </c>
      <c r="BU131" s="101" t="s">
        <v>487</v>
      </c>
      <c r="BV131" s="94">
        <f>SUMIFS('Federal Data'!AK2:AK501,'Federal Data'!$H2:$H501,"FOASI",'Federal Data'!$D2:$D501,"Nongrant")</f>
        <v>404005000</v>
      </c>
      <c r="BW131" s="101" t="s">
        <v>487</v>
      </c>
      <c r="BX131" s="101" t="s">
        <v>487</v>
      </c>
      <c r="BY131" s="94">
        <f>SUMIFS('Federal Data'!AL2:AL501,'Federal Data'!$H2:$H501,"FOASI",'Federal Data'!$D2:$D501,"Nongrant")</f>
        <v>421467000</v>
      </c>
      <c r="BZ131" s="101" t="s">
        <v>487</v>
      </c>
      <c r="CA131" s="101" t="s">
        <v>487</v>
      </c>
      <c r="CB131" s="94">
        <f>SUMIFS('Federal Data'!AM2:AM501,'Federal Data'!$H2:$H501,"FOASI",'Federal Data'!$D2:$D501,"Nongrant")</f>
        <v>440413000</v>
      </c>
      <c r="CC131" s="101" t="s">
        <v>487</v>
      </c>
      <c r="CD131" s="101" t="s">
        <v>487</v>
      </c>
      <c r="CE131" s="94">
        <f>SUMIFS('Federal Data'!AN2:AN501,'Federal Data'!$H2:$H501,"FOASI",'Federal Data'!$D2:$D501,"Nongrant")</f>
        <v>468456000</v>
      </c>
      <c r="CF131" s="101" t="s">
        <v>487</v>
      </c>
      <c r="CG131" s="101" t="s">
        <v>487</v>
      </c>
      <c r="CH131" s="94">
        <f>SUMIFS('Federal Data'!AO2:AO501,'Federal Data'!$H2:$H501,"FOASI",'Federal Data'!$D2:$D501,"Nongrant")</f>
        <v>493467000</v>
      </c>
      <c r="CI131" s="101" t="s">
        <v>487</v>
      </c>
      <c r="CJ131" s="101" t="s">
        <v>487</v>
      </c>
      <c r="CK131" s="94">
        <f>SUMIFS('Federal Data'!AP2:AP501,'Federal Data'!$H2:$H501,"FOASI",'Federal Data'!$D2:$D501,"Nongrant")</f>
        <v>532671000</v>
      </c>
      <c r="CL131" s="101" t="s">
        <v>487</v>
      </c>
      <c r="CM131" s="101" t="s">
        <v>487</v>
      </c>
      <c r="CN131" s="94">
        <f>SUMIFS('Federal Data'!AQ2:AQ501,'Federal Data'!$H2:$H501,"FOASI",'Federal Data'!$D2:$D501,"Nongrant")</f>
        <v>558820000</v>
      </c>
      <c r="CO131" s="101" t="s">
        <v>487</v>
      </c>
      <c r="CP131" s="101" t="s">
        <v>487</v>
      </c>
      <c r="CQ131" s="94">
        <f>SUMIFS('Federal Data'!AR2:AR501,'Federal Data'!$H2:$H501,"FOASI",'Federal Data'!$D2:$D501,"Nongrant")</f>
        <v>510613000</v>
      </c>
      <c r="CR131" s="101" t="s">
        <v>487</v>
      </c>
      <c r="CS131" s="101" t="s">
        <v>487</v>
      </c>
      <c r="CT131" s="94">
        <f>SUMIFS('Federal Data'!AS2:AS501,'Federal Data'!$H2:$H501,"FOASI",'Federal Data'!$D2:$D501,"Nongrant")</f>
        <v>511071000</v>
      </c>
      <c r="CU131" s="101" t="s">
        <v>487</v>
      </c>
      <c r="CV131" s="101" t="s">
        <v>487</v>
      </c>
      <c r="CW131" s="94">
        <f>SUMIFS('Federal Data'!AT2:AT501,'Federal Data'!$H2:$H501,"FOASI",'Federal Data'!$D2:$D501,"Nongrant")</f>
        <v>620374000</v>
      </c>
      <c r="CX131" s="101" t="s">
        <v>487</v>
      </c>
      <c r="CY131" s="101" t="s">
        <v>487</v>
      </c>
      <c r="CZ131" s="94">
        <f>SUMIFS('Federal Data'!AU2:AU501,'Federal Data'!$H2:$H501,"FOASI",'Federal Data'!$D2:$D501,"Nongrant")</f>
        <v>681134000</v>
      </c>
      <c r="DA131" s="101" t="s">
        <v>487</v>
      </c>
      <c r="DB131" s="101" t="s">
        <v>487</v>
      </c>
      <c r="DC131" s="37">
        <f>SUMIFS('Federal Data'!AV2:AV501,'Federal Data'!$H2:$H501,"FOASI",'Federal Data'!$D2:$D501,"Nongrant")</f>
        <v>711607000</v>
      </c>
      <c r="DD131" s="85" t="s">
        <v>487</v>
      </c>
      <c r="DE131" s="85" t="s">
        <v>487</v>
      </c>
    </row>
    <row r="132" spans="1:109" outlineLevel="3">
      <c r="A132" s="31" t="s">
        <v>118</v>
      </c>
      <c r="B132" s="94">
        <f>SUMIFS('Federal Data'!M2:M501,'Federal Data'!$H2:$H501,"FDI",'Federal Data'!$D2:$D501,"Nongrant")</f>
        <v>15201844</v>
      </c>
      <c r="C132" s="101" t="s">
        <v>487</v>
      </c>
      <c r="D132" s="101" t="s">
        <v>487</v>
      </c>
      <c r="E132" s="94">
        <f>SUMIFS('Federal Data'!N2:N501,'Federal Data'!$H2:$H501,"FDI",'Federal Data'!$D2:$D501,"Nongrant")</f>
        <v>17149860</v>
      </c>
      <c r="F132" s="101" t="s">
        <v>487</v>
      </c>
      <c r="G132" s="101" t="s">
        <v>487</v>
      </c>
      <c r="H132" s="94">
        <f>SUMIFS('Federal Data'!O2:O501,'Federal Data'!$H2:$H501,"FDI",'Federal Data'!$D2:$D501,"Nongrant")</f>
        <v>17867070</v>
      </c>
      <c r="I132" s="101" t="s">
        <v>487</v>
      </c>
      <c r="J132" s="101" t="s">
        <v>487</v>
      </c>
      <c r="K132" s="94">
        <f>SUMIFS('Federal Data'!P2:P501,'Federal Data'!$H2:$H501,"FDI",'Federal Data'!$D2:$D501,"Nongrant")</f>
        <v>15412330</v>
      </c>
      <c r="L132" s="101" t="s">
        <v>487</v>
      </c>
      <c r="M132" s="101" t="s">
        <v>487</v>
      </c>
      <c r="N132" s="94">
        <f>SUMIFS('Federal Data'!Q2:Q501,'Federal Data'!$H2:$H501,"FDI",'Federal Data'!$D2:$D501,"Nongrant")</f>
        <v>17082978</v>
      </c>
      <c r="O132" s="101" t="s">
        <v>487</v>
      </c>
      <c r="P132" s="101" t="s">
        <v>487</v>
      </c>
      <c r="Q132" s="94">
        <f>SUMIFS('Federal Data'!R2:R501,'Federal Data'!$H2:$H501,"FDI",'Federal Data'!$D2:$D501,"Nongrant")</f>
        <v>18390511</v>
      </c>
      <c r="R132" s="101" t="s">
        <v>487</v>
      </c>
      <c r="S132" s="101" t="s">
        <v>487</v>
      </c>
      <c r="T132" s="94">
        <f>SUMIFS('Federal Data'!S2:S501,'Federal Data'!$H2:$H501,"FDI",'Federal Data'!$D2:$D501,"Nongrant")</f>
        <v>18611831</v>
      </c>
      <c r="U132" s="101" t="s">
        <v>487</v>
      </c>
      <c r="V132" s="101" t="s">
        <v>487</v>
      </c>
      <c r="W132" s="94">
        <f>SUMIFS('Federal Data'!T2:T501,'Federal Data'!$H2:$H501,"FDI",'Federal Data'!$D2:$D501,"Nongrant")</f>
        <v>21060196</v>
      </c>
      <c r="X132" s="101" t="s">
        <v>487</v>
      </c>
      <c r="Y132" s="101" t="s">
        <v>487</v>
      </c>
      <c r="Z132" s="94">
        <f>SUMIFS('Federal Data'!U2:U501,'Federal Data'!$H2:$H501,"FDI",'Federal Data'!$D2:$D501,"Nongrant")</f>
        <v>22013695</v>
      </c>
      <c r="AA132" s="101" t="s">
        <v>487</v>
      </c>
      <c r="AB132" s="101" t="s">
        <v>487</v>
      </c>
      <c r="AC132" s="94">
        <f>SUMIFS('Federal Data'!V2:V501,'Federal Data'!$H2:$H501,"FDI",'Federal Data'!$D2:$D501,"Nongrant")</f>
        <v>23055898</v>
      </c>
      <c r="AD132" s="101" t="s">
        <v>487</v>
      </c>
      <c r="AE132" s="101" t="s">
        <v>487</v>
      </c>
      <c r="AF132" s="94">
        <f>SUMIFS('Federal Data'!W2:W501,'Federal Data'!$H2:$H501,"FDI",'Federal Data'!$D2:$D501,"Nongrant")</f>
        <v>24828217</v>
      </c>
      <c r="AG132" s="101" t="s">
        <v>487</v>
      </c>
      <c r="AH132" s="101" t="s">
        <v>487</v>
      </c>
      <c r="AI132" s="94">
        <f>SUMIFS('Federal Data'!X2:X501,'Federal Data'!$H2:$H501,"FDI",'Federal Data'!$D2:$D501,"Nongrant")</f>
        <v>27639512</v>
      </c>
      <c r="AJ132" s="101" t="s">
        <v>487</v>
      </c>
      <c r="AK132" s="101" t="s">
        <v>487</v>
      </c>
      <c r="AL132" s="94">
        <f>SUMIFS('Federal Data'!Y2:Y501,'Federal Data'!$H2:$H501,"FDI",'Federal Data'!$D2:$D501,"Nongrant")</f>
        <v>31078594</v>
      </c>
      <c r="AM132" s="101" t="s">
        <v>487</v>
      </c>
      <c r="AN132" s="101" t="s">
        <v>487</v>
      </c>
      <c r="AO132" s="94">
        <f>SUMIFS('Federal Data'!Z2:Z501,'Federal Data'!$H2:$H501,"FDI",'Federal Data'!$D2:$D501,"Nongrant")</f>
        <v>34360665</v>
      </c>
      <c r="AP132" s="101" t="s">
        <v>487</v>
      </c>
      <c r="AQ132" s="101" t="s">
        <v>487</v>
      </c>
      <c r="AR132" s="94">
        <f>SUMIFS('Federal Data'!AA2:AA501,'Federal Data'!$H2:$H501,"FDI",'Federal Data'!$D2:$D501,"Nongrant")</f>
        <v>37673832</v>
      </c>
      <c r="AS132" s="101" t="s">
        <v>487</v>
      </c>
      <c r="AT132" s="101" t="s">
        <v>487</v>
      </c>
      <c r="AU132" s="94">
        <f>SUMIFS('Federal Data'!AB2:AB501,'Federal Data'!$H2:$H501,"FDI",'Federal Data'!$D2:$D501,"Nongrant")</f>
        <v>41039000</v>
      </c>
      <c r="AV132" s="101" t="s">
        <v>487</v>
      </c>
      <c r="AW132" s="101" t="s">
        <v>487</v>
      </c>
      <c r="AX132" s="94">
        <f>SUMIFS('Federal Data'!AC2:AC501,'Federal Data'!$H2:$H501,"FDI",'Federal Data'!$D2:$D501,"Nongrant")</f>
        <v>43977000</v>
      </c>
      <c r="AY132" s="101" t="s">
        <v>487</v>
      </c>
      <c r="AZ132" s="101" t="s">
        <v>487</v>
      </c>
      <c r="BA132" s="94">
        <f>SUMIFS('Federal Data'!AD2:AD501,'Federal Data'!$H2:$H501,"FDI",'Federal Data'!$D2:$D501,"Nongrant")</f>
        <v>46289000</v>
      </c>
      <c r="BB132" s="101" t="s">
        <v>487</v>
      </c>
      <c r="BC132" s="101" t="s">
        <v>487</v>
      </c>
      <c r="BD132" s="94">
        <f>SUMIFS('Federal Data'!AE2:AE501,'Federal Data'!$H2:$H501,"FDI",'Federal Data'!$D2:$D501,"Nongrant")</f>
        <v>48920000</v>
      </c>
      <c r="BE132" s="101" t="s">
        <v>487</v>
      </c>
      <c r="BF132" s="101" t="s">
        <v>487</v>
      </c>
      <c r="BG132" s="94">
        <f>SUMIFS('Federal Data'!AF2:AF501,'Federal Data'!$H2:$H501,"FDI",'Federal Data'!$D2:$D501,"Nongrant")</f>
        <v>51495000</v>
      </c>
      <c r="BH132" s="101" t="s">
        <v>487</v>
      </c>
      <c r="BI132" s="101" t="s">
        <v>487</v>
      </c>
      <c r="BJ132" s="94">
        <f>SUMIFS('Federal Data'!AG2:AG501,'Federal Data'!$H2:$H501,"FDI",'Federal Data'!$D2:$D501,"Nongrant")</f>
        <v>55245000</v>
      </c>
      <c r="BK132" s="101" t="s">
        <v>487</v>
      </c>
      <c r="BL132" s="101" t="s">
        <v>487</v>
      </c>
      <c r="BM132" s="94">
        <f>SUMIFS('Federal Data'!AH2:AH501,'Federal Data'!$H2:$H501,"FDI",'Federal Data'!$D2:$D501,"Nongrant")</f>
        <v>59198000</v>
      </c>
      <c r="BN132" s="101" t="s">
        <v>487</v>
      </c>
      <c r="BO132" s="101" t="s">
        <v>487</v>
      </c>
      <c r="BP132" s="94">
        <f>SUMIFS('Federal Data'!AI2:AI501,'Federal Data'!$H2:$H501,"FDI",'Federal Data'!$D2:$D501,"Nongrant")</f>
        <v>65423000</v>
      </c>
      <c r="BQ132" s="101" t="s">
        <v>487</v>
      </c>
      <c r="BR132" s="101" t="s">
        <v>487</v>
      </c>
      <c r="BS132" s="94">
        <f>SUMIFS('Federal Data'!AJ2:AJ501,'Federal Data'!$H2:$H501,"FDI",'Federal Data'!$D2:$D501,"Nongrant")</f>
        <v>70991000</v>
      </c>
      <c r="BT132" s="101" t="s">
        <v>487</v>
      </c>
      <c r="BU132" s="101" t="s">
        <v>487</v>
      </c>
      <c r="BV132" s="94">
        <f>SUMIFS('Federal Data'!AK2:AK501,'Federal Data'!$H2:$H501,"FDI",'Federal Data'!$D2:$D501,"Nongrant")</f>
        <v>77415000</v>
      </c>
      <c r="BW132" s="101" t="s">
        <v>487</v>
      </c>
      <c r="BX132" s="101" t="s">
        <v>487</v>
      </c>
      <c r="BY132" s="94">
        <f>SUMIFS('Federal Data'!AL2:AL501,'Federal Data'!$H2:$H501,"FDI",'Federal Data'!$D2:$D501,"Nongrant")</f>
        <v>85249000</v>
      </c>
      <c r="BZ132" s="101" t="s">
        <v>487</v>
      </c>
      <c r="CA132" s="101" t="s">
        <v>487</v>
      </c>
      <c r="CB132" s="94">
        <f>SUMIFS('Federal Data'!AM2:AM501,'Federal Data'!$H2:$H501,"FDI",'Federal Data'!$D2:$D501,"Nongrant")</f>
        <v>91757000</v>
      </c>
      <c r="CC132" s="101" t="s">
        <v>487</v>
      </c>
      <c r="CD132" s="101" t="s">
        <v>487</v>
      </c>
      <c r="CE132" s="94">
        <f>SUMIFS('Federal Data'!AN2:AN501,'Federal Data'!$H2:$H501,"FDI",'Federal Data'!$D2:$D501,"Nongrant")</f>
        <v>98295000</v>
      </c>
      <c r="CF132" s="101" t="s">
        <v>487</v>
      </c>
      <c r="CG132" s="101" t="s">
        <v>487</v>
      </c>
      <c r="CH132" s="94">
        <f>SUMIFS('Federal Data'!AO2:AO501,'Federal Data'!$H2:$H501,"FDI",'Federal Data'!$D2:$D501,"Nongrant")</f>
        <v>105754000</v>
      </c>
      <c r="CI132" s="101" t="s">
        <v>487</v>
      </c>
      <c r="CJ132" s="101" t="s">
        <v>487</v>
      </c>
      <c r="CK132" s="94">
        <f>SUMIFS('Federal Data'!AP2:AP501,'Federal Data'!$H2:$H501,"FDI",'Federal Data'!$D2:$D501,"Nongrant")</f>
        <v>116151000</v>
      </c>
      <c r="CL132" s="101" t="s">
        <v>487</v>
      </c>
      <c r="CM132" s="101" t="s">
        <v>487</v>
      </c>
      <c r="CN132" s="94">
        <f>SUMIFS('Federal Data'!AQ2:AQ501,'Federal Data'!$H2:$H501,"FDI",'Federal Data'!$D2:$D501,"Nongrant")</f>
        <v>124567000</v>
      </c>
      <c r="CO132" s="101" t="s">
        <v>487</v>
      </c>
      <c r="CP132" s="101" t="s">
        <v>487</v>
      </c>
      <c r="CQ132" s="94">
        <f>SUMIFS('Federal Data'!AR2:AR501,'Federal Data'!$H2:$H501,"FDI",'Federal Data'!$D2:$D501,"Nongrant")</f>
        <v>118097000</v>
      </c>
      <c r="CR132" s="101" t="s">
        <v>487</v>
      </c>
      <c r="CS132" s="101" t="s">
        <v>487</v>
      </c>
      <c r="CT132" s="94">
        <f>SUMIFS('Federal Data'!AS2:AS501,'Federal Data'!$H2:$H501,"FDI",'Federal Data'!$D2:$D501,"Nongrant")</f>
        <v>121805000</v>
      </c>
      <c r="CU132" s="101" t="s">
        <v>487</v>
      </c>
      <c r="CV132" s="101" t="s">
        <v>487</v>
      </c>
      <c r="CW132" s="94">
        <f>SUMIFS('Federal Data'!AT2:AT501,'Federal Data'!$H2:$H501,"FDI",'Federal Data'!$D2:$D501,"Nongrant")</f>
        <v>137076000</v>
      </c>
      <c r="CX132" s="101" t="s">
        <v>487</v>
      </c>
      <c r="CY132" s="101" t="s">
        <v>487</v>
      </c>
      <c r="CZ132" s="94">
        <f>SUMIFS('Federal Data'!AU2:AU501,'Federal Data'!$H2:$H501,"FDI",'Federal Data'!$D2:$D501,"Nongrant")</f>
        <v>143490000</v>
      </c>
      <c r="DA132" s="101" t="s">
        <v>487</v>
      </c>
      <c r="DB132" s="101" t="s">
        <v>487</v>
      </c>
      <c r="DC132" s="37">
        <f>SUMIFS('Federal Data'!AV2:AV501,'Federal Data'!$H2:$H501,"FDI",'Federal Data'!$D2:$D501,"Nongrant")</f>
        <v>145141000</v>
      </c>
      <c r="DD132" s="85" t="s">
        <v>487</v>
      </c>
      <c r="DE132" s="85" t="s">
        <v>487</v>
      </c>
    </row>
    <row r="133" spans="1:109" outlineLevel="3">
      <c r="A133" s="31" t="s">
        <v>119</v>
      </c>
      <c r="B133" s="94">
        <f>SUMIFS('Federal Data'!M2:M501,'Federal Data'!$H2:$H501,"Other Social Security",'Federal Data'!$D2:$D501,"Nongrant")</f>
        <v>675080</v>
      </c>
      <c r="C133" s="101" t="s">
        <v>487</v>
      </c>
      <c r="D133" s="101" t="s">
        <v>487</v>
      </c>
      <c r="E133" s="94">
        <f>SUMIFS('Federal Data'!N2:N501,'Federal Data'!$H2:$H501,"Other Social Security",'Federal Data'!$D2:$D501,"Nongrant")</f>
        <v>670456</v>
      </c>
      <c r="F133" s="101" t="s">
        <v>487</v>
      </c>
      <c r="G133" s="101" t="s">
        <v>487</v>
      </c>
      <c r="H133" s="94">
        <f>SUMIFS('Federal Data'!O2:O501,'Federal Data'!$H2:$H501,"Other Social Security",'Federal Data'!$D2:$D501,"Nongrant")</f>
        <v>843515</v>
      </c>
      <c r="I133" s="101" t="s">
        <v>487</v>
      </c>
      <c r="J133" s="101" t="s">
        <v>487</v>
      </c>
      <c r="K133" s="94">
        <f>SUMIFS('Federal Data'!P2:P501,'Federal Data'!$H2:$H501,"Other Social Security",'Federal Data'!$D2:$D501,"Nongrant")</f>
        <v>20102020</v>
      </c>
      <c r="L133" s="101" t="s">
        <v>487</v>
      </c>
      <c r="M133" s="101" t="s">
        <v>487</v>
      </c>
      <c r="N133" s="94">
        <f>SUMIFS('Federal Data'!Q2:Q501,'Federal Data'!$H2:$H501,"Other Social Security",'Federal Data'!$D2:$D501,"Nongrant")</f>
        <v>7816167</v>
      </c>
      <c r="O133" s="101" t="s">
        <v>487</v>
      </c>
      <c r="P133" s="101" t="s">
        <v>487</v>
      </c>
      <c r="Q133" s="94">
        <f>SUMIFS('Federal Data'!R2:R501,'Federal Data'!$H2:$H501,"Other Social Security",'Federal Data'!$D2:$D501,"Nongrant")</f>
        <v>5980157</v>
      </c>
      <c r="R133" s="101" t="s">
        <v>487</v>
      </c>
      <c r="S133" s="101" t="s">
        <v>487</v>
      </c>
      <c r="T133" s="94">
        <f>SUMIFS('Federal Data'!S2:S501,'Federal Data'!$H2:$H501,"Other Social Security",'Federal Data'!$D2:$D501,"Nongrant")</f>
        <v>8588434</v>
      </c>
      <c r="U133" s="101" t="s">
        <v>487</v>
      </c>
      <c r="V133" s="101" t="s">
        <v>487</v>
      </c>
      <c r="W133" s="94">
        <f>SUMIFS('Federal Data'!T2:T501,'Federal Data'!$H2:$H501,"Other Social Security",'Federal Data'!$D2:$D501,"Nongrant")</f>
        <v>5615194</v>
      </c>
      <c r="X133" s="101" t="s">
        <v>487</v>
      </c>
      <c r="Y133" s="101" t="s">
        <v>487</v>
      </c>
      <c r="Z133" s="94">
        <f>SUMIFS('Federal Data'!U2:U501,'Federal Data'!$H2:$H501,"Other Social Security",'Federal Data'!$D2:$D501,"Nongrant")</f>
        <v>5767600</v>
      </c>
      <c r="AA133" s="101" t="s">
        <v>487</v>
      </c>
      <c r="AB133" s="101" t="s">
        <v>487</v>
      </c>
      <c r="AC133" s="94">
        <f>SUMIFS('Federal Data'!V2:V501,'Federal Data'!$H2:$H501,"Other Social Security",'Federal Data'!$D2:$D501,"Nongrant")</f>
        <v>6154027</v>
      </c>
      <c r="AD133" s="101" t="s">
        <v>487</v>
      </c>
      <c r="AE133" s="101" t="s">
        <v>487</v>
      </c>
      <c r="AF133" s="94">
        <f>SUMIFS('Federal Data'!W2:W501,'Federal Data'!$H2:$H501,"Other Social Security",'Federal Data'!$D2:$D501,"Nongrant")</f>
        <v>4707249</v>
      </c>
      <c r="AG133" s="101" t="s">
        <v>487</v>
      </c>
      <c r="AH133" s="101" t="s">
        <v>487</v>
      </c>
      <c r="AI133" s="94">
        <f>SUMIFS('Federal Data'!X2:X501,'Federal Data'!$H2:$H501,"Other Social Security",'Federal Data'!$D2:$D501,"Nongrant")</f>
        <v>5971127</v>
      </c>
      <c r="AJ133" s="101" t="s">
        <v>487</v>
      </c>
      <c r="AK133" s="101" t="s">
        <v>487</v>
      </c>
      <c r="AL133" s="94">
        <f>SUMIFS('Federal Data'!Y2:Y501,'Federal Data'!$H2:$H501,"Other Social Security",'Federal Data'!$D2:$D501,"Nongrant")</f>
        <v>6166046</v>
      </c>
      <c r="AM133" s="101" t="s">
        <v>487</v>
      </c>
      <c r="AN133" s="101" t="s">
        <v>487</v>
      </c>
      <c r="AO133" s="94">
        <f>SUMIFS('Federal Data'!Z2:Z501,'Federal Data'!$H2:$H501,"Other Social Security",'Federal Data'!$D2:$D501,"Nongrant")</f>
        <v>6235801</v>
      </c>
      <c r="AP133" s="101" t="s">
        <v>487</v>
      </c>
      <c r="AQ133" s="101" t="s">
        <v>487</v>
      </c>
      <c r="AR133" s="94">
        <f>SUMIFS('Federal Data'!AA2:AA501,'Federal Data'!$H2:$H501,"Other Social Security",'Federal Data'!$D2:$D501,"Nongrant")</f>
        <v>5683451</v>
      </c>
      <c r="AS133" s="101" t="s">
        <v>487</v>
      </c>
      <c r="AT133" s="101" t="s">
        <v>487</v>
      </c>
      <c r="AU133" s="94">
        <f>SUMIFS('Federal Data'!AB2:AB501,'Federal Data'!$H2:$H501,"Other Social Security",'Federal Data'!$D2:$D501,"Nongrant")</f>
        <v>5476000</v>
      </c>
      <c r="AV133" s="101" t="s">
        <v>487</v>
      </c>
      <c r="AW133" s="101" t="s">
        <v>487</v>
      </c>
      <c r="AX133" s="94">
        <f>SUMIFS('Federal Data'!AC2:AC501,'Federal Data'!$H2:$H501,"Other Social Security",'Federal Data'!$D2:$D501,"Nongrant")</f>
        <v>6134000</v>
      </c>
      <c r="AY133" s="101" t="s">
        <v>487</v>
      </c>
      <c r="AZ133" s="101" t="s">
        <v>487</v>
      </c>
      <c r="BA133" s="94">
        <f>SUMIFS('Federal Data'!AD2:AD501,'Federal Data'!$H2:$H501,"Other Social Security",'Federal Data'!$D2:$D501,"Nongrant")</f>
        <v>6879000</v>
      </c>
      <c r="BB133" s="101" t="s">
        <v>487</v>
      </c>
      <c r="BC133" s="101" t="s">
        <v>487</v>
      </c>
      <c r="BD133" s="94">
        <f>SUMIFS('Federal Data'!AE2:AE501,'Federal Data'!$H2:$H501,"Other Social Security",'Federal Data'!$D2:$D501,"Nongrant")</f>
        <v>9146000</v>
      </c>
      <c r="BE133" s="101" t="s">
        <v>487</v>
      </c>
      <c r="BF133" s="101" t="s">
        <v>487</v>
      </c>
      <c r="BG133" s="94">
        <f>SUMIFS('Federal Data'!AF2:AF501,'Federal Data'!$H2:$H501,"Other Social Security",'Federal Data'!$D2:$D501,"Nongrant")</f>
        <v>10824000</v>
      </c>
      <c r="BH133" s="101" t="s">
        <v>487</v>
      </c>
      <c r="BI133" s="101" t="s">
        <v>487</v>
      </c>
      <c r="BJ133" s="94">
        <f>SUMIFS('Federal Data'!AG2:AG501,'Federal Data'!$H2:$H501,"Other Social Security",'Federal Data'!$D2:$D501,"Nongrant")</f>
        <v>13254000</v>
      </c>
      <c r="BK133" s="101" t="s">
        <v>487</v>
      </c>
      <c r="BL133" s="101" t="s">
        <v>487</v>
      </c>
      <c r="BM133" s="94">
        <f>SUMIFS('Federal Data'!AH2:AH501,'Federal Data'!$H2:$H501,"Other Social Security",'Federal Data'!$D2:$D501,"Nongrant")</f>
        <v>12531000</v>
      </c>
      <c r="BN133" s="101" t="s">
        <v>487</v>
      </c>
      <c r="BO133" s="101" t="s">
        <v>487</v>
      </c>
      <c r="BP133" s="94">
        <f>SUMIFS('Federal Data'!AI2:AI501,'Federal Data'!$H2:$H501,"Other Social Security",'Federal Data'!$D2:$D501,"Nongrant")</f>
        <v>14016000</v>
      </c>
      <c r="BQ133" s="101" t="s">
        <v>487</v>
      </c>
      <c r="BR133" s="101" t="s">
        <v>487</v>
      </c>
      <c r="BS133" s="94">
        <f>SUMIFS('Federal Data'!AJ2:AJ501,'Federal Data'!$H2:$H501,"Other Social Security",'Federal Data'!$D2:$D501,"Nongrant")</f>
        <v>13357000</v>
      </c>
      <c r="BT133" s="101" t="s">
        <v>487</v>
      </c>
      <c r="BU133" s="101" t="s">
        <v>487</v>
      </c>
      <c r="BV133" s="94">
        <f>SUMIFS('Federal Data'!AK2:AK501,'Federal Data'!$H2:$H501,"Other Social Security",'Federal Data'!$D2:$D501,"Nongrant")</f>
        <v>14121000</v>
      </c>
      <c r="BW133" s="101" t="s">
        <v>487</v>
      </c>
      <c r="BX133" s="101" t="s">
        <v>487</v>
      </c>
      <c r="BY133" s="94">
        <f>SUMIFS('Federal Data'!AL2:AL501,'Federal Data'!$H2:$H501,"Other Social Security",'Federal Data'!$D2:$D501,"Nongrant")</f>
        <v>16587000</v>
      </c>
      <c r="BZ133" s="101" t="s">
        <v>487</v>
      </c>
      <c r="CA133" s="101" t="s">
        <v>487</v>
      </c>
      <c r="CB133" s="94">
        <f>SUMIFS('Federal Data'!AM2:AM501,'Federal Data'!$H2:$H501,"Other Social Security",'Federal Data'!$D2:$D501,"Nongrant")</f>
        <v>16370000</v>
      </c>
      <c r="CC133" s="101" t="s">
        <v>487</v>
      </c>
      <c r="CD133" s="101" t="s">
        <v>487</v>
      </c>
      <c r="CE133" s="94">
        <f>SUMIFS('Federal Data'!AN2:AN501,'Federal Data'!$H2:$H501,"Other Social Security",'Federal Data'!$D2:$D501,"Nongrant")</f>
        <v>19386000</v>
      </c>
      <c r="CF133" s="101" t="s">
        <v>487</v>
      </c>
      <c r="CG133" s="101" t="s">
        <v>487</v>
      </c>
      <c r="CH133" s="94">
        <f>SUMIFS('Federal Data'!AO2:AO501,'Federal Data'!$H2:$H501,"Other Social Security",'Federal Data'!$D2:$D501,"Nongrant")</f>
        <v>17783000</v>
      </c>
      <c r="CI133" s="101" t="s">
        <v>487</v>
      </c>
      <c r="CJ133" s="101" t="s">
        <v>487</v>
      </c>
      <c r="CK133" s="94">
        <f>SUMIFS('Federal Data'!AP2:AP501,'Federal Data'!$H2:$H501,"Other Social Security",'Federal Data'!$D2:$D501,"Nongrant")</f>
        <v>34096000</v>
      </c>
      <c r="CL133" s="101" t="s">
        <v>487</v>
      </c>
      <c r="CM133" s="101" t="s">
        <v>487</v>
      </c>
      <c r="CN133" s="94">
        <f>SUMIFS('Federal Data'!AQ2:AQ501,'Federal Data'!$H2:$H501,"Other Social Security",'Federal Data'!$D2:$D501,"Nongrant")</f>
        <v>23322000</v>
      </c>
      <c r="CO133" s="101" t="s">
        <v>487</v>
      </c>
      <c r="CP133" s="101" t="s">
        <v>487</v>
      </c>
      <c r="CQ133" s="94">
        <f>SUMIFS('Federal Data'!AR2:AR501,'Federal Data'!$H2:$H501,"Other Social Security",'Federal Data'!$D2:$D501,"Nongrant")</f>
        <v>102074000</v>
      </c>
      <c r="CR133" s="101" t="s">
        <v>487</v>
      </c>
      <c r="CS133" s="101" t="s">
        <v>487</v>
      </c>
      <c r="CT133" s="94">
        <f>SUMIFS('Federal Data'!AS2:AS501,'Federal Data'!$H2:$H501,"Other Social Security",'Federal Data'!$D2:$D501,"Nongrant")</f>
        <v>140385000</v>
      </c>
      <c r="CU133" s="101" t="s">
        <v>487</v>
      </c>
      <c r="CV133" s="101" t="s">
        <v>487</v>
      </c>
      <c r="CW133" s="94">
        <f>SUMIFS('Federal Data'!AT2:AT501,'Federal Data'!$H2:$H501,"Other Social Security",'Federal Data'!$D2:$D501,"Nongrant")</f>
        <v>56079000</v>
      </c>
      <c r="CX133" s="101" t="s">
        <v>487</v>
      </c>
      <c r="CY133" s="101" t="s">
        <v>487</v>
      </c>
      <c r="CZ133" s="94">
        <f>SUMIFS('Federal Data'!AU2:AU501,'Federal Data'!$H2:$H501,"Other Social Security",'Federal Data'!$D2:$D501,"Nongrant")</f>
        <v>25893000</v>
      </c>
      <c r="DA133" s="101" t="s">
        <v>487</v>
      </c>
      <c r="DB133" s="101" t="s">
        <v>487</v>
      </c>
      <c r="DC133" s="37">
        <f>SUMIFS('Federal Data'!AV2:AV501,'Federal Data'!$H2:$H501,"Other Social Security",'Federal Data'!$D2:$D501,"Nongrant")</f>
        <v>30990000</v>
      </c>
      <c r="DD133" s="85" t="s">
        <v>487</v>
      </c>
      <c r="DE133" s="85" t="s">
        <v>487</v>
      </c>
    </row>
    <row r="134" spans="1:109" outlineLevel="2">
      <c r="A134" s="29" t="s">
        <v>247</v>
      </c>
      <c r="B134" s="94">
        <f>SUMIFS('Federal Data'!M2:M501,'Federal Data'!$G2:$G501,"Medicare",'Federal Data'!$D2:$D501,"Nongrant")</f>
        <v>32089580</v>
      </c>
      <c r="C134" s="101" t="s">
        <v>487</v>
      </c>
      <c r="D134" s="101">
        <f t="shared" ref="D134:D147" si="220">SUM(B134:C134)</f>
        <v>32089580</v>
      </c>
      <c r="E134" s="94">
        <f>SUMIFS('Federal Data'!N2:N501,'Federal Data'!$G2:$G501,"Medicare",'Federal Data'!$D2:$D501,"Nongrant")</f>
        <v>39148729</v>
      </c>
      <c r="F134" s="101" t="s">
        <v>487</v>
      </c>
      <c r="G134" s="101">
        <f t="shared" ref="G134:G147" si="221">SUM(E134:F134)</f>
        <v>39148729</v>
      </c>
      <c r="H134" s="94">
        <f>SUMIFS('Federal Data'!O2:O501,'Federal Data'!$G2:$G501,"Medicare",'Federal Data'!$D2:$D501,"Nongrant")</f>
        <v>46567472</v>
      </c>
      <c r="I134" s="101" t="s">
        <v>487</v>
      </c>
      <c r="J134" s="101">
        <f t="shared" ref="J134:J147" si="222">SUM(H134:I134)</f>
        <v>46567472</v>
      </c>
      <c r="K134" s="94">
        <f>SUMIFS('Federal Data'!P2:P501,'Federal Data'!$G2:$G501,"Medicare",'Federal Data'!$D2:$D501,"Nongrant")</f>
        <v>52587740</v>
      </c>
      <c r="L134" s="101" t="s">
        <v>487</v>
      </c>
      <c r="M134" s="101">
        <f t="shared" ref="M134:M147" si="223">SUM(K134:L134)</f>
        <v>52587740</v>
      </c>
      <c r="N134" s="94">
        <f>SUMIFS('Federal Data'!Q2:Q501,'Federal Data'!$G2:$G501,"Medicare",'Federal Data'!$D2:$D501,"Nongrant")</f>
        <v>57537672</v>
      </c>
      <c r="O134" s="101" t="s">
        <v>487</v>
      </c>
      <c r="P134" s="101">
        <f t="shared" ref="P134:P147" si="224">SUM(N134:O134)</f>
        <v>57537672</v>
      </c>
      <c r="Q134" s="94">
        <f>SUMIFS('Federal Data'!R2:R501,'Federal Data'!$G2:$G501,"Medicare",'Federal Data'!$D2:$D501,"Nongrant")</f>
        <v>65822367</v>
      </c>
      <c r="R134" s="101" t="s">
        <v>487</v>
      </c>
      <c r="S134" s="101">
        <f t="shared" ref="S134:S147" si="225">SUM(Q134:R134)</f>
        <v>65822367</v>
      </c>
      <c r="T134" s="94">
        <f>SUMIFS('Federal Data'!S2:S501,'Federal Data'!$G2:$G501,"Medicare",'Federal Data'!$D2:$D501,"Nongrant")</f>
        <v>70163956</v>
      </c>
      <c r="U134" s="101" t="s">
        <v>487</v>
      </c>
      <c r="V134" s="101">
        <f t="shared" ref="V134:V147" si="226">SUM(T134:U134)</f>
        <v>70163956</v>
      </c>
      <c r="W134" s="94">
        <f>SUMIFS('Federal Data'!T2:T501,'Federal Data'!$G2:$G501,"Medicare",'Federal Data'!$D2:$D501,"Nongrant")</f>
        <v>75120105</v>
      </c>
      <c r="X134" s="101" t="s">
        <v>487</v>
      </c>
      <c r="Y134" s="101">
        <f t="shared" ref="Y134:Y147" si="227">SUM(W134:X134)</f>
        <v>75120105</v>
      </c>
      <c r="Z134" s="94">
        <f>SUMIFS('Federal Data'!U2:U501,'Federal Data'!$G2:$G501,"Medicare",'Federal Data'!$D2:$D501,"Nongrant")</f>
        <v>78878475</v>
      </c>
      <c r="AA134" s="101" t="s">
        <v>487</v>
      </c>
      <c r="AB134" s="101">
        <f t="shared" ref="AB134:AB147" si="228">SUM(Z134:AA134)</f>
        <v>78878475</v>
      </c>
      <c r="AC134" s="94">
        <f>SUMIFS('Federal Data'!V2:V501,'Federal Data'!$G2:$G501,"Medicare",'Federal Data'!$D2:$D501,"Nongrant")</f>
        <v>84964394</v>
      </c>
      <c r="AD134" s="101" t="s">
        <v>487</v>
      </c>
      <c r="AE134" s="101">
        <f t="shared" ref="AE134:AE147" si="229">SUM(AC134:AD134)</f>
        <v>84964394</v>
      </c>
      <c r="AF134" s="94">
        <f>SUMIFS('Federal Data'!W2:W501,'Federal Data'!$G2:$G501,"Medicare",'Federal Data'!$D2:$D501,"Nongrant")</f>
        <v>98101537</v>
      </c>
      <c r="AG134" s="101" t="s">
        <v>487</v>
      </c>
      <c r="AH134" s="101">
        <f t="shared" ref="AH134:AH147" si="230">SUM(AF134:AG134)</f>
        <v>98101537</v>
      </c>
      <c r="AI134" s="94">
        <f>SUMIFS('Federal Data'!X2:X501,'Federal Data'!$G2:$G501,"Medicare",'Federal Data'!$D2:$D501,"Nongrant")</f>
        <v>104489292</v>
      </c>
      <c r="AJ134" s="101" t="s">
        <v>487</v>
      </c>
      <c r="AK134" s="101">
        <f t="shared" ref="AK134:AK147" si="231">SUM(AI134:AJ134)</f>
        <v>104489292</v>
      </c>
      <c r="AL134" s="94">
        <f>SUMIFS('Federal Data'!Y2:Y501,'Federal Data'!$G2:$G501,"Medicare",'Federal Data'!$D2:$D501,"Nongrant")</f>
        <v>119023572</v>
      </c>
      <c r="AM134" s="101" t="s">
        <v>487</v>
      </c>
      <c r="AN134" s="101">
        <f t="shared" ref="AN134:AN147" si="232">SUM(AL134:AM134)</f>
        <v>119023572</v>
      </c>
      <c r="AO134" s="94">
        <f>SUMIFS('Federal Data'!Z2:Z501,'Federal Data'!$G2:$G501,"Medicare",'Federal Data'!$D2:$D501,"Nongrant")</f>
        <v>130551946</v>
      </c>
      <c r="AP134" s="101" t="s">
        <v>487</v>
      </c>
      <c r="AQ134" s="101">
        <f t="shared" ref="AQ134:AQ147" si="233">SUM(AO134:AP134)</f>
        <v>130551946</v>
      </c>
      <c r="AR134" s="94">
        <f>SUMIFS('Federal Data'!AA2:AA501,'Federal Data'!$G2:$G501,"Medicare",'Federal Data'!$D2:$D501,"Nongrant")</f>
        <v>144747722</v>
      </c>
      <c r="AS134" s="101" t="s">
        <v>487</v>
      </c>
      <c r="AT134" s="101">
        <f t="shared" ref="AT134:AT147" si="234">SUM(AR134:AS134)</f>
        <v>144747722</v>
      </c>
      <c r="AU134" s="94">
        <f>SUMIFS('Federal Data'!AB2:AB501,'Federal Data'!$G2:$G501,"Medicare",'Federal Data'!$D2:$D501,"Nongrant")</f>
        <v>159854000</v>
      </c>
      <c r="AV134" s="101" t="s">
        <v>487</v>
      </c>
      <c r="AW134" s="101">
        <f t="shared" ref="AW134:AW147" si="235">SUM(AU134:AV134)</f>
        <v>159854000</v>
      </c>
      <c r="AX134" s="94">
        <f>SUMIFS('Federal Data'!AC2:AC501,'Federal Data'!$G2:$G501,"Medicare",'Federal Data'!$D2:$D501,"Nongrant")</f>
        <v>174226000</v>
      </c>
      <c r="AY134" s="101" t="s">
        <v>487</v>
      </c>
      <c r="AZ134" s="101">
        <f t="shared" ref="AZ134:AZ147" si="236">SUM(AX134:AY134)</f>
        <v>174226000</v>
      </c>
      <c r="BA134" s="94">
        <f>SUMIFS('Federal Data'!AD2:AD501,'Federal Data'!$G2:$G501,"Medicare",'Federal Data'!$D2:$D501,"Nongrant")</f>
        <v>190016000</v>
      </c>
      <c r="BB134" s="101" t="s">
        <v>487</v>
      </c>
      <c r="BC134" s="101">
        <f t="shared" ref="BC134:BC147" si="237">SUM(BA134:BB134)</f>
        <v>190016000</v>
      </c>
      <c r="BD134" s="94">
        <f>SUMIFS('Federal Data'!AE2:AE501,'Federal Data'!$G2:$G501,"Medicare",'Federal Data'!$D2:$D501,"Nongrant")</f>
        <v>192823000</v>
      </c>
      <c r="BE134" s="101" t="s">
        <v>487</v>
      </c>
      <c r="BF134" s="101">
        <f t="shared" ref="BF134:BF147" si="238">SUM(BD134:BE134)</f>
        <v>192823000</v>
      </c>
      <c r="BG134" s="94">
        <f>SUMIFS('Federal Data'!AF2:AF501,'Federal Data'!$G2:$G501,"Medicare",'Federal Data'!$D2:$D501,"Nongrant")</f>
        <v>190447000</v>
      </c>
      <c r="BH134" s="101" t="s">
        <v>487</v>
      </c>
      <c r="BI134" s="101">
        <f t="shared" ref="BI134:BI147" si="239">SUM(BG134:BH134)</f>
        <v>190447000</v>
      </c>
      <c r="BJ134" s="94">
        <f>SUMIFS('Federal Data'!AG2:AG501,'Federal Data'!$G2:$G501,"Medicare",'Federal Data'!$D2:$D501,"Nongrant")</f>
        <v>197113000</v>
      </c>
      <c r="BK134" s="101" t="s">
        <v>487</v>
      </c>
      <c r="BL134" s="101">
        <f t="shared" ref="BL134:BL147" si="240">SUM(BJ134:BK134)</f>
        <v>197113000</v>
      </c>
      <c r="BM134" s="94">
        <f>SUMIFS('Federal Data'!AH2:AH501,'Federal Data'!$G2:$G501,"Medicare",'Federal Data'!$D2:$D501,"Nongrant")</f>
        <v>217384000</v>
      </c>
      <c r="BN134" s="101" t="s">
        <v>487</v>
      </c>
      <c r="BO134" s="101">
        <f t="shared" ref="BO134:BO147" si="241">SUM(BM134:BN134)</f>
        <v>217384000</v>
      </c>
      <c r="BP134" s="94">
        <f>SUMIFS('Federal Data'!AI2:AI501,'Federal Data'!$G2:$G501,"Medicare",'Federal Data'!$D2:$D501,"Nongrant")</f>
        <v>230855000</v>
      </c>
      <c r="BQ134" s="101" t="s">
        <v>487</v>
      </c>
      <c r="BR134" s="101">
        <f t="shared" ref="BR134:BR147" si="242">SUM(BP134:BQ134)</f>
        <v>230855000</v>
      </c>
      <c r="BS134" s="94">
        <f>SUMIFS('Federal Data'!AJ2:AJ501,'Federal Data'!$G2:$G501,"Medicare",'Federal Data'!$D2:$D501,"Nongrant")</f>
        <v>249433000</v>
      </c>
      <c r="BT134" s="101" t="s">
        <v>487</v>
      </c>
      <c r="BU134" s="101">
        <f t="shared" ref="BU134:BU147" si="243">SUM(BS134:BT134)</f>
        <v>249433000</v>
      </c>
      <c r="BV134" s="94">
        <f>SUMIFS('Federal Data'!AK2:AK501,'Federal Data'!$G2:$G501,"Medicare",'Federal Data'!$D2:$D501,"Nongrant")</f>
        <v>269360000</v>
      </c>
      <c r="BW134" s="101" t="s">
        <v>487</v>
      </c>
      <c r="BX134" s="101">
        <f t="shared" ref="BX134:BX147" si="244">SUM(BV134:BW134)</f>
        <v>269360000</v>
      </c>
      <c r="BY134" s="94">
        <f>SUMIFS('Federal Data'!AL2:AL501,'Federal Data'!$G2:$G501,"Medicare",'Federal Data'!$D2:$D501,"Nongrant")</f>
        <v>298638000</v>
      </c>
      <c r="BZ134" s="101" t="s">
        <v>487</v>
      </c>
      <c r="CA134" s="101">
        <f t="shared" ref="CA134:CA147" si="245">SUM(BY134:BZ134)</f>
        <v>298638000</v>
      </c>
      <c r="CB134" s="94">
        <f>SUMIFS('Federal Data'!AM2:AM501,'Federal Data'!$G2:$G501,"Medicare",'Federal Data'!$D2:$D501,"Nongrant")</f>
        <v>329838000</v>
      </c>
      <c r="CC134" s="101" t="s">
        <v>487</v>
      </c>
      <c r="CD134" s="101">
        <f t="shared" ref="CD134:CD147" si="246">SUM(CB134:CC134)</f>
        <v>329838000</v>
      </c>
      <c r="CE134" s="94">
        <f>SUMIFS('Federal Data'!AN2:AN501,'Federal Data'!$G2:$G501,"Medicare",'Federal Data'!$D2:$D501,"Nongrant")</f>
        <v>375401000</v>
      </c>
      <c r="CF134" s="101" t="s">
        <v>487</v>
      </c>
      <c r="CG134" s="101">
        <f t="shared" ref="CG134:CG147" si="247">SUM(CE134:CF134)</f>
        <v>375401000</v>
      </c>
      <c r="CH134" s="94">
        <f>SUMIFS('Federal Data'!AO2:AO501,'Federal Data'!$G2:$G501,"Medicare",'Federal Data'!$D2:$D501,"Nongrant")</f>
        <v>390775000</v>
      </c>
      <c r="CI134" s="101" t="s">
        <v>487</v>
      </c>
      <c r="CJ134" s="101">
        <f t="shared" ref="CJ134:CJ147" si="248">SUM(CH134:CI134)</f>
        <v>390775000</v>
      </c>
      <c r="CK134" s="94">
        <f>SUMIFS('Federal Data'!AP2:AP501,'Federal Data'!$G2:$G501,"Medicare",'Federal Data'!$D2:$D501,"Nongrant")</f>
        <v>430095000</v>
      </c>
      <c r="CL134" s="101" t="s">
        <v>487</v>
      </c>
      <c r="CM134" s="101">
        <f t="shared" ref="CM134:CM147" si="249">SUM(CK134:CL134)</f>
        <v>430095000</v>
      </c>
      <c r="CN134" s="94">
        <f>SUMIFS('Federal Data'!AQ2:AQ501,'Federal Data'!$G2:$G501,"Medicare",'Federal Data'!$D2:$D501,"Nongrant")</f>
        <v>451629000</v>
      </c>
      <c r="CO134" s="101" t="s">
        <v>487</v>
      </c>
      <c r="CP134" s="101">
        <f t="shared" ref="CP134:CP147" si="250">SUM(CN134:CO134)</f>
        <v>451629000</v>
      </c>
      <c r="CQ134" s="94">
        <f>SUMIFS('Federal Data'!AR2:AR501,'Federal Data'!$G2:$G501,"Medicare",'Federal Data'!$D2:$D501,"Nongrant")</f>
        <v>485744000</v>
      </c>
      <c r="CR134" s="101" t="s">
        <v>487</v>
      </c>
      <c r="CS134" s="101">
        <f t="shared" ref="CS134:CS147" si="251">SUM(CQ134:CR134)</f>
        <v>485744000</v>
      </c>
      <c r="CT134" s="94">
        <f>SUMIFS('Federal Data'!AS2:AS501,'Federal Data'!$G2:$G501,"Medicare",'Federal Data'!$D2:$D501,"Nongrant")</f>
        <v>472081000</v>
      </c>
      <c r="CU134" s="101" t="s">
        <v>487</v>
      </c>
      <c r="CV134" s="101">
        <f t="shared" ref="CV134:CV147" si="252">SUM(CT134:CU134)</f>
        <v>472081000</v>
      </c>
      <c r="CW134" s="94">
        <f>SUMIFS('Federal Data'!AT2:AT501,'Federal Data'!$G2:$G501,"Medicare",'Federal Data'!$D2:$D501,"Nongrant")</f>
        <v>497740000</v>
      </c>
      <c r="CX134" s="101" t="s">
        <v>487</v>
      </c>
      <c r="CY134" s="101">
        <f t="shared" ref="CY134:CY147" si="253">SUM(CW134:CX134)</f>
        <v>497740000</v>
      </c>
      <c r="CZ134" s="94">
        <f>SUMIFS('Federal Data'!AU2:AU501,'Federal Data'!$G2:$G501,"Medicare",'Federal Data'!$D2:$D501,"Nongrant")</f>
        <v>511550000</v>
      </c>
      <c r="DA134" s="101" t="s">
        <v>487</v>
      </c>
      <c r="DB134" s="101">
        <f t="shared" ref="DB134:DB147" si="254">SUM(CZ134:DA134)</f>
        <v>511550000</v>
      </c>
      <c r="DC134" s="37">
        <f>SUMIFS('Federal Data'!AV2:AV501,'Federal Data'!$G2:$G501,"Medicare",'Federal Data'!$D2:$D501,"Nongrant")</f>
        <v>546108000</v>
      </c>
      <c r="DD134" s="85" t="s">
        <v>487</v>
      </c>
      <c r="DE134" s="85">
        <f t="shared" ref="DE134:DE147" si="255">SUM(DC134:DD134)</f>
        <v>546108000</v>
      </c>
    </row>
    <row r="135" spans="1:109" outlineLevel="2">
      <c r="A135" s="29" t="s">
        <v>308</v>
      </c>
      <c r="B135" s="94">
        <f>SUMIFS('Federal Data'!M2:M501,'Federal Data'!$G2:$G501,"General Retirement Programs (excl. Social Security)",'Federal Data'!$D2:$D501,"Nongrant")</f>
        <v>5083081</v>
      </c>
      <c r="C135" s="101" t="s">
        <v>487</v>
      </c>
      <c r="D135" s="101">
        <f t="shared" si="220"/>
        <v>5083081</v>
      </c>
      <c r="E135" s="94">
        <f>SUMIFS('Federal Data'!N2:N501,'Federal Data'!$G2:$G501,"General Retirement Programs (excl. Social Security)",'Federal Data'!$D2:$D501,"Nongrant")</f>
        <v>5439462</v>
      </c>
      <c r="F135" s="101" t="s">
        <v>487</v>
      </c>
      <c r="G135" s="101">
        <f t="shared" si="221"/>
        <v>5439462</v>
      </c>
      <c r="H135" s="94">
        <f>SUMIFS('Federal Data'!O2:O501,'Federal Data'!$G2:$G501,"General Retirement Programs (excl. Social Security)",'Federal Data'!$D2:$D501,"Nongrant")</f>
        <v>5570663</v>
      </c>
      <c r="I135" s="101" t="s">
        <v>487</v>
      </c>
      <c r="J135" s="101">
        <f t="shared" si="222"/>
        <v>5570663</v>
      </c>
      <c r="K135" s="94">
        <f>SUMIFS('Federal Data'!P2:P501,'Federal Data'!$G2:$G501,"General Retirement Programs (excl. Social Security)",'Federal Data'!$D2:$D501,"Nongrant")</f>
        <v>5581077</v>
      </c>
      <c r="L135" s="101" t="s">
        <v>487</v>
      </c>
      <c r="M135" s="101">
        <f t="shared" si="223"/>
        <v>5581077</v>
      </c>
      <c r="N135" s="94">
        <f>SUMIFS('Federal Data'!Q2:Q501,'Federal Data'!$G2:$G501,"General Retirement Programs (excl. Social Security)",'Federal Data'!$D2:$D501,"Nongrant")</f>
        <v>5441411</v>
      </c>
      <c r="O135" s="101" t="s">
        <v>487</v>
      </c>
      <c r="P135" s="101">
        <f t="shared" si="224"/>
        <v>5441411</v>
      </c>
      <c r="Q135" s="94">
        <f>SUMIFS('Federal Data'!R2:R501,'Federal Data'!$G2:$G501,"General Retirement Programs (excl. Social Security)",'Federal Data'!$D2:$D501,"Nongrant")</f>
        <v>5616954</v>
      </c>
      <c r="R135" s="101" t="s">
        <v>487</v>
      </c>
      <c r="S135" s="101">
        <f t="shared" si="225"/>
        <v>5616954</v>
      </c>
      <c r="T135" s="94">
        <f>SUMIFS('Federal Data'!S2:S501,'Federal Data'!$G2:$G501,"General Retirement Programs (excl. Social Security)",'Federal Data'!$D2:$D501,"Nongrant")</f>
        <v>5329680</v>
      </c>
      <c r="U135" s="101" t="s">
        <v>487</v>
      </c>
      <c r="V135" s="101">
        <f t="shared" si="226"/>
        <v>5329680</v>
      </c>
      <c r="W135" s="94">
        <f>SUMIFS('Federal Data'!T2:T501,'Federal Data'!$G2:$G501,"General Retirement Programs (excl. Social Security)",'Federal Data'!$D2:$D501,"Nongrant")</f>
        <v>5564665</v>
      </c>
      <c r="X135" s="101" t="s">
        <v>487</v>
      </c>
      <c r="Y135" s="101">
        <f t="shared" si="227"/>
        <v>5564665</v>
      </c>
      <c r="Z135" s="94">
        <f>SUMIFS('Federal Data'!U2:U501,'Federal Data'!$G2:$G501,"General Retirement Programs (excl. Social Security)",'Federal Data'!$D2:$D501,"Nongrant")</f>
        <v>5294174</v>
      </c>
      <c r="AA135" s="101" t="s">
        <v>487</v>
      </c>
      <c r="AB135" s="101">
        <f t="shared" si="228"/>
        <v>5294174</v>
      </c>
      <c r="AC135" s="94">
        <f>SUMIFS('Federal Data'!V2:V501,'Federal Data'!$G2:$G501,"General Retirement Programs (excl. Social Security)",'Federal Data'!$D2:$D501,"Nongrant")</f>
        <v>5650358</v>
      </c>
      <c r="AD135" s="101" t="s">
        <v>487</v>
      </c>
      <c r="AE135" s="101">
        <f t="shared" si="229"/>
        <v>5650358</v>
      </c>
      <c r="AF135" s="94">
        <f>SUMIFS('Federal Data'!W2:W501,'Federal Data'!$G2:$G501,"General Retirement Programs (excl. Social Security)",'Federal Data'!$D2:$D501,"Nongrant")</f>
        <v>5148327</v>
      </c>
      <c r="AG135" s="101" t="s">
        <v>487</v>
      </c>
      <c r="AH135" s="101">
        <f t="shared" si="230"/>
        <v>5148327</v>
      </c>
      <c r="AI135" s="94">
        <f>SUMIFS('Federal Data'!X2:X501,'Federal Data'!$G2:$G501,"General Retirement Programs (excl. Social Security)",'Federal Data'!$D2:$D501,"Nongrant")</f>
        <v>4945054</v>
      </c>
      <c r="AJ135" s="101" t="s">
        <v>487</v>
      </c>
      <c r="AK135" s="101">
        <f t="shared" si="231"/>
        <v>4945054</v>
      </c>
      <c r="AL135" s="94">
        <f>SUMIFS('Federal Data'!Y2:Y501,'Federal Data'!$G2:$G501,"General Retirement Programs (excl. Social Security)",'Federal Data'!$D2:$D501,"Nongrant")</f>
        <v>5482621</v>
      </c>
      <c r="AM135" s="101" t="s">
        <v>487</v>
      </c>
      <c r="AN135" s="101">
        <f t="shared" si="232"/>
        <v>5482621</v>
      </c>
      <c r="AO135" s="94">
        <f>SUMIFS('Federal Data'!Z2:Z501,'Federal Data'!$G2:$G501,"General Retirement Programs (excl. Social Security)",'Federal Data'!$D2:$D501,"Nongrant")</f>
        <v>4346698</v>
      </c>
      <c r="AP135" s="101" t="s">
        <v>487</v>
      </c>
      <c r="AQ135" s="101">
        <f t="shared" si="233"/>
        <v>4346698</v>
      </c>
      <c r="AR135" s="94">
        <f>SUMIFS('Federal Data'!AA2:AA501,'Federal Data'!$G2:$G501,"General Retirement Programs (excl. Social Security)",'Federal Data'!$D2:$D501,"Nongrant")</f>
        <v>5720012</v>
      </c>
      <c r="AS135" s="101" t="s">
        <v>487</v>
      </c>
      <c r="AT135" s="101">
        <f t="shared" si="234"/>
        <v>5720012</v>
      </c>
      <c r="AU135" s="94">
        <f>SUMIFS('Federal Data'!AB2:AB501,'Federal Data'!$G2:$G501,"General Retirement Programs (excl. Social Security)",'Federal Data'!$D2:$D501,"Nongrant")</f>
        <v>5106000</v>
      </c>
      <c r="AV135" s="101" t="s">
        <v>487</v>
      </c>
      <c r="AW135" s="101">
        <f t="shared" si="235"/>
        <v>5106000</v>
      </c>
      <c r="AX135" s="94">
        <f>SUMIFS('Federal Data'!AC2:AC501,'Federal Data'!$G2:$G501,"General Retirement Programs (excl. Social Security)",'Federal Data'!$D2:$D501,"Nongrant")</f>
        <v>5281000</v>
      </c>
      <c r="AY135" s="101" t="s">
        <v>487</v>
      </c>
      <c r="AZ135" s="101">
        <f t="shared" si="236"/>
        <v>5281000</v>
      </c>
      <c r="BA135" s="94">
        <f>SUMIFS('Federal Data'!AD2:AD501,'Federal Data'!$G2:$G501,"General Retirement Programs (excl. Social Security)",'Federal Data'!$D2:$D501,"Nongrant")</f>
        <v>4752000</v>
      </c>
      <c r="BB135" s="101" t="s">
        <v>487</v>
      </c>
      <c r="BC135" s="101">
        <f t="shared" si="237"/>
        <v>4752000</v>
      </c>
      <c r="BD135" s="94">
        <f>SUMIFS('Federal Data'!AE2:AE501,'Federal Data'!$G2:$G501,"General Retirement Programs (excl. Social Security)",'Federal Data'!$D2:$D501,"Nongrant")</f>
        <v>4665000</v>
      </c>
      <c r="BE135" s="101" t="s">
        <v>487</v>
      </c>
      <c r="BF135" s="101">
        <f t="shared" si="238"/>
        <v>4665000</v>
      </c>
      <c r="BG135" s="94">
        <f>SUMIFS('Federal Data'!AF2:AF501,'Federal Data'!$G2:$G501,"General Retirement Programs (excl. Social Security)",'Federal Data'!$D2:$D501,"Nongrant")</f>
        <v>1959000</v>
      </c>
      <c r="BH135" s="101" t="s">
        <v>487</v>
      </c>
      <c r="BI135" s="101">
        <f t="shared" si="239"/>
        <v>1959000</v>
      </c>
      <c r="BJ135" s="94">
        <f>SUMIFS('Federal Data'!AG2:AG501,'Federal Data'!$G2:$G501,"General Retirement Programs (excl. Social Security)",'Federal Data'!$D2:$D501,"Nongrant")</f>
        <v>5298000</v>
      </c>
      <c r="BK135" s="101" t="s">
        <v>487</v>
      </c>
      <c r="BL135" s="101">
        <f t="shared" si="240"/>
        <v>5298000</v>
      </c>
      <c r="BM135" s="94">
        <f>SUMIFS('Federal Data'!AH2:AH501,'Federal Data'!$G2:$G501,"General Retirement Programs (excl. Social Security)",'Federal Data'!$D2:$D501,"Nongrant")</f>
        <v>5943000</v>
      </c>
      <c r="BN135" s="101" t="s">
        <v>487</v>
      </c>
      <c r="BO135" s="101">
        <f t="shared" si="241"/>
        <v>5943000</v>
      </c>
      <c r="BP135" s="94">
        <f>SUMIFS('Federal Data'!AI2:AI501,'Federal Data'!$G2:$G501,"General Retirement Programs (excl. Social Security)",'Federal Data'!$D2:$D501,"Nongrant")</f>
        <v>5855000</v>
      </c>
      <c r="BQ135" s="101" t="s">
        <v>487</v>
      </c>
      <c r="BR135" s="101">
        <f t="shared" si="242"/>
        <v>5855000</v>
      </c>
      <c r="BS135" s="94">
        <f>SUMIFS('Federal Data'!AJ2:AJ501,'Federal Data'!$G2:$G501,"General Retirement Programs (excl. Social Security)",'Federal Data'!$D2:$D501,"Nongrant")</f>
        <v>7103000</v>
      </c>
      <c r="BT135" s="101" t="s">
        <v>487</v>
      </c>
      <c r="BU135" s="101">
        <f t="shared" si="243"/>
        <v>7103000</v>
      </c>
      <c r="BV135" s="94">
        <f>SUMIFS('Federal Data'!AK2:AK501,'Federal Data'!$G2:$G501,"General Retirement Programs (excl. Social Security)",'Federal Data'!$D2:$D501,"Nongrant")</f>
        <v>6588000</v>
      </c>
      <c r="BW135" s="101" t="s">
        <v>487</v>
      </c>
      <c r="BX135" s="101">
        <f t="shared" si="244"/>
        <v>6588000</v>
      </c>
      <c r="BY135" s="94">
        <f>SUMIFS('Federal Data'!AL2:AL501,'Federal Data'!$G2:$G501,"General Retirement Programs (excl. Social Security)",'Federal Data'!$D2:$D501,"Nongrant")</f>
        <v>7043000</v>
      </c>
      <c r="BZ135" s="101" t="s">
        <v>487</v>
      </c>
      <c r="CA135" s="101">
        <f t="shared" si="245"/>
        <v>7043000</v>
      </c>
      <c r="CB135" s="94">
        <f>SUMIFS('Federal Data'!AM2:AM501,'Federal Data'!$G2:$G501,"General Retirement Programs (excl. Social Security)",'Federal Data'!$D2:$D501,"Nongrant")</f>
        <v>4651000</v>
      </c>
      <c r="CC135" s="101" t="s">
        <v>487</v>
      </c>
      <c r="CD135" s="101">
        <f t="shared" si="246"/>
        <v>4651000</v>
      </c>
      <c r="CE135" s="94">
        <f>SUMIFS('Federal Data'!AN2:AN501,'Federal Data'!$G2:$G501,"General Retirement Programs (excl. Social Security)",'Federal Data'!$D2:$D501,"Nongrant")</f>
        <v>7943000</v>
      </c>
      <c r="CF135" s="101" t="s">
        <v>487</v>
      </c>
      <c r="CG135" s="101">
        <f t="shared" si="247"/>
        <v>7943000</v>
      </c>
      <c r="CH135" s="94">
        <f>SUMIFS('Federal Data'!AO2:AO501,'Federal Data'!$G2:$G501,"General Retirement Programs (excl. Social Security)",'Federal Data'!$D2:$D501,"Nongrant")</f>
        <v>9066000</v>
      </c>
      <c r="CI135" s="101" t="s">
        <v>487</v>
      </c>
      <c r="CJ135" s="101">
        <f t="shared" si="248"/>
        <v>9066000</v>
      </c>
      <c r="CK135" s="94">
        <f>SUMIFS('Federal Data'!AP2:AP501,'Federal Data'!$G2:$G501,"General Retirement Programs (excl. Social Security)",'Federal Data'!$D2:$D501,"Nongrant")</f>
        <v>8342000</v>
      </c>
      <c r="CL135" s="101" t="s">
        <v>487</v>
      </c>
      <c r="CM135" s="101">
        <f t="shared" si="249"/>
        <v>8342000</v>
      </c>
      <c r="CN135" s="94">
        <f>SUMIFS('Federal Data'!AQ2:AQ501,'Federal Data'!$G2:$G501,"General Retirement Programs (excl. Social Security)",'Federal Data'!$D2:$D501,"Nongrant")</f>
        <v>6737000</v>
      </c>
      <c r="CO135" s="101" t="s">
        <v>487</v>
      </c>
      <c r="CP135" s="101">
        <f t="shared" si="250"/>
        <v>6737000</v>
      </c>
      <c r="CQ135" s="94">
        <f>SUMIFS('Federal Data'!AR2:AR501,'Federal Data'!$G2:$G501,"General Retirement Programs (excl. Social Security)",'Federal Data'!$D2:$D501,"Nongrant")</f>
        <v>6913000</v>
      </c>
      <c r="CR135" s="101" t="s">
        <v>487</v>
      </c>
      <c r="CS135" s="101">
        <f t="shared" si="251"/>
        <v>6913000</v>
      </c>
      <c r="CT135" s="94">
        <f>SUMIFS('Federal Data'!AS2:AS501,'Federal Data'!$G2:$G501,"General Retirement Programs (excl. Social Security)",'Federal Data'!$D2:$D501,"Nongrant")</f>
        <v>8014000</v>
      </c>
      <c r="CU135" s="101" t="s">
        <v>487</v>
      </c>
      <c r="CV135" s="101">
        <f t="shared" si="252"/>
        <v>8014000</v>
      </c>
      <c r="CW135" s="94">
        <f>SUMIFS('Federal Data'!AT2:AT501,'Federal Data'!$G2:$G501,"General Retirement Programs (excl. Social Security)",'Federal Data'!$D2:$D501,"Nongrant")</f>
        <v>7165000</v>
      </c>
      <c r="CX135" s="101" t="s">
        <v>487</v>
      </c>
      <c r="CY135" s="101">
        <f t="shared" si="253"/>
        <v>7165000</v>
      </c>
      <c r="CZ135" s="94">
        <f>SUMIFS('Federal Data'!AU2:AU501,'Federal Data'!$G2:$G501,"General Retirement Programs (excl. Social Security)",'Federal Data'!$D2:$D501,"Nongrant")</f>
        <v>8889000</v>
      </c>
      <c r="DA135" s="101" t="s">
        <v>487</v>
      </c>
      <c r="DB135" s="101">
        <f t="shared" si="254"/>
        <v>8889000</v>
      </c>
      <c r="DC135" s="37">
        <f>SUMIFS('Federal Data'!AV2:AV501,'Federal Data'!$G2:$G501,"General Retirement Programs (excl. Social Security)",'Federal Data'!$D2:$D501,"Nongrant")</f>
        <v>7979000</v>
      </c>
      <c r="DD135" s="85" t="s">
        <v>487</v>
      </c>
      <c r="DE135" s="85">
        <f t="shared" si="255"/>
        <v>7979000</v>
      </c>
    </row>
    <row r="136" spans="1:109" outlineLevel="2">
      <c r="A136" s="29" t="s">
        <v>52</v>
      </c>
      <c r="B136" s="94">
        <f>SUMIFS('Federal Data'!M2:M501,'Federal Data'!$G2:$G501,"Housing Support",'Federal Data'!$D2:$D501,"Nongrant")</f>
        <v>5785043</v>
      </c>
      <c r="C136" s="101" t="s">
        <v>487</v>
      </c>
      <c r="D136" s="101">
        <f t="shared" si="220"/>
        <v>5785043</v>
      </c>
      <c r="E136" s="94">
        <f>SUMIFS('Federal Data'!N2:N501,'Federal Data'!$G2:$G501,"Housing Support",'Federal Data'!$D2:$D501,"Nongrant")</f>
        <v>5922533</v>
      </c>
      <c r="F136" s="101" t="s">
        <v>487</v>
      </c>
      <c r="G136" s="101">
        <f t="shared" si="221"/>
        <v>5922533</v>
      </c>
      <c r="H136" s="94">
        <f>SUMIFS('Federal Data'!O2:O501,'Federal Data'!$G2:$G501,"Housing Support",'Federal Data'!$D2:$D501,"Nongrant")</f>
        <v>5883215</v>
      </c>
      <c r="I136" s="101" t="s">
        <v>487</v>
      </c>
      <c r="J136" s="101">
        <f t="shared" si="222"/>
        <v>5883215</v>
      </c>
      <c r="K136" s="94">
        <f>SUMIFS('Federal Data'!P2:P501,'Federal Data'!$G2:$G501,"Housing Support",'Federal Data'!$D2:$D501,"Nongrant")</f>
        <v>4966470</v>
      </c>
      <c r="L136" s="101" t="s">
        <v>487</v>
      </c>
      <c r="M136" s="101">
        <f t="shared" si="223"/>
        <v>4966470</v>
      </c>
      <c r="N136" s="94">
        <f>SUMIFS('Federal Data'!Q2:Q501,'Federal Data'!$G2:$G501,"Housing Support",'Federal Data'!$D2:$D501,"Nongrant")</f>
        <v>4136065</v>
      </c>
      <c r="O136" s="101" t="s">
        <v>487</v>
      </c>
      <c r="P136" s="101">
        <f t="shared" si="224"/>
        <v>4136065</v>
      </c>
      <c r="Q136" s="94">
        <f>SUMIFS('Federal Data'!R2:R501,'Federal Data'!$G2:$G501,"Housing Support",'Federal Data'!$D2:$D501,"Nongrant")</f>
        <v>2748261</v>
      </c>
      <c r="R136" s="101" t="s">
        <v>487</v>
      </c>
      <c r="S136" s="101">
        <f t="shared" si="225"/>
        <v>2748261</v>
      </c>
      <c r="T136" s="94">
        <f>SUMIFS('Federal Data'!S2:S501,'Federal Data'!$G2:$G501,"Housing Support",'Federal Data'!$D2:$D501,"Nongrant")</f>
        <v>643752</v>
      </c>
      <c r="U136" s="101" t="s">
        <v>487</v>
      </c>
      <c r="V136" s="101">
        <f t="shared" si="226"/>
        <v>643752</v>
      </c>
      <c r="W136" s="94">
        <f>SUMIFS('Federal Data'!T2:T501,'Federal Data'!$G2:$G501,"Housing Support",'Federal Data'!$D2:$D501,"Nongrant")</f>
        <v>-451029</v>
      </c>
      <c r="X136" s="101" t="s">
        <v>487</v>
      </c>
      <c r="Y136" s="101">
        <f t="shared" si="227"/>
        <v>-451029</v>
      </c>
      <c r="Z136" s="94">
        <f>SUMIFS('Federal Data'!U2:U501,'Federal Data'!$G2:$G501,"Housing Support",'Federal Data'!$D2:$D501,"Nongrant")</f>
        <v>4815748</v>
      </c>
      <c r="AA136" s="101" t="s">
        <v>487</v>
      </c>
      <c r="AB136" s="101">
        <f t="shared" si="228"/>
        <v>4815748</v>
      </c>
      <c r="AC136" s="94">
        <f>SUMIFS('Federal Data'!V2:V501,'Federal Data'!$G2:$G501,"Housing Support",'Federal Data'!$D2:$D501,"Nongrant")</f>
        <v>5266072</v>
      </c>
      <c r="AD136" s="101" t="s">
        <v>487</v>
      </c>
      <c r="AE136" s="101">
        <f t="shared" si="229"/>
        <v>5266072</v>
      </c>
      <c r="AF136" s="94">
        <f>SUMIFS('Federal Data'!W2:W501,'Federal Data'!$G2:$G501,"Housing Support",'Federal Data'!$D2:$D501,"Nongrant")</f>
        <v>3887411</v>
      </c>
      <c r="AG136" s="101" t="s">
        <v>487</v>
      </c>
      <c r="AH136" s="101">
        <f t="shared" si="230"/>
        <v>3887411</v>
      </c>
      <c r="AI136" s="94">
        <f>SUMIFS('Federal Data'!X2:X501,'Federal Data'!$G2:$G501,"Housing Support",'Federal Data'!$D2:$D501,"Nongrant")</f>
        <v>5369324</v>
      </c>
      <c r="AJ136" s="101" t="s">
        <v>487</v>
      </c>
      <c r="AK136" s="101">
        <f t="shared" si="231"/>
        <v>5369324</v>
      </c>
      <c r="AL136" s="94">
        <f>SUMIFS('Federal Data'!Y2:Y501,'Federal Data'!$G2:$G501,"Housing Support",'Federal Data'!$D2:$D501,"Nongrant")</f>
        <v>4329100</v>
      </c>
      <c r="AM136" s="101" t="s">
        <v>487</v>
      </c>
      <c r="AN136" s="101">
        <f t="shared" si="232"/>
        <v>4329100</v>
      </c>
      <c r="AO136" s="94">
        <f>SUMIFS('Federal Data'!Z2:Z501,'Federal Data'!$G2:$G501,"Housing Support",'Federal Data'!$D2:$D501,"Nongrant")</f>
        <v>1562123</v>
      </c>
      <c r="AP136" s="101" t="s">
        <v>487</v>
      </c>
      <c r="AQ136" s="101">
        <f t="shared" si="233"/>
        <v>1562123</v>
      </c>
      <c r="AR136" s="94">
        <f>SUMIFS('Federal Data'!AA2:AA501,'Federal Data'!$G2:$G501,"Housing Support",'Federal Data'!$D2:$D501,"Nongrant")</f>
        <v>-491567</v>
      </c>
      <c r="AS136" s="101" t="s">
        <v>487</v>
      </c>
      <c r="AT136" s="101">
        <f t="shared" si="234"/>
        <v>-491567</v>
      </c>
      <c r="AU136" s="94">
        <f>SUMIFS('Federal Data'!AB2:AB501,'Federal Data'!$G2:$G501,"Housing Support",'Federal Data'!$D2:$D501,"Nongrant")</f>
        <v>-1025000</v>
      </c>
      <c r="AV136" s="101" t="s">
        <v>487</v>
      </c>
      <c r="AW136" s="101">
        <f t="shared" si="235"/>
        <v>-1025000</v>
      </c>
      <c r="AX136" s="94">
        <f>SUMIFS('Federal Data'!AC2:AC501,'Federal Data'!$G2:$G501,"Housing Support",'Federal Data'!$D2:$D501,"Nongrant")</f>
        <v>-5013000</v>
      </c>
      <c r="AY136" s="101" t="s">
        <v>487</v>
      </c>
      <c r="AZ136" s="101">
        <f t="shared" si="236"/>
        <v>-5013000</v>
      </c>
      <c r="BA136" s="94">
        <f>SUMIFS('Federal Data'!AD2:AD501,'Federal Data'!$G2:$G501,"Housing Support",'Federal Data'!$D2:$D501,"Nongrant")</f>
        <v>-3993000</v>
      </c>
      <c r="BB136" s="101" t="s">
        <v>487</v>
      </c>
      <c r="BC136" s="101">
        <f t="shared" si="237"/>
        <v>-3993000</v>
      </c>
      <c r="BD136" s="94">
        <f>SUMIFS('Federal Data'!AE2:AE501,'Federal Data'!$G2:$G501,"Housing Support",'Federal Data'!$D2:$D501,"Nongrant")</f>
        <v>150000</v>
      </c>
      <c r="BE136" s="101" t="s">
        <v>487</v>
      </c>
      <c r="BF136" s="101">
        <f t="shared" si="238"/>
        <v>150000</v>
      </c>
      <c r="BG136" s="94">
        <f>SUMIFS('Federal Data'!AF2:AF501,'Federal Data'!$G2:$G501,"Housing Support",'Federal Data'!$D2:$D501,"Nongrant")</f>
        <v>1506000</v>
      </c>
      <c r="BH136" s="101" t="s">
        <v>487</v>
      </c>
      <c r="BI136" s="101">
        <f t="shared" si="239"/>
        <v>1506000</v>
      </c>
      <c r="BJ136" s="94">
        <f>SUMIFS('Federal Data'!AG2:AG501,'Federal Data'!$G2:$G501,"Housing Support",'Federal Data'!$D2:$D501,"Nongrant")</f>
        <v>-3289000</v>
      </c>
      <c r="BK136" s="101" t="s">
        <v>487</v>
      </c>
      <c r="BL136" s="101">
        <f t="shared" si="240"/>
        <v>-3289000</v>
      </c>
      <c r="BM136" s="94">
        <f>SUMIFS('Federal Data'!AH2:AH501,'Federal Data'!$G2:$G501,"Housing Support",'Federal Data'!$D2:$D501,"Nongrant")</f>
        <v>-1121000</v>
      </c>
      <c r="BN136" s="101" t="s">
        <v>487</v>
      </c>
      <c r="BO136" s="101">
        <f t="shared" si="241"/>
        <v>-1121000</v>
      </c>
      <c r="BP136" s="94">
        <f>SUMIFS('Federal Data'!AI2:AI501,'Federal Data'!$G2:$G501,"Housing Support",'Federal Data'!$D2:$D501,"Nongrant")</f>
        <v>-6963000</v>
      </c>
      <c r="BQ136" s="101" t="s">
        <v>487</v>
      </c>
      <c r="BR136" s="101">
        <f t="shared" si="242"/>
        <v>-6963000</v>
      </c>
      <c r="BS136" s="94">
        <f>SUMIFS('Federal Data'!AJ2:AJ501,'Federal Data'!$G2:$G501,"Housing Support",'Federal Data'!$D2:$D501,"Nongrant")</f>
        <v>-3292000</v>
      </c>
      <c r="BT136" s="101" t="s">
        <v>487</v>
      </c>
      <c r="BU136" s="101">
        <f t="shared" si="243"/>
        <v>-3292000</v>
      </c>
      <c r="BV136" s="94">
        <f>SUMIFS('Federal Data'!AK2:AK501,'Federal Data'!$G2:$G501,"Housing Support",'Federal Data'!$D2:$D501,"Nongrant")</f>
        <v>1615000</v>
      </c>
      <c r="BW136" s="101" t="s">
        <v>487</v>
      </c>
      <c r="BX136" s="101">
        <f t="shared" si="244"/>
        <v>1615000</v>
      </c>
      <c r="BY136" s="94">
        <f>SUMIFS('Federal Data'!AL2:AL501,'Federal Data'!$G2:$G501,"Housing Support",'Federal Data'!$D2:$D501,"Nongrant")</f>
        <v>-1678000</v>
      </c>
      <c r="BZ136" s="101" t="s">
        <v>487</v>
      </c>
      <c r="CA136" s="101">
        <f t="shared" si="245"/>
        <v>-1678000</v>
      </c>
      <c r="CB136" s="94">
        <f>SUMIFS('Federal Data'!AM2:AM501,'Federal Data'!$G2:$G501,"Housing Support",'Federal Data'!$D2:$D501,"Nongrant")</f>
        <v>-1040000</v>
      </c>
      <c r="CC136" s="101" t="s">
        <v>487</v>
      </c>
      <c r="CD136" s="101">
        <f t="shared" si="246"/>
        <v>-1040000</v>
      </c>
      <c r="CE136" s="94">
        <f>SUMIFS('Federal Data'!AN2:AN501,'Federal Data'!$G2:$G501,"Housing Support",'Federal Data'!$D2:$D501,"Nongrant")</f>
        <v>-5487000</v>
      </c>
      <c r="CF136" s="101" t="s">
        <v>487</v>
      </c>
      <c r="CG136" s="101">
        <f t="shared" si="247"/>
        <v>-5487000</v>
      </c>
      <c r="CH136" s="94">
        <f>SUMIFS('Federal Data'!AO2:AO501,'Federal Data'!$G2:$G501,"Housing Support",'Federal Data'!$D2:$D501,"Nongrant")</f>
        <v>-681000</v>
      </c>
      <c r="CI136" s="101" t="s">
        <v>487</v>
      </c>
      <c r="CJ136" s="101">
        <f t="shared" si="248"/>
        <v>-681000</v>
      </c>
      <c r="CK136" s="94">
        <f>SUMIFS('Federal Data'!AP2:AP501,'Federal Data'!$G2:$G501,"Housing Support",'Federal Data'!$D2:$D501,"Nongrant")</f>
        <v>99222000</v>
      </c>
      <c r="CL136" s="101" t="s">
        <v>487</v>
      </c>
      <c r="CM136" s="101">
        <f t="shared" si="249"/>
        <v>99222000</v>
      </c>
      <c r="CN136" s="94">
        <f>SUMIFS('Federal Data'!AQ2:AQ501,'Federal Data'!$G2:$G501,"Housing Support",'Federal Data'!$D2:$D501,"Nongrant")</f>
        <v>35186000</v>
      </c>
      <c r="CO136" s="101" t="s">
        <v>487</v>
      </c>
      <c r="CP136" s="101">
        <f t="shared" si="250"/>
        <v>35186000</v>
      </c>
      <c r="CQ136" s="94">
        <f>SUMIFS('Federal Data'!AR2:AR501,'Federal Data'!$G2:$G501,"Housing Support",'Federal Data'!$D2:$D501,"Nongrant")</f>
        <v>13853000</v>
      </c>
      <c r="CR136" s="101" t="s">
        <v>487</v>
      </c>
      <c r="CS136" s="101">
        <f t="shared" si="251"/>
        <v>13853000</v>
      </c>
      <c r="CT136" s="94">
        <f>SUMIFS('Federal Data'!AS2:AS501,'Federal Data'!$G2:$G501,"Housing Support",'Federal Data'!$D2:$D501,"Nongrant")</f>
        <v>-8213000</v>
      </c>
      <c r="CU136" s="101" t="s">
        <v>487</v>
      </c>
      <c r="CV136" s="101">
        <f t="shared" si="252"/>
        <v>-8213000</v>
      </c>
      <c r="CW136" s="94">
        <f>SUMIFS('Federal Data'!AT2:AT501,'Federal Data'!$G2:$G501,"Housing Support",'Federal Data'!$D2:$D501,"Nongrant")</f>
        <v>-88201000</v>
      </c>
      <c r="CX136" s="101" t="s">
        <v>487</v>
      </c>
      <c r="CY136" s="101">
        <f t="shared" si="253"/>
        <v>-88201000</v>
      </c>
      <c r="CZ136" s="94">
        <f>SUMIFS('Federal Data'!AU2:AU501,'Federal Data'!$G2:$G501,"Housing Support",'Federal Data'!$D2:$D501,"Nongrant")</f>
        <v>-84349000</v>
      </c>
      <c r="DA136" s="101" t="s">
        <v>487</v>
      </c>
      <c r="DB136" s="101">
        <f t="shared" si="254"/>
        <v>-84349000</v>
      </c>
      <c r="DC136" s="37">
        <f>SUMIFS('Federal Data'!AV2:AV501,'Federal Data'!$G2:$G501,"Housing Support",'Federal Data'!$D2:$D501,"Nongrant")</f>
        <v>-36018000</v>
      </c>
      <c r="DD136" s="85" t="s">
        <v>487</v>
      </c>
      <c r="DE136" s="85">
        <f t="shared" si="255"/>
        <v>-36018000</v>
      </c>
    </row>
    <row r="137" spans="1:109" outlineLevel="3">
      <c r="A137" s="31" t="s">
        <v>274</v>
      </c>
      <c r="B137" s="94">
        <f>SUMIFS('Federal Data'!M2:M501,'Federal Data'!$H2:$H501,"General Housing Support",'Federal Data'!$D2:$D501,"Nongrant")</f>
        <v>2160851</v>
      </c>
      <c r="C137" s="101" t="s">
        <v>487</v>
      </c>
      <c r="D137" s="101">
        <f t="shared" si="220"/>
        <v>2160851</v>
      </c>
      <c r="E137" s="94">
        <f>SUMIFS('Federal Data'!N2:N501,'Federal Data'!$H2:$H501,"General Housing Support",'Federal Data'!$D2:$D501,"Nongrant")</f>
        <v>2008442</v>
      </c>
      <c r="F137" s="101" t="s">
        <v>487</v>
      </c>
      <c r="G137" s="101">
        <f t="shared" si="221"/>
        <v>2008442</v>
      </c>
      <c r="H137" s="94">
        <f>SUMIFS('Federal Data'!O2:O501,'Federal Data'!$H2:$H501,"General Housing Support",'Federal Data'!$D2:$D501,"Nongrant")</f>
        <v>1837666</v>
      </c>
      <c r="I137" s="101" t="s">
        <v>487</v>
      </c>
      <c r="J137" s="101">
        <f t="shared" si="222"/>
        <v>1837666</v>
      </c>
      <c r="K137" s="94">
        <f>SUMIFS('Federal Data'!P2:P501,'Federal Data'!$H2:$H501,"General Housing Support",'Federal Data'!$D2:$D501,"Nongrant")</f>
        <v>1382342</v>
      </c>
      <c r="L137" s="101" t="s">
        <v>487</v>
      </c>
      <c r="M137" s="101">
        <f t="shared" si="223"/>
        <v>1382342</v>
      </c>
      <c r="N137" s="94">
        <f>SUMIFS('Federal Data'!Q2:Q501,'Federal Data'!$H2:$H501,"General Housing Support",'Federal Data'!$D2:$D501,"Nongrant")</f>
        <v>706212</v>
      </c>
      <c r="O137" s="101" t="s">
        <v>487</v>
      </c>
      <c r="P137" s="101">
        <f t="shared" si="224"/>
        <v>706212</v>
      </c>
      <c r="Q137" s="94">
        <f>SUMIFS('Federal Data'!R2:R501,'Federal Data'!$H2:$H501,"General Housing Support",'Federal Data'!$D2:$D501,"Nongrant")</f>
        <v>-1222485</v>
      </c>
      <c r="R137" s="101" t="s">
        <v>487</v>
      </c>
      <c r="S137" s="101">
        <f t="shared" si="225"/>
        <v>-1222485</v>
      </c>
      <c r="T137" s="94">
        <f>SUMIFS('Federal Data'!S2:S501,'Federal Data'!$H2:$H501,"General Housing Support",'Federal Data'!$D2:$D501,"Nongrant")</f>
        <v>-2591356</v>
      </c>
      <c r="U137" s="101" t="s">
        <v>487</v>
      </c>
      <c r="V137" s="101">
        <f t="shared" si="226"/>
        <v>-2591356</v>
      </c>
      <c r="W137" s="94">
        <f>SUMIFS('Federal Data'!T2:T501,'Federal Data'!$H2:$H501,"General Housing Support",'Federal Data'!$D2:$D501,"Nongrant")</f>
        <v>-1249851</v>
      </c>
      <c r="X137" s="101" t="s">
        <v>487</v>
      </c>
      <c r="Y137" s="101">
        <f t="shared" si="227"/>
        <v>-1249851</v>
      </c>
      <c r="Z137" s="94">
        <f>SUMIFS('Federal Data'!U2:U501,'Federal Data'!$H2:$H501,"General Housing Support",'Federal Data'!$D2:$D501,"Nongrant")</f>
        <v>1204145</v>
      </c>
      <c r="AA137" s="101" t="s">
        <v>487</v>
      </c>
      <c r="AB137" s="101">
        <f t="shared" si="228"/>
        <v>1204145</v>
      </c>
      <c r="AC137" s="94">
        <f>SUMIFS('Federal Data'!V2:V501,'Federal Data'!$H2:$H501,"General Housing Support",'Federal Data'!$D2:$D501,"Nongrant")</f>
        <v>1655584</v>
      </c>
      <c r="AD137" s="101" t="s">
        <v>487</v>
      </c>
      <c r="AE137" s="101">
        <f t="shared" si="229"/>
        <v>1655584</v>
      </c>
      <c r="AF137" s="94">
        <f>SUMIFS('Federal Data'!W2:W501,'Federal Data'!$H2:$H501,"General Housing Support",'Federal Data'!$D2:$D501,"Nongrant")</f>
        <v>873051</v>
      </c>
      <c r="AG137" s="101" t="s">
        <v>487</v>
      </c>
      <c r="AH137" s="101">
        <f t="shared" si="230"/>
        <v>873051</v>
      </c>
      <c r="AI137" s="94">
        <f>SUMIFS('Federal Data'!X2:X501,'Federal Data'!$H2:$H501,"General Housing Support",'Federal Data'!$D2:$D501,"Nongrant")</f>
        <v>2131121</v>
      </c>
      <c r="AJ137" s="101" t="s">
        <v>487</v>
      </c>
      <c r="AK137" s="101">
        <f t="shared" si="231"/>
        <v>2131121</v>
      </c>
      <c r="AL137" s="94">
        <f>SUMIFS('Federal Data'!Y2:Y501,'Federal Data'!$H2:$H501,"General Housing Support",'Federal Data'!$D2:$D501,"Nongrant")</f>
        <v>2335045</v>
      </c>
      <c r="AM137" s="101" t="s">
        <v>487</v>
      </c>
      <c r="AN137" s="101">
        <f t="shared" si="232"/>
        <v>2335045</v>
      </c>
      <c r="AO137" s="94">
        <f>SUMIFS('Federal Data'!Z2:Z501,'Federal Data'!$H2:$H501,"General Housing Support",'Federal Data'!$D2:$D501,"Nongrant")</f>
        <v>443692</v>
      </c>
      <c r="AP137" s="101" t="s">
        <v>487</v>
      </c>
      <c r="AQ137" s="101">
        <f t="shared" si="233"/>
        <v>443692</v>
      </c>
      <c r="AR137" s="94">
        <f>SUMIFS('Federal Data'!AA2:AA501,'Federal Data'!$H2:$H501,"General Housing Support",'Federal Data'!$D2:$D501,"Nongrant")</f>
        <v>-1598760</v>
      </c>
      <c r="AS137" s="101" t="s">
        <v>487</v>
      </c>
      <c r="AT137" s="101">
        <f t="shared" si="234"/>
        <v>-1598760</v>
      </c>
      <c r="AU137" s="94">
        <f>SUMIFS('Federal Data'!AB2:AB501,'Federal Data'!$H2:$H501,"General Housing Support",'Federal Data'!$D2:$D501,"Nongrant")</f>
        <v>-2605000</v>
      </c>
      <c r="AV137" s="101" t="s">
        <v>487</v>
      </c>
      <c r="AW137" s="101">
        <f t="shared" si="235"/>
        <v>-2605000</v>
      </c>
      <c r="AX137" s="94">
        <f>SUMIFS('Federal Data'!AC2:AC501,'Federal Data'!$H2:$H501,"General Housing Support",'Federal Data'!$D2:$D501,"Nongrant")</f>
        <v>-5759000</v>
      </c>
      <c r="AY137" s="101" t="s">
        <v>487</v>
      </c>
      <c r="AZ137" s="101">
        <f t="shared" si="236"/>
        <v>-5759000</v>
      </c>
      <c r="BA137" s="94">
        <f>SUMIFS('Federal Data'!AD2:AD501,'Federal Data'!$H2:$H501,"General Housing Support",'Federal Data'!$D2:$D501,"Nongrant")</f>
        <v>-4468000</v>
      </c>
      <c r="BB137" s="101" t="s">
        <v>487</v>
      </c>
      <c r="BC137" s="101">
        <f t="shared" si="237"/>
        <v>-4468000</v>
      </c>
      <c r="BD137" s="94">
        <f>SUMIFS('Federal Data'!AE2:AE501,'Federal Data'!$H2:$H501,"General Housing Support",'Federal Data'!$D2:$D501,"Nongrant")</f>
        <v>329000</v>
      </c>
      <c r="BE137" s="101" t="s">
        <v>487</v>
      </c>
      <c r="BF137" s="101">
        <f t="shared" si="238"/>
        <v>329000</v>
      </c>
      <c r="BG137" s="94">
        <f>SUMIFS('Federal Data'!AF2:AF501,'Federal Data'!$H2:$H501,"General Housing Support",'Federal Data'!$D2:$D501,"Nongrant")</f>
        <v>1841000</v>
      </c>
      <c r="BH137" s="101" t="s">
        <v>487</v>
      </c>
      <c r="BI137" s="101">
        <f t="shared" si="239"/>
        <v>1841000</v>
      </c>
      <c r="BJ137" s="94">
        <f>SUMIFS('Federal Data'!AG2:AG501,'Federal Data'!$H2:$H501,"General Housing Support",'Federal Data'!$D2:$D501,"Nongrant")</f>
        <v>-2677000</v>
      </c>
      <c r="BK137" s="101" t="s">
        <v>487</v>
      </c>
      <c r="BL137" s="101">
        <f t="shared" si="240"/>
        <v>-2677000</v>
      </c>
      <c r="BM137" s="94">
        <f>SUMIFS('Federal Data'!AH2:AH501,'Federal Data'!$H2:$H501,"General Housing Support",'Federal Data'!$D2:$D501,"Nongrant")</f>
        <v>-653000</v>
      </c>
      <c r="BN137" s="101" t="s">
        <v>487</v>
      </c>
      <c r="BO137" s="101">
        <f t="shared" si="241"/>
        <v>-653000</v>
      </c>
      <c r="BP137" s="94">
        <f>SUMIFS('Federal Data'!AI2:AI501,'Federal Data'!$H2:$H501,"General Housing Support",'Federal Data'!$D2:$D501,"Nongrant")</f>
        <v>-6255000</v>
      </c>
      <c r="BQ137" s="101" t="s">
        <v>487</v>
      </c>
      <c r="BR137" s="101">
        <f t="shared" si="242"/>
        <v>-6255000</v>
      </c>
      <c r="BS137" s="94">
        <f>SUMIFS('Federal Data'!AJ2:AJ501,'Federal Data'!$H2:$H501,"General Housing Support",'Federal Data'!$D2:$D501,"Nongrant")</f>
        <v>-2005000</v>
      </c>
      <c r="BT137" s="101" t="s">
        <v>487</v>
      </c>
      <c r="BU137" s="101">
        <f t="shared" si="243"/>
        <v>-2005000</v>
      </c>
      <c r="BV137" s="94">
        <f>SUMIFS('Federal Data'!AK2:AK501,'Federal Data'!$H2:$H501,"General Housing Support",'Federal Data'!$D2:$D501,"Nongrant")</f>
        <v>2141000</v>
      </c>
      <c r="BW137" s="101" t="s">
        <v>487</v>
      </c>
      <c r="BX137" s="101">
        <f t="shared" si="244"/>
        <v>2141000</v>
      </c>
      <c r="BY137" s="94">
        <f>SUMIFS('Federal Data'!AL2:AL501,'Federal Data'!$H2:$H501,"General Housing Support",'Federal Data'!$D2:$D501,"Nongrant")</f>
        <v>-865000</v>
      </c>
      <c r="BZ137" s="101" t="s">
        <v>487</v>
      </c>
      <c r="CA137" s="101">
        <f t="shared" si="245"/>
        <v>-865000</v>
      </c>
      <c r="CB137" s="94">
        <f>SUMIFS('Federal Data'!AM2:AM501,'Federal Data'!$H2:$H501,"General Housing Support",'Federal Data'!$D2:$D501,"Nongrant")</f>
        <v>-783000</v>
      </c>
      <c r="CC137" s="101" t="s">
        <v>487</v>
      </c>
      <c r="CD137" s="101">
        <f t="shared" si="246"/>
        <v>-783000</v>
      </c>
      <c r="CE137" s="94">
        <f>SUMIFS('Federal Data'!AN2:AN501,'Federal Data'!$H2:$H501,"General Housing Support",'Federal Data'!$D2:$D501,"Nongrant")</f>
        <v>-5171000</v>
      </c>
      <c r="CF137" s="101" t="s">
        <v>487</v>
      </c>
      <c r="CG137" s="101">
        <f t="shared" si="247"/>
        <v>-5171000</v>
      </c>
      <c r="CH137" s="94">
        <f>SUMIFS('Federal Data'!AO2:AO501,'Federal Data'!$H2:$H501,"General Housing Support",'Federal Data'!$D2:$D501,"Nongrant")</f>
        <v>-521000</v>
      </c>
      <c r="CI137" s="101" t="s">
        <v>487</v>
      </c>
      <c r="CJ137" s="101">
        <f t="shared" si="248"/>
        <v>-521000</v>
      </c>
      <c r="CK137" s="94">
        <f>SUMIFS('Federal Data'!AP2:AP501,'Federal Data'!$H2:$H501,"General Housing Support",'Federal Data'!$D2:$D501,"Nongrant")</f>
        <v>12928000</v>
      </c>
      <c r="CL137" s="101" t="s">
        <v>487</v>
      </c>
      <c r="CM137" s="101">
        <f t="shared" si="249"/>
        <v>12928000</v>
      </c>
      <c r="CN137" s="94">
        <f>SUMIFS('Federal Data'!AQ2:AQ501,'Federal Data'!$H2:$H501,"General Housing Support",'Federal Data'!$D2:$D501,"Nongrant")</f>
        <v>4004000</v>
      </c>
      <c r="CO137" s="101" t="s">
        <v>487</v>
      </c>
      <c r="CP137" s="101">
        <f t="shared" si="250"/>
        <v>4004000</v>
      </c>
      <c r="CQ137" s="94">
        <f>SUMIFS('Federal Data'!AR2:AR501,'Federal Data'!$H2:$H501,"General Housing Support",'Federal Data'!$D2:$D501,"Nongrant")</f>
        <v>875000</v>
      </c>
      <c r="CR137" s="101" t="s">
        <v>487</v>
      </c>
      <c r="CS137" s="101">
        <f t="shared" si="251"/>
        <v>875000</v>
      </c>
      <c r="CT137" s="94">
        <f>SUMIFS('Federal Data'!AS2:AS501,'Federal Data'!$H2:$H501,"General Housing Support",'Federal Data'!$D2:$D501,"Nongrant")</f>
        <v>-1308000</v>
      </c>
      <c r="CU137" s="101" t="s">
        <v>487</v>
      </c>
      <c r="CV137" s="101">
        <f t="shared" si="252"/>
        <v>-1308000</v>
      </c>
      <c r="CW137" s="94">
        <f>SUMIFS('Federal Data'!AT2:AT501,'Federal Data'!$H2:$H501,"General Housing Support",'Federal Data'!$D2:$D501,"Nongrant")</f>
        <v>7777000</v>
      </c>
      <c r="CX137" s="101" t="s">
        <v>487</v>
      </c>
      <c r="CY137" s="101">
        <f t="shared" si="253"/>
        <v>7777000</v>
      </c>
      <c r="CZ137" s="94">
        <f>SUMIFS('Federal Data'!AU2:AU501,'Federal Data'!$H2:$H501,"General Housing Support",'Federal Data'!$D2:$D501,"Nongrant")</f>
        <v>-10662000</v>
      </c>
      <c r="DA137" s="101" t="s">
        <v>487</v>
      </c>
      <c r="DB137" s="101">
        <f t="shared" si="254"/>
        <v>-10662000</v>
      </c>
      <c r="DC137" s="37">
        <f>SUMIFS('Federal Data'!AV2:AV501,'Federal Data'!$H2:$H501,"General Housing Support",'Federal Data'!$D2:$D501,"Nongrant")</f>
        <v>-14152000</v>
      </c>
      <c r="DD137" s="85" t="s">
        <v>487</v>
      </c>
      <c r="DE137" s="85">
        <f t="shared" si="255"/>
        <v>-14152000</v>
      </c>
    </row>
    <row r="138" spans="1:109" outlineLevel="3">
      <c r="A138" s="31" t="s">
        <v>298</v>
      </c>
      <c r="B138" s="94">
        <f>SUMIFS('Federal Data'!M2:M501,'Federal Data'!$H2:$H501,"GSE",'Federal Data'!$D2:$D501,"Nongrant")</f>
        <v>0</v>
      </c>
      <c r="C138" s="101" t="s">
        <v>487</v>
      </c>
      <c r="D138" s="101">
        <f t="shared" si="220"/>
        <v>0</v>
      </c>
      <c r="E138" s="94">
        <f>SUMIFS('Federal Data'!N2:N501,'Federal Data'!$H2:$H501,"GSE",'Federal Data'!$D2:$D501,"Nongrant")</f>
        <v>0</v>
      </c>
      <c r="F138" s="101" t="s">
        <v>487</v>
      </c>
      <c r="G138" s="101">
        <f t="shared" si="221"/>
        <v>0</v>
      </c>
      <c r="H138" s="94">
        <f>SUMIFS('Federal Data'!O2:O501,'Federal Data'!$H2:$H501,"GSE",'Federal Data'!$D2:$D501,"Nongrant")</f>
        <v>0</v>
      </c>
      <c r="I138" s="101" t="s">
        <v>487</v>
      </c>
      <c r="J138" s="101">
        <f t="shared" si="222"/>
        <v>0</v>
      </c>
      <c r="K138" s="94">
        <f>SUMIFS('Federal Data'!P2:P501,'Federal Data'!$H2:$H501,"GSE",'Federal Data'!$D2:$D501,"Nongrant")</f>
        <v>0</v>
      </c>
      <c r="L138" s="101" t="s">
        <v>487</v>
      </c>
      <c r="M138" s="101">
        <f t="shared" si="223"/>
        <v>0</v>
      </c>
      <c r="N138" s="94">
        <f>SUMIFS('Federal Data'!Q2:Q501,'Federal Data'!$H2:$H501,"GSE",'Federal Data'!$D2:$D501,"Nongrant")</f>
        <v>0</v>
      </c>
      <c r="O138" s="101" t="s">
        <v>487</v>
      </c>
      <c r="P138" s="101">
        <f t="shared" si="224"/>
        <v>0</v>
      </c>
      <c r="Q138" s="94">
        <f>SUMIFS('Federal Data'!R2:R501,'Federal Data'!$H2:$H501,"GSE",'Federal Data'!$D2:$D501,"Nongrant")</f>
        <v>0</v>
      </c>
      <c r="R138" s="101" t="s">
        <v>487</v>
      </c>
      <c r="S138" s="101">
        <f t="shared" si="225"/>
        <v>0</v>
      </c>
      <c r="T138" s="94">
        <f>SUMIFS('Federal Data'!S2:S501,'Federal Data'!$H2:$H501,"GSE",'Federal Data'!$D2:$D501,"Nongrant")</f>
        <v>0</v>
      </c>
      <c r="U138" s="101" t="s">
        <v>487</v>
      </c>
      <c r="V138" s="101">
        <f t="shared" si="226"/>
        <v>0</v>
      </c>
      <c r="W138" s="94">
        <f>SUMIFS('Federal Data'!T2:T501,'Federal Data'!$H2:$H501,"GSE",'Federal Data'!$D2:$D501,"Nongrant")</f>
        <v>0</v>
      </c>
      <c r="X138" s="101" t="s">
        <v>487</v>
      </c>
      <c r="Y138" s="101">
        <f t="shared" si="227"/>
        <v>0</v>
      </c>
      <c r="Z138" s="94">
        <f>SUMIFS('Federal Data'!U2:U501,'Federal Data'!$H2:$H501,"GSE",'Federal Data'!$D2:$D501,"Nongrant")</f>
        <v>0</v>
      </c>
      <c r="AA138" s="101" t="s">
        <v>487</v>
      </c>
      <c r="AB138" s="101">
        <f t="shared" si="228"/>
        <v>0</v>
      </c>
      <c r="AC138" s="94">
        <f>SUMIFS('Federal Data'!V2:V501,'Federal Data'!$H2:$H501,"GSE",'Federal Data'!$D2:$D501,"Nongrant")</f>
        <v>0</v>
      </c>
      <c r="AD138" s="101" t="s">
        <v>487</v>
      </c>
      <c r="AE138" s="101">
        <f t="shared" si="229"/>
        <v>0</v>
      </c>
      <c r="AF138" s="94">
        <f>SUMIFS('Federal Data'!W2:W501,'Federal Data'!$H2:$H501,"GSE",'Federal Data'!$D2:$D501,"Nongrant")</f>
        <v>0</v>
      </c>
      <c r="AG138" s="101" t="s">
        <v>487</v>
      </c>
      <c r="AH138" s="101">
        <f t="shared" si="230"/>
        <v>0</v>
      </c>
      <c r="AI138" s="94">
        <f>SUMIFS('Federal Data'!X2:X501,'Federal Data'!$H2:$H501,"GSE",'Federal Data'!$D2:$D501,"Nongrant")</f>
        <v>0</v>
      </c>
      <c r="AJ138" s="101" t="s">
        <v>487</v>
      </c>
      <c r="AK138" s="101">
        <f t="shared" si="231"/>
        <v>0</v>
      </c>
      <c r="AL138" s="94">
        <f>SUMIFS('Federal Data'!Y2:Y501,'Federal Data'!$H2:$H501,"GSE",'Federal Data'!$D2:$D501,"Nongrant")</f>
        <v>0</v>
      </c>
      <c r="AM138" s="101" t="s">
        <v>487</v>
      </c>
      <c r="AN138" s="101">
        <f t="shared" si="232"/>
        <v>0</v>
      </c>
      <c r="AO138" s="94">
        <f>SUMIFS('Federal Data'!Z2:Z501,'Federal Data'!$H2:$H501,"GSE",'Federal Data'!$D2:$D501,"Nongrant")</f>
        <v>0</v>
      </c>
      <c r="AP138" s="101" t="s">
        <v>487</v>
      </c>
      <c r="AQ138" s="101">
        <f t="shared" si="233"/>
        <v>0</v>
      </c>
      <c r="AR138" s="94">
        <f>SUMIFS('Federal Data'!AA2:AA501,'Federal Data'!$H2:$H501,"GSE",'Federal Data'!$D2:$D501,"Nongrant")</f>
        <v>0</v>
      </c>
      <c r="AS138" s="101" t="s">
        <v>487</v>
      </c>
      <c r="AT138" s="101">
        <f t="shared" si="234"/>
        <v>0</v>
      </c>
      <c r="AU138" s="94">
        <f>SUMIFS('Federal Data'!AB2:AB501,'Federal Data'!$H2:$H501,"GSE",'Federal Data'!$D2:$D501,"Nongrant")</f>
        <v>0</v>
      </c>
      <c r="AV138" s="101" t="s">
        <v>487</v>
      </c>
      <c r="AW138" s="101">
        <f t="shared" si="235"/>
        <v>0</v>
      </c>
      <c r="AX138" s="94">
        <f>SUMIFS('Federal Data'!AC2:AC501,'Federal Data'!$H2:$H501,"GSE",'Federal Data'!$D2:$D501,"Nongrant")</f>
        <v>0</v>
      </c>
      <c r="AY138" s="101" t="s">
        <v>487</v>
      </c>
      <c r="AZ138" s="101">
        <f t="shared" si="236"/>
        <v>0</v>
      </c>
      <c r="BA138" s="94">
        <f>SUMIFS('Federal Data'!AD2:AD501,'Federal Data'!$H2:$H501,"GSE",'Federal Data'!$D2:$D501,"Nongrant")</f>
        <v>0</v>
      </c>
      <c r="BB138" s="101" t="s">
        <v>487</v>
      </c>
      <c r="BC138" s="101">
        <f t="shared" si="237"/>
        <v>0</v>
      </c>
      <c r="BD138" s="94">
        <f>SUMIFS('Federal Data'!AE2:AE501,'Federal Data'!$H2:$H501,"GSE",'Federal Data'!$D2:$D501,"Nongrant")</f>
        <v>0</v>
      </c>
      <c r="BE138" s="101" t="s">
        <v>487</v>
      </c>
      <c r="BF138" s="101">
        <f t="shared" si="238"/>
        <v>0</v>
      </c>
      <c r="BG138" s="94">
        <f>SUMIFS('Federal Data'!AF2:AF501,'Federal Data'!$H2:$H501,"GSE",'Federal Data'!$D2:$D501,"Nongrant")</f>
        <v>0</v>
      </c>
      <c r="BH138" s="101" t="s">
        <v>487</v>
      </c>
      <c r="BI138" s="101">
        <f t="shared" si="239"/>
        <v>0</v>
      </c>
      <c r="BJ138" s="94">
        <f>SUMIFS('Federal Data'!AG2:AG501,'Federal Data'!$H2:$H501,"GSE",'Federal Data'!$D2:$D501,"Nongrant")</f>
        <v>0</v>
      </c>
      <c r="BK138" s="101" t="s">
        <v>487</v>
      </c>
      <c r="BL138" s="101">
        <f t="shared" si="240"/>
        <v>0</v>
      </c>
      <c r="BM138" s="94">
        <f>SUMIFS('Federal Data'!AH2:AH501,'Federal Data'!$H2:$H501,"GSE",'Federal Data'!$D2:$D501,"Nongrant")</f>
        <v>0</v>
      </c>
      <c r="BN138" s="101" t="s">
        <v>487</v>
      </c>
      <c r="BO138" s="101">
        <f t="shared" si="241"/>
        <v>0</v>
      </c>
      <c r="BP138" s="94">
        <f>SUMIFS('Federal Data'!AI2:AI501,'Federal Data'!$H2:$H501,"GSE",'Federal Data'!$D2:$D501,"Nongrant")</f>
        <v>0</v>
      </c>
      <c r="BQ138" s="101" t="s">
        <v>487</v>
      </c>
      <c r="BR138" s="101">
        <f t="shared" si="242"/>
        <v>0</v>
      </c>
      <c r="BS138" s="94">
        <f>SUMIFS('Federal Data'!AJ2:AJ501,'Federal Data'!$H2:$H501,"GSE",'Federal Data'!$D2:$D501,"Nongrant")</f>
        <v>0</v>
      </c>
      <c r="BT138" s="101" t="s">
        <v>487</v>
      </c>
      <c r="BU138" s="101">
        <f t="shared" si="243"/>
        <v>0</v>
      </c>
      <c r="BV138" s="94">
        <f>SUMIFS('Federal Data'!AK2:AK501,'Federal Data'!$H2:$H501,"GSE",'Federal Data'!$D2:$D501,"Nongrant")</f>
        <v>0</v>
      </c>
      <c r="BW138" s="101" t="s">
        <v>487</v>
      </c>
      <c r="BX138" s="101">
        <f t="shared" si="244"/>
        <v>0</v>
      </c>
      <c r="BY138" s="94">
        <f>SUMIFS('Federal Data'!AL2:AL501,'Federal Data'!$H2:$H501,"GSE",'Federal Data'!$D2:$D501,"Nongrant")</f>
        <v>0</v>
      </c>
      <c r="BZ138" s="101" t="s">
        <v>487</v>
      </c>
      <c r="CA138" s="101">
        <f t="shared" si="245"/>
        <v>0</v>
      </c>
      <c r="CB138" s="94">
        <f>SUMIFS('Federal Data'!AM2:AM501,'Federal Data'!$H2:$H501,"GSE",'Federal Data'!$D2:$D501,"Nongrant")</f>
        <v>0</v>
      </c>
      <c r="CC138" s="101" t="s">
        <v>487</v>
      </c>
      <c r="CD138" s="101">
        <f t="shared" si="246"/>
        <v>0</v>
      </c>
      <c r="CE138" s="94">
        <f>SUMIFS('Federal Data'!AN2:AN501,'Federal Data'!$H2:$H501,"GSE",'Federal Data'!$D2:$D501,"Nongrant")</f>
        <v>0</v>
      </c>
      <c r="CF138" s="101" t="s">
        <v>487</v>
      </c>
      <c r="CG138" s="101">
        <f t="shared" si="247"/>
        <v>0</v>
      </c>
      <c r="CH138" s="94">
        <f>SUMIFS('Federal Data'!AO2:AO501,'Federal Data'!$H2:$H501,"GSE",'Federal Data'!$D2:$D501,"Nongrant")</f>
        <v>-54000</v>
      </c>
      <c r="CI138" s="101" t="s">
        <v>487</v>
      </c>
      <c r="CJ138" s="101">
        <f t="shared" si="248"/>
        <v>-54000</v>
      </c>
      <c r="CK138" s="94">
        <f>SUMIFS('Federal Data'!AP2:AP501,'Federal Data'!$H2:$H501,"GSE",'Federal Data'!$D2:$D501,"Nongrant")</f>
        <v>86776000</v>
      </c>
      <c r="CL138" s="101" t="s">
        <v>487</v>
      </c>
      <c r="CM138" s="101">
        <f t="shared" si="249"/>
        <v>86776000</v>
      </c>
      <c r="CN138" s="94">
        <f>SUMIFS('Federal Data'!AQ2:AQ501,'Federal Data'!$H2:$H501,"GSE",'Federal Data'!$D2:$D501,"Nongrant")</f>
        <v>30876000</v>
      </c>
      <c r="CO138" s="101" t="s">
        <v>487</v>
      </c>
      <c r="CP138" s="101">
        <f t="shared" si="250"/>
        <v>30876000</v>
      </c>
      <c r="CQ138" s="94">
        <f>SUMIFS('Federal Data'!AR2:AR501,'Federal Data'!$H2:$H501,"GSE",'Federal Data'!$D2:$D501,"Nongrant")</f>
        <v>12633000</v>
      </c>
      <c r="CR138" s="101" t="s">
        <v>487</v>
      </c>
      <c r="CS138" s="101">
        <f t="shared" si="251"/>
        <v>12633000</v>
      </c>
      <c r="CT138" s="94">
        <f>SUMIFS('Federal Data'!AS2:AS501,'Federal Data'!$H2:$H501,"GSE",'Federal Data'!$D2:$D501,"Nongrant")</f>
        <v>-7527000</v>
      </c>
      <c r="CU138" s="101" t="s">
        <v>487</v>
      </c>
      <c r="CV138" s="101">
        <f t="shared" si="252"/>
        <v>-7527000</v>
      </c>
      <c r="CW138" s="94">
        <f>SUMIFS('Federal Data'!AT2:AT501,'Federal Data'!$H2:$H501,"GSE",'Federal Data'!$D2:$D501,"Nongrant")</f>
        <v>-96888000</v>
      </c>
      <c r="CX138" s="101" t="s">
        <v>487</v>
      </c>
      <c r="CY138" s="101">
        <f t="shared" si="253"/>
        <v>-96888000</v>
      </c>
      <c r="CZ138" s="94">
        <f>SUMIFS('Federal Data'!AU2:AU501,'Federal Data'!$H2:$H501,"GSE",'Federal Data'!$D2:$D501,"Nongrant")</f>
        <v>-74463000</v>
      </c>
      <c r="DA138" s="101" t="s">
        <v>487</v>
      </c>
      <c r="DB138" s="101">
        <f t="shared" si="254"/>
        <v>-74463000</v>
      </c>
      <c r="DC138" s="37">
        <f>SUMIFS('Federal Data'!AV2:AV501,'Federal Data'!$H2:$H501,"GSE",'Federal Data'!$D2:$D501,"Nongrant")</f>
        <v>-22557000</v>
      </c>
      <c r="DD138" s="85" t="s">
        <v>487</v>
      </c>
      <c r="DE138" s="85">
        <f t="shared" si="255"/>
        <v>-22557000</v>
      </c>
    </row>
    <row r="139" spans="1:109" outlineLevel="3">
      <c r="A139" s="31" t="s">
        <v>275</v>
      </c>
      <c r="B139" s="94">
        <f>SUMIFS('Federal Data'!M2:M501,'Federal Data'!$H2:$H501,"Rural Housing",'Federal Data'!$D2:$D501,"Nongrant")</f>
        <v>3624192</v>
      </c>
      <c r="C139" s="101" t="s">
        <v>487</v>
      </c>
      <c r="D139" s="101">
        <f t="shared" si="220"/>
        <v>3624192</v>
      </c>
      <c r="E139" s="94">
        <f>SUMIFS('Federal Data'!N2:N501,'Federal Data'!$H2:$H501,"Rural Housing",'Federal Data'!$D2:$D501,"Nongrant")</f>
        <v>3914091</v>
      </c>
      <c r="F139" s="101" t="s">
        <v>487</v>
      </c>
      <c r="G139" s="101">
        <f t="shared" si="221"/>
        <v>3914091</v>
      </c>
      <c r="H139" s="94">
        <f>SUMIFS('Federal Data'!O2:O501,'Federal Data'!$H2:$H501,"Rural Housing",'Federal Data'!$D2:$D501,"Nongrant")</f>
        <v>4045549</v>
      </c>
      <c r="I139" s="101" t="s">
        <v>487</v>
      </c>
      <c r="J139" s="101">
        <f t="shared" si="222"/>
        <v>4045549</v>
      </c>
      <c r="K139" s="94">
        <f>SUMIFS('Federal Data'!P2:P501,'Federal Data'!$H2:$H501,"Rural Housing",'Federal Data'!$D2:$D501,"Nongrant")</f>
        <v>3584128</v>
      </c>
      <c r="L139" s="101" t="s">
        <v>487</v>
      </c>
      <c r="M139" s="101">
        <f t="shared" si="223"/>
        <v>3584128</v>
      </c>
      <c r="N139" s="94">
        <f>SUMIFS('Federal Data'!Q2:Q501,'Federal Data'!$H2:$H501,"Rural Housing",'Federal Data'!$D2:$D501,"Nongrant")</f>
        <v>3429853</v>
      </c>
      <c r="O139" s="101" t="s">
        <v>487</v>
      </c>
      <c r="P139" s="101">
        <f t="shared" si="224"/>
        <v>3429853</v>
      </c>
      <c r="Q139" s="94">
        <f>SUMIFS('Federal Data'!R2:R501,'Federal Data'!$H2:$H501,"Rural Housing",'Federal Data'!$D2:$D501,"Nongrant")</f>
        <v>3970746</v>
      </c>
      <c r="R139" s="101" t="s">
        <v>487</v>
      </c>
      <c r="S139" s="101">
        <f t="shared" si="225"/>
        <v>3970746</v>
      </c>
      <c r="T139" s="94">
        <f>SUMIFS('Federal Data'!S2:S501,'Federal Data'!$H2:$H501,"Rural Housing",'Federal Data'!$D2:$D501,"Nongrant")</f>
        <v>3235108</v>
      </c>
      <c r="U139" s="101" t="s">
        <v>487</v>
      </c>
      <c r="V139" s="101">
        <f t="shared" si="226"/>
        <v>3235108</v>
      </c>
      <c r="W139" s="94">
        <f>SUMIFS('Federal Data'!T2:T501,'Federal Data'!$H2:$H501,"Rural Housing",'Federal Data'!$D2:$D501,"Nongrant")</f>
        <v>798822</v>
      </c>
      <c r="X139" s="101" t="s">
        <v>487</v>
      </c>
      <c r="Y139" s="101">
        <f t="shared" si="227"/>
        <v>798822</v>
      </c>
      <c r="Z139" s="94">
        <f>SUMIFS('Federal Data'!U2:U501,'Federal Data'!$H2:$H501,"Rural Housing",'Federal Data'!$D2:$D501,"Nongrant")</f>
        <v>3611603</v>
      </c>
      <c r="AA139" s="101" t="s">
        <v>487</v>
      </c>
      <c r="AB139" s="101">
        <f t="shared" si="228"/>
        <v>3611603</v>
      </c>
      <c r="AC139" s="94">
        <f>SUMIFS('Federal Data'!V2:V501,'Federal Data'!$H2:$H501,"Rural Housing",'Federal Data'!$D2:$D501,"Nongrant")</f>
        <v>3610488</v>
      </c>
      <c r="AD139" s="101" t="s">
        <v>487</v>
      </c>
      <c r="AE139" s="101">
        <f t="shared" si="229"/>
        <v>3610488</v>
      </c>
      <c r="AF139" s="94">
        <f>SUMIFS('Federal Data'!W2:W501,'Federal Data'!$H2:$H501,"Rural Housing",'Federal Data'!$D2:$D501,"Nongrant")</f>
        <v>3014360</v>
      </c>
      <c r="AG139" s="101" t="s">
        <v>487</v>
      </c>
      <c r="AH139" s="101">
        <f t="shared" si="230"/>
        <v>3014360</v>
      </c>
      <c r="AI139" s="94">
        <f>SUMIFS('Federal Data'!X2:X501,'Federal Data'!$H2:$H501,"Rural Housing",'Federal Data'!$D2:$D501,"Nongrant")</f>
        <v>3238203</v>
      </c>
      <c r="AJ139" s="101" t="s">
        <v>487</v>
      </c>
      <c r="AK139" s="101">
        <f t="shared" si="231"/>
        <v>3238203</v>
      </c>
      <c r="AL139" s="94">
        <f>SUMIFS('Federal Data'!Y2:Y501,'Federal Data'!$H2:$H501,"Rural Housing",'Federal Data'!$D2:$D501,"Nongrant")</f>
        <v>1994055</v>
      </c>
      <c r="AM139" s="101" t="s">
        <v>487</v>
      </c>
      <c r="AN139" s="101">
        <f t="shared" si="232"/>
        <v>1994055</v>
      </c>
      <c r="AO139" s="94">
        <f>SUMIFS('Federal Data'!Z2:Z501,'Federal Data'!$H2:$H501,"Rural Housing",'Federal Data'!$D2:$D501,"Nongrant")</f>
        <v>1118431</v>
      </c>
      <c r="AP139" s="101" t="s">
        <v>487</v>
      </c>
      <c r="AQ139" s="101">
        <f t="shared" si="233"/>
        <v>1118431</v>
      </c>
      <c r="AR139" s="94">
        <f>SUMIFS('Federal Data'!AA2:AA501,'Federal Data'!$H2:$H501,"Rural Housing",'Federal Data'!$D2:$D501,"Nongrant")</f>
        <v>1107193</v>
      </c>
      <c r="AS139" s="101" t="s">
        <v>487</v>
      </c>
      <c r="AT139" s="101">
        <f t="shared" si="234"/>
        <v>1107193</v>
      </c>
      <c r="AU139" s="94">
        <f>SUMIFS('Federal Data'!AB2:AB501,'Federal Data'!$H2:$H501,"Rural Housing",'Federal Data'!$D2:$D501,"Nongrant")</f>
        <v>1580000</v>
      </c>
      <c r="AV139" s="101" t="s">
        <v>487</v>
      </c>
      <c r="AW139" s="101">
        <f t="shared" si="235"/>
        <v>1580000</v>
      </c>
      <c r="AX139" s="94">
        <f>SUMIFS('Federal Data'!AC2:AC501,'Federal Data'!$H2:$H501,"Rural Housing",'Federal Data'!$D2:$D501,"Nongrant")</f>
        <v>746000</v>
      </c>
      <c r="AY139" s="101" t="s">
        <v>487</v>
      </c>
      <c r="AZ139" s="101">
        <f t="shared" si="236"/>
        <v>746000</v>
      </c>
      <c r="BA139" s="94">
        <f>SUMIFS('Federal Data'!AD2:AD501,'Federal Data'!$H2:$H501,"Rural Housing",'Federal Data'!$D2:$D501,"Nongrant")</f>
        <v>475000</v>
      </c>
      <c r="BB139" s="101" t="s">
        <v>487</v>
      </c>
      <c r="BC139" s="101">
        <f t="shared" si="237"/>
        <v>475000</v>
      </c>
      <c r="BD139" s="94">
        <f>SUMIFS('Federal Data'!AE2:AE501,'Federal Data'!$H2:$H501,"Rural Housing",'Federal Data'!$D2:$D501,"Nongrant")</f>
        <v>-179000</v>
      </c>
      <c r="BE139" s="101" t="s">
        <v>487</v>
      </c>
      <c r="BF139" s="101">
        <f t="shared" si="238"/>
        <v>-179000</v>
      </c>
      <c r="BG139" s="94">
        <f>SUMIFS('Federal Data'!AF2:AF501,'Federal Data'!$H2:$H501,"Rural Housing",'Federal Data'!$D2:$D501,"Nongrant")</f>
        <v>-335000</v>
      </c>
      <c r="BH139" s="101" t="s">
        <v>487</v>
      </c>
      <c r="BI139" s="101">
        <f t="shared" si="239"/>
        <v>-335000</v>
      </c>
      <c r="BJ139" s="94">
        <f>SUMIFS('Federal Data'!AG2:AG501,'Federal Data'!$H2:$H501,"Rural Housing",'Federal Data'!$D2:$D501,"Nongrant")</f>
        <v>-612000</v>
      </c>
      <c r="BK139" s="101" t="s">
        <v>487</v>
      </c>
      <c r="BL139" s="101">
        <f t="shared" si="240"/>
        <v>-612000</v>
      </c>
      <c r="BM139" s="94">
        <f>SUMIFS('Federal Data'!AH2:AH501,'Federal Data'!$H2:$H501,"Rural Housing",'Federal Data'!$D2:$D501,"Nongrant")</f>
        <v>-468000</v>
      </c>
      <c r="BN139" s="101" t="s">
        <v>487</v>
      </c>
      <c r="BO139" s="101">
        <f t="shared" si="241"/>
        <v>-468000</v>
      </c>
      <c r="BP139" s="94">
        <f>SUMIFS('Federal Data'!AI2:AI501,'Federal Data'!$H2:$H501,"Rural Housing",'Federal Data'!$D2:$D501,"Nongrant")</f>
        <v>-708000</v>
      </c>
      <c r="BQ139" s="101" t="s">
        <v>487</v>
      </c>
      <c r="BR139" s="101">
        <f t="shared" si="242"/>
        <v>-708000</v>
      </c>
      <c r="BS139" s="94">
        <f>SUMIFS('Federal Data'!AJ2:AJ501,'Federal Data'!$H2:$H501,"Rural Housing",'Federal Data'!$D2:$D501,"Nongrant")</f>
        <v>-1287000</v>
      </c>
      <c r="BT139" s="101" t="s">
        <v>487</v>
      </c>
      <c r="BU139" s="101">
        <f t="shared" si="243"/>
        <v>-1287000</v>
      </c>
      <c r="BV139" s="94">
        <f>SUMIFS('Federal Data'!AK2:AK501,'Federal Data'!$H2:$H501,"Rural Housing",'Federal Data'!$D2:$D501,"Nongrant")</f>
        <v>-526000</v>
      </c>
      <c r="BW139" s="101" t="s">
        <v>487</v>
      </c>
      <c r="BX139" s="101">
        <f t="shared" si="244"/>
        <v>-526000</v>
      </c>
      <c r="BY139" s="94">
        <f>SUMIFS('Federal Data'!AL2:AL501,'Federal Data'!$H2:$H501,"Rural Housing",'Federal Data'!$D2:$D501,"Nongrant")</f>
        <v>-813000</v>
      </c>
      <c r="BZ139" s="101" t="s">
        <v>487</v>
      </c>
      <c r="CA139" s="101">
        <f t="shared" si="245"/>
        <v>-813000</v>
      </c>
      <c r="CB139" s="94">
        <f>SUMIFS('Federal Data'!AM2:AM501,'Federal Data'!$H2:$H501,"Rural Housing",'Federal Data'!$D2:$D501,"Nongrant")</f>
        <v>-257000</v>
      </c>
      <c r="CC139" s="101" t="s">
        <v>487</v>
      </c>
      <c r="CD139" s="101">
        <f t="shared" si="246"/>
        <v>-257000</v>
      </c>
      <c r="CE139" s="94">
        <f>SUMIFS('Federal Data'!AN2:AN501,'Federal Data'!$H2:$H501,"Rural Housing",'Federal Data'!$D2:$D501,"Nongrant")</f>
        <v>-316000</v>
      </c>
      <c r="CF139" s="101" t="s">
        <v>487</v>
      </c>
      <c r="CG139" s="101">
        <f t="shared" si="247"/>
        <v>-316000</v>
      </c>
      <c r="CH139" s="94">
        <f>SUMIFS('Federal Data'!AO2:AO501,'Federal Data'!$H2:$H501,"Rural Housing",'Federal Data'!$D2:$D501,"Nongrant")</f>
        <v>-106000</v>
      </c>
      <c r="CI139" s="101" t="s">
        <v>487</v>
      </c>
      <c r="CJ139" s="101">
        <f t="shared" si="248"/>
        <v>-106000</v>
      </c>
      <c r="CK139" s="94">
        <f>SUMIFS('Federal Data'!AP2:AP501,'Federal Data'!$H2:$H501,"Rural Housing",'Federal Data'!$D2:$D501,"Nongrant")</f>
        <v>-482000</v>
      </c>
      <c r="CL139" s="101" t="s">
        <v>487</v>
      </c>
      <c r="CM139" s="101">
        <f t="shared" si="249"/>
        <v>-482000</v>
      </c>
      <c r="CN139" s="94">
        <f>SUMIFS('Federal Data'!AQ2:AQ501,'Federal Data'!$H2:$H501,"Rural Housing",'Federal Data'!$D2:$D501,"Nongrant")</f>
        <v>306000</v>
      </c>
      <c r="CO139" s="101" t="s">
        <v>487</v>
      </c>
      <c r="CP139" s="101">
        <f t="shared" si="250"/>
        <v>306000</v>
      </c>
      <c r="CQ139" s="94">
        <f>SUMIFS('Federal Data'!AR2:AR501,'Federal Data'!$H2:$H501,"Rural Housing",'Federal Data'!$D2:$D501,"Nongrant")</f>
        <v>345000</v>
      </c>
      <c r="CR139" s="101" t="s">
        <v>487</v>
      </c>
      <c r="CS139" s="101">
        <f t="shared" si="251"/>
        <v>345000</v>
      </c>
      <c r="CT139" s="94">
        <f>SUMIFS('Federal Data'!AS2:AS501,'Federal Data'!$H2:$H501,"Rural Housing",'Federal Data'!$D2:$D501,"Nongrant")</f>
        <v>622000</v>
      </c>
      <c r="CU139" s="101" t="s">
        <v>487</v>
      </c>
      <c r="CV139" s="101">
        <f t="shared" si="252"/>
        <v>622000</v>
      </c>
      <c r="CW139" s="94">
        <f>SUMIFS('Federal Data'!AT2:AT501,'Federal Data'!$H2:$H501,"Rural Housing",'Federal Data'!$D2:$D501,"Nongrant")</f>
        <v>910000</v>
      </c>
      <c r="CX139" s="101" t="s">
        <v>487</v>
      </c>
      <c r="CY139" s="101">
        <f t="shared" si="253"/>
        <v>910000</v>
      </c>
      <c r="CZ139" s="94">
        <f>SUMIFS('Federal Data'!AU2:AU501,'Federal Data'!$H2:$H501,"Rural Housing",'Federal Data'!$D2:$D501,"Nongrant")</f>
        <v>776000</v>
      </c>
      <c r="DA139" s="101" t="s">
        <v>487</v>
      </c>
      <c r="DB139" s="101">
        <f t="shared" si="254"/>
        <v>776000</v>
      </c>
      <c r="DC139" s="37">
        <f>SUMIFS('Federal Data'!AV2:AV501,'Federal Data'!$H2:$H501,"Rural Housing",'Federal Data'!$D2:$D501,"Nongrant")</f>
        <v>691000</v>
      </c>
      <c r="DD139" s="85" t="s">
        <v>487</v>
      </c>
      <c r="DE139" s="85">
        <f t="shared" si="255"/>
        <v>691000</v>
      </c>
    </row>
    <row r="140" spans="1:109" outlineLevel="2">
      <c r="A140" s="29" t="s">
        <v>41</v>
      </c>
      <c r="B140" s="94">
        <f>SUMIFS('Federal Data'!M2:M501,'Federal Data'!$E2:$E501,"Obligations",'Federal Data'!$D2:$D501,"Nongrant")</f>
        <v>65436101</v>
      </c>
      <c r="C140" s="101">
        <f>'State and Local P&amp;L (detailed)'!$C$80</f>
        <v>21717089</v>
      </c>
      <c r="D140" s="101">
        <f t="shared" si="220"/>
        <v>87153190</v>
      </c>
      <c r="E140" s="94">
        <f>SUMIFS('Federal Data'!N2:N501,'Federal Data'!$E2:$E501,"Obligations",'Federal Data'!$D2:$D501,"Nongrant")</f>
        <v>84808726</v>
      </c>
      <c r="F140" s="101">
        <f>'State and Local P&amp;L (detailed)'!$D$80</f>
        <v>24939869</v>
      </c>
      <c r="G140" s="101">
        <f t="shared" si="221"/>
        <v>109748595</v>
      </c>
      <c r="H140" s="94">
        <f>SUMIFS('Federal Data'!O2:O501,'Federal Data'!$E2:$E501,"Obligations",'Federal Data'!$D2:$D501,"Nongrant")</f>
        <v>102599241</v>
      </c>
      <c r="I140" s="101">
        <f>'State and Local P&amp;L (detailed)'!$E$80</f>
        <v>28165321</v>
      </c>
      <c r="J140" s="101">
        <f t="shared" si="222"/>
        <v>130764562</v>
      </c>
      <c r="K140" s="94">
        <f>SUMIFS('Federal Data'!P2:P501,'Federal Data'!$E2:$E501,"Obligations",'Federal Data'!$D2:$D501,"Nongrant")</f>
        <v>106779158</v>
      </c>
      <c r="L140" s="101">
        <f>'State and Local P&amp;L (detailed)'!$F$80</f>
        <v>37845549</v>
      </c>
      <c r="M140" s="101">
        <f t="shared" si="223"/>
        <v>144624707</v>
      </c>
      <c r="N140" s="94">
        <f>SUMIFS('Federal Data'!Q2:Q501,'Federal Data'!$E2:$E501,"Obligations",'Federal Data'!$D2:$D501,"Nongrant")</f>
        <v>128682530</v>
      </c>
      <c r="O140" s="101">
        <f>'State and Local P&amp;L (detailed)'!$G$80</f>
        <v>48858294</v>
      </c>
      <c r="P140" s="101">
        <f t="shared" si="224"/>
        <v>177540824</v>
      </c>
      <c r="Q140" s="94">
        <f>SUMIFS('Federal Data'!R2:R501,'Federal Data'!$E2:$E501,"Obligations",'Federal Data'!$D2:$D501,"Nongrant")</f>
        <v>146191177</v>
      </c>
      <c r="R140" s="101">
        <f>'State and Local P&amp;L (detailed)'!$H$80</f>
        <v>53088779</v>
      </c>
      <c r="S140" s="101">
        <f t="shared" si="225"/>
        <v>199279956</v>
      </c>
      <c r="T140" s="94">
        <f>SUMIFS('Federal Data'!S2:S501,'Federal Data'!$E2:$E501,"Obligations",'Federal Data'!$D2:$D501,"Nongrant")</f>
        <v>154296532</v>
      </c>
      <c r="U140" s="101">
        <f>'State and Local P&amp;L (detailed)'!$I$80</f>
        <v>61424894</v>
      </c>
      <c r="V140" s="101">
        <f t="shared" si="226"/>
        <v>215721426</v>
      </c>
      <c r="W140" s="94">
        <f>SUMIFS('Federal Data'!T2:T501,'Federal Data'!$E2:$E501,"Obligations",'Federal Data'!$D2:$D501,"Nongrant")</f>
        <v>158715948</v>
      </c>
      <c r="X140" s="101">
        <f>'State and Local P&amp;L (detailed)'!$J$80</f>
        <v>72970371</v>
      </c>
      <c r="Y140" s="101">
        <f t="shared" si="227"/>
        <v>231686319</v>
      </c>
      <c r="Z140" s="94">
        <f>SUMIFS('Federal Data'!U2:U501,'Federal Data'!$E2:$E501,"Obligations",'Federal Data'!$D2:$D501,"Nongrant")</f>
        <v>173024208</v>
      </c>
      <c r="AA140" s="101">
        <f>'State and Local P&amp;L (detailed)'!$K$80</f>
        <v>69180271</v>
      </c>
      <c r="AB140" s="101">
        <f t="shared" si="228"/>
        <v>242204479</v>
      </c>
      <c r="AC140" s="94">
        <f>SUMIFS('Federal Data'!V2:V501,'Federal Data'!$E2:$E501,"Obligations",'Federal Data'!$D2:$D501,"Nongrant")</f>
        <v>191071591</v>
      </c>
      <c r="AD140" s="101">
        <f>'State and Local P&amp;L (detailed)'!$L$80</f>
        <v>69897782</v>
      </c>
      <c r="AE140" s="101">
        <f t="shared" si="229"/>
        <v>260969373</v>
      </c>
      <c r="AF140" s="94">
        <f>SUMIFS('Federal Data'!W2:W501,'Federal Data'!$E2:$E501,"Obligations",'Federal Data'!$D2:$D501,"Nongrant")</f>
        <v>211632876</v>
      </c>
      <c r="AG140" s="101">
        <f>'State and Local P&amp;L (detailed)'!$M$80</f>
        <v>73902386</v>
      </c>
      <c r="AH140" s="101">
        <f t="shared" si="230"/>
        <v>285535262</v>
      </c>
      <c r="AI140" s="94">
        <f>SUMIFS('Federal Data'!X2:X501,'Federal Data'!$E2:$E501,"Obligations",'Federal Data'!$D2:$D501,"Nongrant")</f>
        <v>224347241</v>
      </c>
      <c r="AJ140" s="101">
        <f>'State and Local P&amp;L (detailed)'!$N$80</f>
        <v>80722143</v>
      </c>
      <c r="AK140" s="101">
        <f t="shared" si="231"/>
        <v>305069384</v>
      </c>
      <c r="AL140" s="94">
        <f>SUMIFS('Federal Data'!Y2:Y501,'Federal Data'!$E2:$E501,"Obligations",'Federal Data'!$D2:$D501,"Nongrant")</f>
        <v>231265093</v>
      </c>
      <c r="AM140" s="101">
        <f>'State and Local P&amp;L (detailed)'!$O$80</f>
        <v>38988386</v>
      </c>
      <c r="AN140" s="101">
        <f t="shared" si="232"/>
        <v>270253479</v>
      </c>
      <c r="AO140" s="94">
        <f>SUMIFS('Federal Data'!Z2:Z501,'Federal Data'!$E2:$E501,"Obligations",'Federal Data'!$D2:$D501,"Nongrant")</f>
        <v>235586884</v>
      </c>
      <c r="AP140" s="101">
        <f>'State and Local P&amp;L (detailed)'!$P$80</f>
        <v>48067627</v>
      </c>
      <c r="AQ140" s="101">
        <f t="shared" si="233"/>
        <v>283654511</v>
      </c>
      <c r="AR140" s="94">
        <f>SUMIFS('Federal Data'!AA2:AA501,'Federal Data'!$E2:$E501,"Obligations",'Federal Data'!$D2:$D501,"Nongrant")</f>
        <v>242534407</v>
      </c>
      <c r="AS140" s="101">
        <f>'State and Local P&amp;L (detailed)'!$Q$80</f>
        <v>51681852</v>
      </c>
      <c r="AT140" s="101">
        <f t="shared" si="234"/>
        <v>294216259</v>
      </c>
      <c r="AU140" s="94">
        <f>SUMIFS('Federal Data'!AB2:AB501,'Federal Data'!$E2:$E501,"Obligations",'Federal Data'!$D2:$D501,"Nongrant")</f>
        <v>275997000</v>
      </c>
      <c r="AV140" s="101">
        <f>'State and Local P&amp;L (detailed)'!$R$80</f>
        <v>53378032</v>
      </c>
      <c r="AW140" s="101">
        <f t="shared" si="235"/>
        <v>329375032</v>
      </c>
      <c r="AX140" s="94">
        <f>SUMIFS('Federal Data'!AC2:AC501,'Federal Data'!$E2:$E501,"Obligations",'Federal Data'!$D2:$D501,"Nongrant")</f>
        <v>288188000</v>
      </c>
      <c r="AY140" s="101">
        <f>'State and Local P&amp;L (detailed)'!$S$80</f>
        <v>58268864</v>
      </c>
      <c r="AZ140" s="101">
        <f t="shared" si="236"/>
        <v>346456864</v>
      </c>
      <c r="BA140" s="94">
        <f>SUMIFS('Federal Data'!AD2:AD501,'Federal Data'!$E2:$E501,"Obligations",'Federal Data'!$D2:$D501,"Nongrant")</f>
        <v>294665000</v>
      </c>
      <c r="BB140" s="101">
        <f>'State and Local P&amp;L (detailed)'!$T$80</f>
        <v>61893769</v>
      </c>
      <c r="BC140" s="101">
        <f t="shared" si="237"/>
        <v>356558769</v>
      </c>
      <c r="BD140" s="94">
        <f>SUMIFS('Federal Data'!AE2:AE501,'Federal Data'!$E2:$E501,"Obligations",'Federal Data'!$D2:$D501,"Nongrant")</f>
        <v>293653000</v>
      </c>
      <c r="BE140" s="101">
        <f>'State and Local P&amp;L (detailed)'!$U$80</f>
        <v>68307987</v>
      </c>
      <c r="BF140" s="101">
        <f t="shared" si="238"/>
        <v>361960987</v>
      </c>
      <c r="BG140" s="94">
        <f>SUMIFS('Federal Data'!AF2:AF501,'Federal Data'!$E2:$E501,"Obligations",'Federal Data'!$D2:$D501,"Nongrant")</f>
        <v>284006000</v>
      </c>
      <c r="BH140" s="101">
        <f>'State and Local P&amp;L (detailed)'!$V$80</f>
        <v>74219024</v>
      </c>
      <c r="BI140" s="101">
        <f t="shared" si="239"/>
        <v>358225024</v>
      </c>
      <c r="BJ140" s="94">
        <f>SUMIFS('Federal Data'!AG2:AG501,'Federal Data'!$E2:$E501,"Obligations",'Federal Data'!$D2:$D501,"Nongrant")</f>
        <v>277563000</v>
      </c>
      <c r="BK140" s="101">
        <f>'State and Local P&amp;L (detailed)'!$W$80</f>
        <v>82702865</v>
      </c>
      <c r="BL140" s="101">
        <f t="shared" si="240"/>
        <v>360265865</v>
      </c>
      <c r="BM140" s="94">
        <f>SUMIFS('Federal Data'!AH2:AH501,'Federal Data'!$E2:$E501,"Obligations",'Federal Data'!$D2:$D501,"Nongrant")</f>
        <v>263932000</v>
      </c>
      <c r="BN140" s="101">
        <f>'State and Local P&amp;L (detailed)'!$X$80</f>
        <v>82236509</v>
      </c>
      <c r="BO140" s="101">
        <f t="shared" si="241"/>
        <v>346168509</v>
      </c>
      <c r="BP140" s="94">
        <f>SUMIFS('Federal Data'!AI2:AI501,'Federal Data'!$E2:$E501,"Obligations",'Federal Data'!$D2:$D501,"Nongrant")</f>
        <v>229099000</v>
      </c>
      <c r="BQ140" s="101">
        <f>'State and Local P&amp;L (detailed)'!$Y$80</f>
        <v>106634092</v>
      </c>
      <c r="BR140" s="101">
        <f t="shared" si="242"/>
        <v>335733092</v>
      </c>
      <c r="BS140" s="94">
        <f>SUMIFS('Federal Data'!AJ2:AJ501,'Federal Data'!$E2:$E501,"Obligations",'Federal Data'!$D2:$D501,"Nongrant")</f>
        <v>211267000</v>
      </c>
      <c r="BT140" s="101">
        <f>'State and Local P&amp;L (detailed)'!$Z$80</f>
        <v>126804008</v>
      </c>
      <c r="BU140" s="101">
        <f t="shared" si="243"/>
        <v>338071008</v>
      </c>
      <c r="BV140" s="94">
        <f>SUMIFS('Federal Data'!AK2:AK501,'Federal Data'!$E2:$E501,"Obligations",'Federal Data'!$D2:$D501,"Nongrant")</f>
        <v>220437000</v>
      </c>
      <c r="BW140" s="101">
        <f>'State and Local P&amp;L (detailed)'!$AA$80</f>
        <v>139982854</v>
      </c>
      <c r="BX140" s="101">
        <f t="shared" si="244"/>
        <v>360419854</v>
      </c>
      <c r="BY140" s="94">
        <f>SUMIFS('Federal Data'!AL2:AL501,'Federal Data'!$E2:$E501,"Obligations",'Federal Data'!$D2:$D501,"Nongrant")</f>
        <v>245347000</v>
      </c>
      <c r="BZ140" s="101">
        <f>'State and Local P&amp;L (detailed)'!$AB$80</f>
        <v>140851963</v>
      </c>
      <c r="CA140" s="101">
        <f t="shared" si="245"/>
        <v>386198963</v>
      </c>
      <c r="CB140" s="94">
        <f>SUMIFS('Federal Data'!AM2:AM501,'Federal Data'!$E2:$E501,"Obligations",'Federal Data'!$D2:$D501,"Nongrant")</f>
        <v>292556000</v>
      </c>
      <c r="CC140" s="101">
        <f>'State and Local P&amp;L (detailed)'!$AC$80</f>
        <v>143893914</v>
      </c>
      <c r="CD140" s="101">
        <f t="shared" si="246"/>
        <v>436449914</v>
      </c>
      <c r="CE140" s="94">
        <f>SUMIFS('Federal Data'!AN2:AN501,'Federal Data'!$E2:$E501,"Obligations",'Federal Data'!$D2:$D501,"Nongrant")</f>
        <v>302225000</v>
      </c>
      <c r="CF140" s="101">
        <f>'State and Local P&amp;L (detailed)'!$AD$80</f>
        <v>140987349</v>
      </c>
      <c r="CG140" s="101">
        <f t="shared" si="247"/>
        <v>443212349</v>
      </c>
      <c r="CH140" s="94">
        <f>SUMIFS('Federal Data'!AO2:AO501,'Federal Data'!$E2:$E501,"Obligations",'Federal Data'!$D2:$D501,"Nongrant")</f>
        <v>324180000</v>
      </c>
      <c r="CI140" s="101">
        <f>'State and Local P&amp;L (detailed)'!$AE$80</f>
        <v>162844207</v>
      </c>
      <c r="CJ140" s="101">
        <f t="shared" si="248"/>
        <v>487024207</v>
      </c>
      <c r="CK140" s="94">
        <f>SUMIFS('Federal Data'!AP2:AP501,'Federal Data'!$E2:$E501,"Obligations",'Federal Data'!$D2:$D501,"Nongrant")</f>
        <v>269162000</v>
      </c>
      <c r="CL140" s="101">
        <f>'State and Local P&amp;L (detailed)'!$AF$80</f>
        <v>197140317</v>
      </c>
      <c r="CM140" s="101">
        <f t="shared" si="249"/>
        <v>466302317</v>
      </c>
      <c r="CN140" s="94">
        <f>SUMIFS('Federal Data'!AQ2:AQ501,'Federal Data'!$E2:$E501,"Obligations",'Federal Data'!$D2:$D501,"Nongrant")</f>
        <v>269973000</v>
      </c>
      <c r="CO140" s="101">
        <f>'State and Local P&amp;L (detailed)'!$AG$80</f>
        <v>225971893</v>
      </c>
      <c r="CP140" s="101">
        <f t="shared" si="250"/>
        <v>495944893</v>
      </c>
      <c r="CQ140" s="94">
        <f>SUMIFS('Federal Data'!AR2:AR501,'Federal Data'!$E2:$E501,"Obligations",'Federal Data'!$D2:$D501,"Nongrant")</f>
        <v>310155000</v>
      </c>
      <c r="CR140" s="101">
        <f>'State and Local P&amp;L (detailed)'!$AH$80</f>
        <v>247838727</v>
      </c>
      <c r="CS140" s="101">
        <f t="shared" si="251"/>
        <v>557993727</v>
      </c>
      <c r="CT140" s="94">
        <f>SUMIFS('Federal Data'!AS2:AS501,'Federal Data'!$E2:$E501,"Obligations",'Federal Data'!$D2:$D501,"Nongrant")</f>
        <v>296337000</v>
      </c>
      <c r="CU140" s="101">
        <f>'State and Local P&amp;L (detailed)'!$AI$80</f>
        <v>262038131</v>
      </c>
      <c r="CV140" s="101">
        <f t="shared" si="252"/>
        <v>558375131</v>
      </c>
      <c r="CW140" s="94">
        <f>SUMIFS('Federal Data'!AT2:AT501,'Federal Data'!$E2:$E501,"Obligations",'Federal Data'!$D2:$D501,"Nongrant")</f>
        <v>309108000</v>
      </c>
      <c r="CX140" s="101">
        <f>'State and Local P&amp;L (detailed)'!$AJ$80</f>
        <v>276038101</v>
      </c>
      <c r="CY140" s="101">
        <f t="shared" si="253"/>
        <v>585146101</v>
      </c>
      <c r="CZ140" s="94">
        <f>SUMIFS('Federal Data'!AU2:AU501,'Federal Data'!$E2:$E501,"Obligations",'Federal Data'!$D2:$D501,"Nongrant")</f>
        <v>324921000</v>
      </c>
      <c r="DA140" s="101">
        <f>'State and Local P&amp;L (detailed)'!$AK$80</f>
        <v>285635054</v>
      </c>
      <c r="DB140" s="101">
        <f t="shared" si="254"/>
        <v>610556054</v>
      </c>
      <c r="DC140" s="37">
        <f>SUMIFS('Federal Data'!AV2:AV501,'Federal Data'!$E2:$E501,"Obligations",'Federal Data'!$D2:$D501,"Nongrant")</f>
        <v>323988000</v>
      </c>
      <c r="DD140" s="85">
        <f>'State and Local P&amp;L (detailed)'!$AL$80</f>
        <v>0</v>
      </c>
      <c r="DE140" s="85">
        <f t="shared" si="255"/>
        <v>323988000</v>
      </c>
    </row>
    <row r="141" spans="1:109" outlineLevel="2">
      <c r="A141" s="31" t="s">
        <v>42</v>
      </c>
      <c r="B141" s="94">
        <f>SUMIFS('Federal Data'!M2:M501,'Federal Data'!$F2:$F501,"Employee Retirement and Disability Benefits",'Federal Data'!$D2:$D501,"Nongrant")</f>
        <v>27291545</v>
      </c>
      <c r="C141" s="101">
        <f>'State and Local P&amp;L (detailed)'!$C$81</f>
        <v>16725998</v>
      </c>
      <c r="D141" s="101">
        <f t="shared" si="220"/>
        <v>44017543</v>
      </c>
      <c r="E141" s="94">
        <f>SUMIFS('Federal Data'!N2:N501,'Federal Data'!$F2:$F501,"Employee Retirement and Disability Benefits",'Federal Data'!$D2:$D501,"Nongrant")</f>
        <v>32183775</v>
      </c>
      <c r="F141" s="101">
        <f>'State and Local P&amp;L (detailed)'!$D$81</f>
        <v>18650130</v>
      </c>
      <c r="G141" s="101">
        <f t="shared" si="221"/>
        <v>50833905</v>
      </c>
      <c r="H141" s="94">
        <f>SUMIFS('Federal Data'!O2:O501,'Federal Data'!$F2:$F501,"Employee Retirement and Disability Benefits",'Federal Data'!$D2:$D501,"Nongrant")</f>
        <v>35373841</v>
      </c>
      <c r="I141" s="101">
        <f>'State and Local P&amp;L (detailed)'!$E$81</f>
        <v>21316508</v>
      </c>
      <c r="J141" s="101">
        <f t="shared" si="222"/>
        <v>56690349</v>
      </c>
      <c r="K141" s="94">
        <f>SUMIFS('Federal Data'!P2:P501,'Federal Data'!$F2:$F501,"Employee Retirement and Disability Benefits",'Federal Data'!$D2:$D501,"Nongrant")</f>
        <v>37623621</v>
      </c>
      <c r="L141" s="101">
        <f>'State and Local P&amp;L (detailed)'!$F$81</f>
        <v>23162124</v>
      </c>
      <c r="M141" s="101">
        <f t="shared" si="223"/>
        <v>60785745</v>
      </c>
      <c r="N141" s="94">
        <f>SUMIFS('Federal Data'!Q2:Q501,'Federal Data'!$F2:$F501,"Employee Retirement and Disability Benefits",'Federal Data'!$D2:$D501,"Nongrant")</f>
        <v>39494300</v>
      </c>
      <c r="O141" s="101">
        <f>'State and Local P&amp;L (detailed)'!$G$81</f>
        <v>26093110</v>
      </c>
      <c r="P141" s="101">
        <f t="shared" si="224"/>
        <v>65587410</v>
      </c>
      <c r="Q141" s="94">
        <f>SUMIFS('Federal Data'!R2:R501,'Federal Data'!$F2:$F501,"Employee Retirement and Disability Benefits",'Federal Data'!$D2:$D501,"Nongrant")</f>
        <v>39912061</v>
      </c>
      <c r="R141" s="101">
        <f>'State and Local P&amp;L (detailed)'!$H$81</f>
        <v>29195532</v>
      </c>
      <c r="S141" s="101">
        <f t="shared" si="225"/>
        <v>69107593</v>
      </c>
      <c r="T141" s="94">
        <f>SUMIFS('Federal Data'!S2:S501,'Federal Data'!$F2:$F501,"Employee Retirement and Disability Benefits",'Federal Data'!$D2:$D501,"Nongrant")</f>
        <v>42109868</v>
      </c>
      <c r="U141" s="101">
        <f>'State and Local P&amp;L (detailed)'!$I$81</f>
        <v>31651311</v>
      </c>
      <c r="V141" s="101">
        <f t="shared" si="226"/>
        <v>73761179</v>
      </c>
      <c r="W141" s="94">
        <f>SUMIFS('Federal Data'!T2:T501,'Federal Data'!$F2:$F501,"Employee Retirement and Disability Benefits",'Federal Data'!$D2:$D501,"Nongrant")</f>
        <v>45663822</v>
      </c>
      <c r="X141" s="101">
        <f>'State and Local P&amp;L (detailed)'!$J$81</f>
        <v>35555474</v>
      </c>
      <c r="Y141" s="101">
        <f t="shared" si="227"/>
        <v>81219296</v>
      </c>
      <c r="Z141" s="94">
        <f>SUMIFS('Federal Data'!U2:U501,'Federal Data'!$F2:$F501,"Employee Retirement and Disability Benefits",'Federal Data'!$D2:$D501,"Nongrant")</f>
        <v>48765083</v>
      </c>
      <c r="AA141" s="101">
        <f>'State and Local P&amp;L (detailed)'!$K$81</f>
        <v>38786642</v>
      </c>
      <c r="AB141" s="101">
        <f t="shared" si="228"/>
        <v>87551725</v>
      </c>
      <c r="AC141" s="94">
        <f>SUMIFS('Federal Data'!V2:V501,'Federal Data'!$F2:$F501,"Employee Retirement and Disability Benefits",'Federal Data'!$D2:$D501,"Nongrant")</f>
        <v>49928918</v>
      </c>
      <c r="AD141" s="101">
        <f>'State and Local P&amp;L (detailed)'!$L$81</f>
        <v>42131706</v>
      </c>
      <c r="AE141" s="101">
        <f t="shared" si="229"/>
        <v>92060624</v>
      </c>
      <c r="AF141" s="94">
        <f>SUMIFS('Federal Data'!W2:W501,'Federal Data'!$F2:$F501,"Employee Retirement and Disability Benefits",'Federal Data'!$D2:$D501,"Nongrant")</f>
        <v>53784454</v>
      </c>
      <c r="AG141" s="101">
        <f>'State and Local P&amp;L (detailed)'!$M$81</f>
        <v>46821905</v>
      </c>
      <c r="AH141" s="101">
        <f t="shared" si="230"/>
        <v>100606359</v>
      </c>
      <c r="AI141" s="94">
        <f>SUMIFS('Federal Data'!X2:X501,'Federal Data'!$F2:$F501,"Employee Retirement and Disability Benefits",'Federal Data'!$D2:$D501,"Nongrant")</f>
        <v>58578259</v>
      </c>
      <c r="AJ141" s="101">
        <f>'State and Local P&amp;L (detailed)'!$N$81</f>
        <v>52023117</v>
      </c>
      <c r="AK141" s="101">
        <f t="shared" si="231"/>
        <v>110601376</v>
      </c>
      <c r="AL141" s="94">
        <f>SUMIFS('Federal Data'!Y2:Y501,'Federal Data'!$F2:$F501,"Employee Retirement and Disability Benefits",'Federal Data'!$D2:$D501,"Nongrant")</f>
        <v>60725666</v>
      </c>
      <c r="AM141" s="101">
        <f>'State and Local P&amp;L (detailed)'!$O$81</f>
        <v>57327293</v>
      </c>
      <c r="AN141" s="101">
        <f t="shared" si="232"/>
        <v>118052959</v>
      </c>
      <c r="AO141" s="94">
        <f>SUMIFS('Federal Data'!Z2:Z501,'Federal Data'!$F2:$F501,"Employee Retirement and Disability Benefits",'Federal Data'!$D2:$D501,"Nongrant")</f>
        <v>63105146</v>
      </c>
      <c r="AP141" s="101">
        <f>'State and Local P&amp;L (detailed)'!$P$81</f>
        <v>63397702</v>
      </c>
      <c r="AQ141" s="101">
        <f t="shared" si="233"/>
        <v>126502848</v>
      </c>
      <c r="AR141" s="94">
        <f>SUMIFS('Federal Data'!AA2:AA501,'Federal Data'!$F2:$F501,"Employee Retirement and Disability Benefits",'Federal Data'!$D2:$D501,"Nongrant")</f>
        <v>65940147</v>
      </c>
      <c r="AS141" s="101">
        <f>'State and Local P&amp;L (detailed)'!$Q$81</f>
        <v>66838500</v>
      </c>
      <c r="AT141" s="101">
        <f t="shared" si="234"/>
        <v>132778647</v>
      </c>
      <c r="AU141" s="94">
        <f>SUMIFS('Federal Data'!AB2:AB501,'Federal Data'!$F2:$F501,"Employee Retirement and Disability Benefits",'Federal Data'!$D2:$D501,"Nongrant")</f>
        <v>69728000</v>
      </c>
      <c r="AV141" s="101">
        <f>'State and Local P&amp;L (detailed)'!$R$81</f>
        <v>72135714</v>
      </c>
      <c r="AW141" s="101">
        <f t="shared" si="235"/>
        <v>141863714</v>
      </c>
      <c r="AX141" s="94">
        <f>SUMIFS('Federal Data'!AC2:AC501,'Federal Data'!$F2:$F501,"Employee Retirement and Disability Benefits",'Federal Data'!$D2:$D501,"Nongrant")</f>
        <v>72395000</v>
      </c>
      <c r="AY141" s="101">
        <f>'State and Local P&amp;L (detailed)'!$S$81</f>
        <v>79241399</v>
      </c>
      <c r="AZ141" s="101">
        <f t="shared" si="236"/>
        <v>151636399</v>
      </c>
      <c r="BA141" s="94">
        <f>SUMIFS('Federal Data'!AD2:AD501,'Federal Data'!$F2:$F501,"Employee Retirement and Disability Benefits",'Federal Data'!$D2:$D501,"Nongrant")</f>
        <v>76359000</v>
      </c>
      <c r="BB141" s="101">
        <f>'State and Local P&amp;L (detailed)'!$T$81</f>
        <v>83204583</v>
      </c>
      <c r="BC141" s="101">
        <f t="shared" si="237"/>
        <v>159563583</v>
      </c>
      <c r="BD141" s="94">
        <f>SUMIFS('Federal Data'!AE2:AE501,'Federal Data'!$F2:$F501,"Employee Retirement and Disability Benefits",'Federal Data'!$D2:$D501,"Nongrant")</f>
        <v>78205000</v>
      </c>
      <c r="BE141" s="101">
        <f>'State and Local P&amp;L (detailed)'!$U$81</f>
        <v>90621254</v>
      </c>
      <c r="BF141" s="101">
        <f t="shared" si="238"/>
        <v>168826254</v>
      </c>
      <c r="BG141" s="94">
        <f>SUMIFS('Federal Data'!AF2:AF501,'Federal Data'!$F2:$F501,"Employee Retirement and Disability Benefits",'Federal Data'!$D2:$D501,"Nongrant")</f>
        <v>80219000</v>
      </c>
      <c r="BH141" s="101">
        <f>'State and Local P&amp;L (detailed)'!$V$81</f>
        <v>95949025</v>
      </c>
      <c r="BI141" s="101">
        <f t="shared" si="239"/>
        <v>176168025</v>
      </c>
      <c r="BJ141" s="94">
        <f>SUMIFS('Federal Data'!AG2:AG501,'Federal Data'!$F2:$F501,"Employee Retirement and Disability Benefits",'Federal Data'!$D2:$D501,"Nongrant")</f>
        <v>82209000</v>
      </c>
      <c r="BK141" s="101">
        <f>'State and Local P&amp;L (detailed)'!$W$81</f>
        <v>106581171</v>
      </c>
      <c r="BL141" s="101">
        <f t="shared" si="240"/>
        <v>188790171</v>
      </c>
      <c r="BM141" s="94">
        <f>SUMIFS('Federal Data'!AH2:AH501,'Federal Data'!$F2:$F501,"Employee Retirement and Disability Benefits",'Federal Data'!$D2:$D501,"Nongrant")</f>
        <v>85955000</v>
      </c>
      <c r="BN141" s="101">
        <f>'State and Local P&amp;L (detailed)'!$X$81</f>
        <v>116556397</v>
      </c>
      <c r="BO141" s="101">
        <f t="shared" si="241"/>
        <v>202511397</v>
      </c>
      <c r="BP141" s="94">
        <f>SUMIFS('Federal Data'!AI2:AI501,'Federal Data'!$F2:$F501,"Employee Retirement and Disability Benefits",'Federal Data'!$D2:$D501,"Nongrant")</f>
        <v>88726000</v>
      </c>
      <c r="BQ141" s="101">
        <f>'State and Local P&amp;L (detailed)'!$Y$81</f>
        <v>128596440</v>
      </c>
      <c r="BR141" s="101">
        <f t="shared" si="242"/>
        <v>217322440</v>
      </c>
      <c r="BS141" s="94">
        <f>SUMIFS('Federal Data'!AJ2:AJ501,'Federal Data'!$F2:$F501,"Employee Retirement and Disability Benefits",'Federal Data'!$D2:$D501,"Nongrant")</f>
        <v>94896000</v>
      </c>
      <c r="BT141" s="101">
        <f>'State and Local P&amp;L (detailed)'!$Z$81</f>
        <v>141716972</v>
      </c>
      <c r="BU141" s="101">
        <f t="shared" si="243"/>
        <v>236612972</v>
      </c>
      <c r="BV141" s="94">
        <f>SUMIFS('Federal Data'!AK2:AK501,'Federal Data'!$F2:$F501,"Employee Retirement and Disability Benefits",'Federal Data'!$D2:$D501,"Nongrant")</f>
        <v>99772000</v>
      </c>
      <c r="BW141" s="101">
        <f>'State and Local P&amp;L (detailed)'!$AA$81</f>
        <v>154564283</v>
      </c>
      <c r="BX141" s="101">
        <f t="shared" si="244"/>
        <v>254336283</v>
      </c>
      <c r="BY141" s="94">
        <f>SUMIFS('Federal Data'!AL2:AL501,'Federal Data'!$F2:$F501,"Employee Retirement and Disability Benefits",'Federal Data'!$D2:$D501,"Nongrant")</f>
        <v>106036000</v>
      </c>
      <c r="BZ141" s="101">
        <f>'State and Local P&amp;L (detailed)'!$AB$81</f>
        <v>165886533</v>
      </c>
      <c r="CA141" s="101">
        <f t="shared" si="245"/>
        <v>271922533</v>
      </c>
      <c r="CB141" s="94">
        <f>SUMIFS('Federal Data'!AM2:AM501,'Federal Data'!$F2:$F501,"Employee Retirement and Disability Benefits",'Federal Data'!$D2:$D501,"Nongrant")</f>
        <v>111780000</v>
      </c>
      <c r="CC141" s="101">
        <f>'State and Local P&amp;L (detailed)'!$AC$81</f>
        <v>175982997</v>
      </c>
      <c r="CD141" s="101">
        <f t="shared" si="246"/>
        <v>287762997</v>
      </c>
      <c r="CE141" s="94">
        <f>SUMIFS('Federal Data'!AN2:AN501,'Federal Data'!$F2:$F501,"Employee Retirement and Disability Benefits",'Federal Data'!$D2:$D501,"Nongrant")</f>
        <v>119412000</v>
      </c>
      <c r="CF141" s="101">
        <f>'State and Local P&amp;L (detailed)'!$AD$81</f>
        <v>184916909</v>
      </c>
      <c r="CG141" s="101">
        <f t="shared" si="247"/>
        <v>304328909</v>
      </c>
      <c r="CH141" s="94">
        <f>SUMIFS('Federal Data'!AO2:AO501,'Federal Data'!$F2:$F501,"Employee Retirement and Disability Benefits",'Federal Data'!$D2:$D501,"Nongrant")</f>
        <v>126354000</v>
      </c>
      <c r="CI141" s="101">
        <f>'State and Local P&amp;L (detailed)'!$AE$81</f>
        <v>199632225</v>
      </c>
      <c r="CJ141" s="101">
        <f t="shared" si="248"/>
        <v>325986225</v>
      </c>
      <c r="CK141" s="94">
        <f>SUMIFS('Federal Data'!AP2:AP501,'Federal Data'!$F2:$F501,"Employee Retirement and Disability Benefits",'Federal Data'!$D2:$D501,"Nongrant")</f>
        <v>136156000</v>
      </c>
      <c r="CL141" s="101">
        <f>'State and Local P&amp;L (detailed)'!$AF$81</f>
        <v>210904021</v>
      </c>
      <c r="CM141" s="101">
        <f t="shared" si="249"/>
        <v>347060021</v>
      </c>
      <c r="CN141" s="94">
        <f>SUMIFS('Federal Data'!AQ2:AQ501,'Federal Data'!$F2:$F501,"Employee Retirement and Disability Benefits",'Federal Data'!$D2:$D501,"Nongrant")</f>
        <v>137337000</v>
      </c>
      <c r="CO141" s="101">
        <f>'State and Local P&amp;L (detailed)'!$AG$81</f>
        <v>223659874</v>
      </c>
      <c r="CP141" s="101">
        <f t="shared" si="250"/>
        <v>360996874</v>
      </c>
      <c r="CQ141" s="94">
        <f>SUMIFS('Federal Data'!AR2:AR501,'Federal Data'!$F2:$F501,"Employee Retirement and Disability Benefits",'Federal Data'!$D2:$D501,"Nongrant")</f>
        <v>140749000</v>
      </c>
      <c r="CR141" s="101">
        <f>'State and Local P&amp;L (detailed)'!$AH$81</f>
        <v>239017752</v>
      </c>
      <c r="CS141" s="101">
        <f t="shared" si="251"/>
        <v>379766752</v>
      </c>
      <c r="CT141" s="94">
        <f>SUMIFS('Federal Data'!AS2:AS501,'Federal Data'!$F2:$F501,"Employee Retirement and Disability Benefits",'Federal Data'!$D2:$D501,"Nongrant")</f>
        <v>140183000</v>
      </c>
      <c r="CU141" s="101">
        <f>'State and Local P&amp;L (detailed)'!$AI$81</f>
        <v>249507210</v>
      </c>
      <c r="CV141" s="101">
        <f t="shared" si="252"/>
        <v>389690210</v>
      </c>
      <c r="CW141" s="94">
        <f>SUMIFS('Federal Data'!AT2:AT501,'Federal Data'!$F2:$F501,"Employee Retirement and Disability Benefits",'Federal Data'!$D2:$D501,"Nongrant")</f>
        <v>149200000</v>
      </c>
      <c r="CX141" s="101">
        <f>'State and Local P&amp;L (detailed)'!$AJ$81</f>
        <v>263675303</v>
      </c>
      <c r="CY141" s="101">
        <f t="shared" si="253"/>
        <v>412875303</v>
      </c>
      <c r="CZ141" s="94">
        <f>SUMIFS('Federal Data'!AU2:AU501,'Federal Data'!$F2:$F501,"Employee Retirement and Disability Benefits",'Federal Data'!$D2:$D501,"Nongrant")</f>
        <v>155525000</v>
      </c>
      <c r="DA141" s="101">
        <f>'State and Local P&amp;L (detailed)'!$AK$81</f>
        <v>276557940</v>
      </c>
      <c r="DB141" s="101">
        <f t="shared" si="254"/>
        <v>432082940</v>
      </c>
      <c r="DC141" s="37">
        <f>SUMIFS('Federal Data'!AV2:AV501,'Federal Data'!$F2:$F501,"Employee Retirement and Disability Benefits",'Federal Data'!$D2:$D501,"Nongrant")</f>
        <v>161846000</v>
      </c>
      <c r="DD141" s="85">
        <f>'State and Local P&amp;L (detailed)'!$AL$81</f>
        <v>0</v>
      </c>
      <c r="DE141" s="85">
        <f t="shared" si="255"/>
        <v>161846000</v>
      </c>
    </row>
    <row r="142" spans="1:109" outlineLevel="2">
      <c r="A142" s="31" t="s">
        <v>314</v>
      </c>
      <c r="B142" s="94">
        <f>SUMIFS('Federal Data'!M2:M501,'Federal Data'!$F2:$F501,"Employee Contributions for Retirement and Disability",'Federal Data'!$D2:$D501,"Nongrant")</f>
        <v>0</v>
      </c>
      <c r="C142" s="101">
        <f>'State and Local P&amp;L (detailed)'!$C$82</f>
        <v>-10335303</v>
      </c>
      <c r="D142" s="101">
        <f t="shared" si="220"/>
        <v>-10335303</v>
      </c>
      <c r="E142" s="94">
        <f>SUMIFS('Federal Data'!N2:N501,'Federal Data'!$F2:$F501,"Employee Contributions for Retirement and Disability",'Federal Data'!$D2:$D501,"Nongrant")</f>
        <v>0</v>
      </c>
      <c r="F142" s="101">
        <f>'State and Local P&amp;L (detailed)'!$D$82</f>
        <v>-10894517</v>
      </c>
      <c r="G142" s="101">
        <f t="shared" si="221"/>
        <v>-10894517</v>
      </c>
      <c r="H142" s="94">
        <f>SUMIFS('Federal Data'!O2:O501,'Federal Data'!$F2:$F501,"Employee Contributions for Retirement and Disability",'Federal Data'!$D2:$D501,"Nongrant")</f>
        <v>0</v>
      </c>
      <c r="I142" s="101">
        <f>'State and Local P&amp;L (detailed)'!$E$82</f>
        <v>-11887489</v>
      </c>
      <c r="J142" s="101">
        <f t="shared" si="222"/>
        <v>-11887489</v>
      </c>
      <c r="K142" s="94">
        <f>SUMIFS('Federal Data'!P2:P501,'Federal Data'!$F2:$F501,"Employee Contributions for Retirement and Disability",'Federal Data'!$D2:$D501,"Nongrant")</f>
        <v>0</v>
      </c>
      <c r="L142" s="101">
        <f>'State and Local P&amp;L (detailed)'!$F$82</f>
        <v>-12528720</v>
      </c>
      <c r="M142" s="101">
        <f t="shared" si="223"/>
        <v>-12528720</v>
      </c>
      <c r="N142" s="94">
        <f>SUMIFS('Federal Data'!Q2:Q501,'Federal Data'!$F2:$F501,"Employee Contributions for Retirement and Disability",'Federal Data'!$D2:$D501,"Nongrant")</f>
        <v>0</v>
      </c>
      <c r="O142" s="101">
        <f>'State and Local P&amp;L (detailed)'!$G$82</f>
        <v>-12913795</v>
      </c>
      <c r="P142" s="101">
        <f t="shared" si="224"/>
        <v>-12913795</v>
      </c>
      <c r="Q142" s="94">
        <f>SUMIFS('Federal Data'!R2:R501,'Federal Data'!$F2:$F501,"Employee Contributions for Retirement and Disability",'Federal Data'!$D2:$D501,"Nongrant")</f>
        <v>0</v>
      </c>
      <c r="R142" s="101">
        <f>'State and Local P&amp;L (detailed)'!$H$82</f>
        <v>-14047155</v>
      </c>
      <c r="S142" s="101">
        <f t="shared" si="225"/>
        <v>-14047155</v>
      </c>
      <c r="T142" s="94">
        <f>SUMIFS('Federal Data'!S2:S501,'Federal Data'!$F2:$F501,"Employee Contributions for Retirement and Disability",'Federal Data'!$D2:$D501,"Nongrant")</f>
        <v>0</v>
      </c>
      <c r="U142" s="101">
        <f>'State and Local P&amp;L (detailed)'!$I$82</f>
        <v>-15758488</v>
      </c>
      <c r="V142" s="101">
        <f t="shared" si="226"/>
        <v>-15758488</v>
      </c>
      <c r="W142" s="94">
        <f>SUMIFS('Federal Data'!T2:T501,'Federal Data'!$F2:$F501,"Employee Contributions for Retirement and Disability",'Federal Data'!$D2:$D501,"Nongrant")</f>
        <v>0</v>
      </c>
      <c r="X142" s="101">
        <f>'State and Local P&amp;L (detailed)'!$J$82</f>
        <v>-17725324</v>
      </c>
      <c r="Y142" s="101">
        <f t="shared" si="227"/>
        <v>-17725324</v>
      </c>
      <c r="Z142" s="94">
        <f>SUMIFS('Federal Data'!U2:U501,'Federal Data'!$F2:$F501,"Employee Contributions for Retirement and Disability",'Federal Data'!$D2:$D501,"Nongrant")</f>
        <v>0</v>
      </c>
      <c r="AA142" s="101">
        <f>'State and Local P&amp;L (detailed)'!$K$82</f>
        <v>-19420311</v>
      </c>
      <c r="AB142" s="101">
        <f t="shared" si="228"/>
        <v>-19420311</v>
      </c>
      <c r="AC142" s="94">
        <f>SUMIFS('Federal Data'!V2:V501,'Federal Data'!$F2:$F501,"Employee Contributions for Retirement and Disability",'Federal Data'!$D2:$D501,"Nongrant")</f>
        <v>0</v>
      </c>
      <c r="AD142" s="101">
        <f>'State and Local P&amp;L (detailed)'!$L$82</f>
        <v>-21251402</v>
      </c>
      <c r="AE142" s="101">
        <f t="shared" si="229"/>
        <v>-21251402</v>
      </c>
      <c r="AF142" s="94">
        <f>SUMIFS('Federal Data'!W2:W501,'Federal Data'!$F2:$F501,"Employee Contributions for Retirement and Disability",'Federal Data'!$D2:$D501,"Nongrant")</f>
        <v>0</v>
      </c>
      <c r="AG142" s="101">
        <f>'State and Local P&amp;L (detailed)'!$M$82</f>
        <v>-22848992</v>
      </c>
      <c r="AH142" s="101">
        <f t="shared" si="230"/>
        <v>-22848992</v>
      </c>
      <c r="AI142" s="94">
        <f>SUMIFS('Federal Data'!X2:X501,'Federal Data'!$F2:$F501,"Employee Contributions for Retirement and Disability",'Federal Data'!$D2:$D501,"Nongrant")</f>
        <v>0</v>
      </c>
      <c r="AJ142" s="101">
        <f>'State and Local P&amp;L (detailed)'!$N$82</f>
        <v>-26481732</v>
      </c>
      <c r="AK142" s="101">
        <f t="shared" si="231"/>
        <v>-26481732</v>
      </c>
      <c r="AL142" s="94">
        <f>SUMIFS('Federal Data'!Y2:Y501,'Federal Data'!$F2:$F501,"Employee Contributions for Retirement and Disability",'Federal Data'!$D2:$D501,"Nongrant")</f>
        <v>0</v>
      </c>
      <c r="AM142" s="101">
        <f>'State and Local P&amp;L (detailed)'!$O$82</f>
        <v>-27760841</v>
      </c>
      <c r="AN142" s="101">
        <f t="shared" si="232"/>
        <v>-27760841</v>
      </c>
      <c r="AO142" s="94">
        <f>SUMIFS('Federal Data'!Z2:Z501,'Federal Data'!$F2:$F501,"Employee Contributions for Retirement and Disability",'Federal Data'!$D2:$D501,"Nongrant")</f>
        <v>0</v>
      </c>
      <c r="AP142" s="101">
        <f>'State and Local P&amp;L (detailed)'!$P$82</f>
        <v>-29326048</v>
      </c>
      <c r="AQ142" s="101">
        <f t="shared" si="233"/>
        <v>-29326048</v>
      </c>
      <c r="AR142" s="94">
        <f>SUMIFS('Federal Data'!AA2:AA501,'Federal Data'!$F2:$F501,"Employee Contributions for Retirement and Disability",'Federal Data'!$D2:$D501,"Nongrant")</f>
        <v>0</v>
      </c>
      <c r="AS142" s="101">
        <f>'State and Local P&amp;L (detailed)'!$Q$82</f>
        <v>-30964392</v>
      </c>
      <c r="AT142" s="101">
        <f t="shared" si="234"/>
        <v>-30964392</v>
      </c>
      <c r="AU142" s="94">
        <f>SUMIFS('Federal Data'!AB2:AB501,'Federal Data'!$F2:$F501,"Employee Contributions for Retirement and Disability",'Federal Data'!$D2:$D501,"Nongrant")</f>
        <v>0</v>
      </c>
      <c r="AV142" s="101">
        <f>'State and Local P&amp;L (detailed)'!$R$82</f>
        <v>-31723411</v>
      </c>
      <c r="AW142" s="101">
        <f t="shared" si="235"/>
        <v>-31723411</v>
      </c>
      <c r="AX142" s="94">
        <f>SUMIFS('Federal Data'!AC2:AC501,'Federal Data'!$F2:$F501,"Employee Contributions for Retirement and Disability",'Federal Data'!$D2:$D501,"Nongrant")</f>
        <v>0</v>
      </c>
      <c r="AY142" s="101">
        <f>'State and Local P&amp;L (detailed)'!$S$82</f>
        <v>-32123809</v>
      </c>
      <c r="AZ142" s="101">
        <f t="shared" si="236"/>
        <v>-32123809</v>
      </c>
      <c r="BA142" s="94">
        <f>SUMIFS('Federal Data'!AD2:AD501,'Federal Data'!$F2:$F501,"Employee Contributions for Retirement and Disability",'Federal Data'!$D2:$D501,"Nongrant")</f>
        <v>0</v>
      </c>
      <c r="BB142" s="101">
        <f>'State and Local P&amp;L (detailed)'!$T$82</f>
        <v>-31795676</v>
      </c>
      <c r="BC142" s="101">
        <f t="shared" si="237"/>
        <v>-31795676</v>
      </c>
      <c r="BD142" s="94">
        <f>SUMIFS('Federal Data'!AE2:AE501,'Federal Data'!$F2:$F501,"Employee Contributions for Retirement and Disability",'Federal Data'!$D2:$D501,"Nongrant")</f>
        <v>0</v>
      </c>
      <c r="BE142" s="101">
        <f>'State and Local P&amp;L (detailed)'!$U$82</f>
        <v>-31493901</v>
      </c>
      <c r="BF142" s="101">
        <f t="shared" si="238"/>
        <v>-31493901</v>
      </c>
      <c r="BG142" s="94">
        <f>SUMIFS('Federal Data'!AF2:AF501,'Federal Data'!$F2:$F501,"Employee Contributions for Retirement and Disability",'Federal Data'!$D2:$D501,"Nongrant")</f>
        <v>0</v>
      </c>
      <c r="BH142" s="101">
        <f>'State and Local P&amp;L (detailed)'!$V$82</f>
        <v>-33299480</v>
      </c>
      <c r="BI142" s="101">
        <f t="shared" si="239"/>
        <v>-33299480</v>
      </c>
      <c r="BJ142" s="94">
        <f>SUMIFS('Federal Data'!AG2:AG501,'Federal Data'!$F2:$F501,"Employee Contributions for Retirement and Disability",'Federal Data'!$D2:$D501,"Nongrant")</f>
        <v>0</v>
      </c>
      <c r="BK142" s="101">
        <f>'State and Local P&amp;L (detailed)'!$W$82</f>
        <v>-33887563</v>
      </c>
      <c r="BL142" s="101">
        <f t="shared" si="240"/>
        <v>-33887563</v>
      </c>
      <c r="BM142" s="94">
        <f>SUMIFS('Federal Data'!AH2:AH501,'Federal Data'!$F2:$F501,"Employee Contributions for Retirement and Disability",'Federal Data'!$D2:$D501,"Nongrant")</f>
        <v>0</v>
      </c>
      <c r="BN142" s="101">
        <f>'State and Local P&amp;L (detailed)'!$X$82</f>
        <v>-38771656</v>
      </c>
      <c r="BO142" s="101">
        <f t="shared" si="241"/>
        <v>-38771656</v>
      </c>
      <c r="BP142" s="94">
        <f>SUMIFS('Federal Data'!AI2:AI501,'Federal Data'!$F2:$F501,"Employee Contributions for Retirement and Disability",'Federal Data'!$D2:$D501,"Nongrant")</f>
        <v>0</v>
      </c>
      <c r="BQ142" s="101">
        <f>'State and Local P&amp;L (detailed)'!$Y$82</f>
        <v>-41734573</v>
      </c>
      <c r="BR142" s="101">
        <f t="shared" si="242"/>
        <v>-41734573</v>
      </c>
      <c r="BS142" s="94">
        <f>SUMIFS('Federal Data'!AJ2:AJ501,'Federal Data'!$F2:$F501,"Employee Contributions for Retirement and Disability",'Federal Data'!$D2:$D501,"Nongrant")</f>
        <v>0</v>
      </c>
      <c r="BT142" s="101">
        <f>'State and Local P&amp;L (detailed)'!$Z$82</f>
        <v>-45536446</v>
      </c>
      <c r="BU142" s="101">
        <f t="shared" si="243"/>
        <v>-45536446</v>
      </c>
      <c r="BV142" s="94">
        <f>SUMIFS('Federal Data'!AK2:AK501,'Federal Data'!$F2:$F501,"Employee Contributions for Retirement and Disability",'Federal Data'!$D2:$D501,"Nongrant")</f>
        <v>0</v>
      </c>
      <c r="BW142" s="101">
        <f>'State and Local P&amp;L (detailed)'!$AA$82</f>
        <v>-54665833</v>
      </c>
      <c r="BX142" s="101">
        <f t="shared" si="244"/>
        <v>-54665833</v>
      </c>
      <c r="BY142" s="94">
        <f>SUMIFS('Federal Data'!AL2:AL501,'Federal Data'!$F2:$F501,"Employee Contributions for Retirement and Disability",'Federal Data'!$D2:$D501,"Nongrant")</f>
        <v>0</v>
      </c>
      <c r="BZ142" s="101">
        <f>'State and Local P&amp;L (detailed)'!$AB$82</f>
        <v>-57439174</v>
      </c>
      <c r="CA142" s="101">
        <f t="shared" si="245"/>
        <v>-57439174</v>
      </c>
      <c r="CB142" s="94">
        <f>SUMIFS('Federal Data'!AM2:AM501,'Federal Data'!$F2:$F501,"Employee Contributions for Retirement and Disability",'Federal Data'!$D2:$D501,"Nongrant")</f>
        <v>0</v>
      </c>
      <c r="CC142" s="101">
        <f>'State and Local P&amp;L (detailed)'!$AC$82</f>
        <v>-57688305</v>
      </c>
      <c r="CD142" s="101">
        <f t="shared" si="246"/>
        <v>-57688305</v>
      </c>
      <c r="CE142" s="94">
        <f>SUMIFS('Federal Data'!AN2:AN501,'Federal Data'!$F2:$F501,"Employee Contributions for Retirement and Disability",'Federal Data'!$D2:$D501,"Nongrant")</f>
        <v>0</v>
      </c>
      <c r="CF142" s="101">
        <f>'State and Local P&amp;L (detailed)'!$AD$82</f>
        <v>-58153090</v>
      </c>
      <c r="CG142" s="101">
        <f t="shared" si="247"/>
        <v>-58153090</v>
      </c>
      <c r="CH142" s="94">
        <f>SUMIFS('Federal Data'!AO2:AO501,'Federal Data'!$F2:$F501,"Employee Contributions for Retirement and Disability",'Federal Data'!$D2:$D501,"Nongrant")</f>
        <v>0</v>
      </c>
      <c r="CI142" s="101">
        <f>'State and Local P&amp;L (detailed)'!$AE$82</f>
        <v>-56337574</v>
      </c>
      <c r="CJ142" s="101">
        <f t="shared" si="248"/>
        <v>-56337574</v>
      </c>
      <c r="CK142" s="94">
        <f>SUMIFS('Federal Data'!AP2:AP501,'Federal Data'!$F2:$F501,"Employee Contributions for Retirement and Disability",'Federal Data'!$D2:$D501,"Nongrant")</f>
        <v>0</v>
      </c>
      <c r="CL142" s="101">
        <f>'State and Local P&amp;L (detailed)'!$AF$82</f>
        <v>-59356093</v>
      </c>
      <c r="CM142" s="101">
        <f t="shared" si="249"/>
        <v>-59356093</v>
      </c>
      <c r="CN142" s="94">
        <f>SUMIFS('Federal Data'!AQ2:AQ501,'Federal Data'!$F2:$F501,"Employee Contributions for Retirement and Disability",'Federal Data'!$D2:$D501,"Nongrant")</f>
        <v>0</v>
      </c>
      <c r="CO142" s="101">
        <f>'State and Local P&amp;L (detailed)'!$AG$82</f>
        <v>-57799064</v>
      </c>
      <c r="CP142" s="101">
        <f t="shared" si="250"/>
        <v>-57799064</v>
      </c>
      <c r="CQ142" s="94">
        <f>SUMIFS('Federal Data'!AR2:AR501,'Federal Data'!$F2:$F501,"Employee Contributions for Retirement and Disability",'Federal Data'!$D2:$D501,"Nongrant")</f>
        <v>0</v>
      </c>
      <c r="CR142" s="101">
        <f>'State and Local P&amp;L (detailed)'!$AH$82</f>
        <v>-58372058</v>
      </c>
      <c r="CS142" s="101">
        <f t="shared" si="251"/>
        <v>-58372058</v>
      </c>
      <c r="CT142" s="94">
        <f>SUMIFS('Federal Data'!AS2:AS501,'Federal Data'!$F2:$F501,"Employee Contributions for Retirement and Disability",'Federal Data'!$D2:$D501,"Nongrant")</f>
        <v>0</v>
      </c>
      <c r="CU142" s="101">
        <f>'State and Local P&amp;L (detailed)'!$AI$82</f>
        <v>-61699123</v>
      </c>
      <c r="CV142" s="101">
        <f t="shared" si="252"/>
        <v>-61699123</v>
      </c>
      <c r="CW142" s="94">
        <f>SUMIFS('Federal Data'!AT2:AT501,'Federal Data'!$F2:$F501,"Employee Contributions for Retirement and Disability",'Federal Data'!$D2:$D501,"Nongrant")</f>
        <v>0</v>
      </c>
      <c r="CX142" s="101">
        <f>'State and Local P&amp;L (detailed)'!$AJ$82</f>
        <v>-62272034</v>
      </c>
      <c r="CY142" s="101">
        <f t="shared" si="253"/>
        <v>-62272034</v>
      </c>
      <c r="CZ142" s="94">
        <f>SUMIFS('Federal Data'!AU2:AU501,'Federal Data'!$F2:$F501,"Employee Contributions for Retirement and Disability",'Federal Data'!$D2:$D501,"Nongrant")</f>
        <v>0</v>
      </c>
      <c r="DA142" s="101">
        <f>'State and Local P&amp;L (detailed)'!$AK$82</f>
        <v>-64260027</v>
      </c>
      <c r="DB142" s="101">
        <f t="shared" si="254"/>
        <v>-64260027</v>
      </c>
      <c r="DC142" s="37">
        <f>SUMIFS('Federal Data'!AV2:AV501,'Federal Data'!$F2:$F501,"Employee Contributions for Retirement and Disability",'Federal Data'!$D2:$D501,"Nongrant")</f>
        <v>0</v>
      </c>
      <c r="DD142" s="85">
        <f>'State and Local P&amp;L (detailed)'!$AL$82</f>
        <v>0</v>
      </c>
      <c r="DE142" s="85">
        <f t="shared" si="255"/>
        <v>0</v>
      </c>
    </row>
    <row r="143" spans="1:109" outlineLevel="2">
      <c r="A143" s="31" t="s">
        <v>313</v>
      </c>
      <c r="B143" s="94">
        <f>SUMIFS('Federal Data'!M2:M501,'Federal Data'!$F2:$F501,"Contributions to Government Retirement and Disability Fund",'Federal Data'!$D2:$D501,"Nongrant")</f>
        <v>-14388585</v>
      </c>
      <c r="C143" s="101" t="s">
        <v>487</v>
      </c>
      <c r="D143" s="101">
        <f t="shared" si="220"/>
        <v>-14388585</v>
      </c>
      <c r="E143" s="94">
        <f>SUMIFS('Federal Data'!N2:N501,'Federal Data'!$F2:$F501,"Contributions to Government Retirement and Disability Fund",'Federal Data'!$D2:$D501,"Nongrant")</f>
        <v>-16141176</v>
      </c>
      <c r="F143" s="101" t="s">
        <v>487</v>
      </c>
      <c r="G143" s="101">
        <f t="shared" si="221"/>
        <v>-16141176</v>
      </c>
      <c r="H143" s="94">
        <f>SUMIFS('Federal Data'!O2:O501,'Federal Data'!$F2:$F501,"Contributions to Government Retirement and Disability Fund",'Federal Data'!$D2:$D501,"Nongrant")</f>
        <v>-17806303</v>
      </c>
      <c r="I143" s="101" t="s">
        <v>487</v>
      </c>
      <c r="J143" s="101">
        <f t="shared" si="222"/>
        <v>-17806303</v>
      </c>
      <c r="K143" s="94">
        <f>SUMIFS('Federal Data'!P2:P501,'Federal Data'!$F2:$F501,"Contributions to Government Retirement and Disability Fund",'Federal Data'!$D2:$D501,"Nongrant")</f>
        <v>-20652280</v>
      </c>
      <c r="L143" s="101" t="s">
        <v>487</v>
      </c>
      <c r="M143" s="101">
        <f t="shared" si="223"/>
        <v>-20652280</v>
      </c>
      <c r="N143" s="94">
        <f>SUMIFS('Federal Data'!Q2:Q501,'Federal Data'!$F2:$F501,"Contributions to Government Retirement and Disability Fund",'Federal Data'!$D2:$D501,"Nongrant")</f>
        <v>-21913457</v>
      </c>
      <c r="O143" s="101" t="s">
        <v>487</v>
      </c>
      <c r="P143" s="101">
        <f t="shared" si="224"/>
        <v>-21913457</v>
      </c>
      <c r="Q143" s="94">
        <f>SUMIFS('Federal Data'!R2:R501,'Federal Data'!$F2:$F501,"Contributions to Government Retirement and Disability Fund",'Federal Data'!$D2:$D501,"Nongrant")</f>
        <v>-23198583</v>
      </c>
      <c r="R143" s="101" t="s">
        <v>487</v>
      </c>
      <c r="S143" s="101">
        <f t="shared" si="225"/>
        <v>-23198583</v>
      </c>
      <c r="T143" s="94">
        <f>SUMIFS('Federal Data'!S2:S501,'Federal Data'!$F2:$F501,"Contributions to Government Retirement and Disability Fund",'Federal Data'!$D2:$D501,"Nongrant")</f>
        <v>-23830209</v>
      </c>
      <c r="U143" s="101" t="s">
        <v>487</v>
      </c>
      <c r="V143" s="101">
        <f t="shared" si="226"/>
        <v>-23830209</v>
      </c>
      <c r="W143" s="94">
        <f>SUMIFS('Federal Data'!T2:T501,'Federal Data'!$F2:$F501,"Contributions to Government Retirement and Disability Fund",'Federal Data'!$D2:$D501,"Nongrant")</f>
        <v>-25559200</v>
      </c>
      <c r="X143" s="101" t="s">
        <v>487</v>
      </c>
      <c r="Y143" s="101">
        <f t="shared" si="227"/>
        <v>-25559200</v>
      </c>
      <c r="Z143" s="94">
        <f>SUMIFS('Federal Data'!U2:U501,'Federal Data'!$F2:$F501,"Contributions to Government Retirement and Disability Fund",'Federal Data'!$D2:$D501,"Nongrant")</f>
        <v>-27543842</v>
      </c>
      <c r="AA143" s="101" t="s">
        <v>487</v>
      </c>
      <c r="AB143" s="101">
        <f t="shared" si="228"/>
        <v>-27543842</v>
      </c>
      <c r="AC143" s="94">
        <f>SUMIFS('Federal Data'!V2:V501,'Federal Data'!$F2:$F501,"Contributions to Government Retirement and Disability Fund",'Federal Data'!$D2:$D501,"Nongrant")</f>
        <v>-27838466</v>
      </c>
      <c r="AD143" s="101" t="s">
        <v>487</v>
      </c>
      <c r="AE143" s="101">
        <f t="shared" si="229"/>
        <v>-27838466</v>
      </c>
      <c r="AF143" s="94">
        <f>SUMIFS('Federal Data'!W2:W501,'Federal Data'!$F2:$F501,"Contributions to Government Retirement and Disability Fund",'Federal Data'!$D2:$D501,"Nongrant")</f>
        <v>-26498406</v>
      </c>
      <c r="AG143" s="101" t="s">
        <v>487</v>
      </c>
      <c r="AH143" s="101">
        <f t="shared" si="230"/>
        <v>-26498406</v>
      </c>
      <c r="AI143" s="94">
        <f>SUMIFS('Federal Data'!X2:X501,'Federal Data'!$F2:$F501,"Contributions to Government Retirement and Disability Fund",'Federal Data'!$D2:$D501,"Nongrant")</f>
        <v>-28679189</v>
      </c>
      <c r="AJ143" s="101" t="s">
        <v>487</v>
      </c>
      <c r="AK143" s="101">
        <f t="shared" si="231"/>
        <v>-28679189</v>
      </c>
      <c r="AL143" s="94">
        <f>SUMIFS('Federal Data'!Y2:Y501,'Federal Data'!$F2:$F501,"Contributions to Government Retirement and Disability Fund",'Federal Data'!$D2:$D501,"Nongrant")</f>
        <v>-28804719</v>
      </c>
      <c r="AM143" s="101" t="s">
        <v>487</v>
      </c>
      <c r="AN143" s="101">
        <f t="shared" si="232"/>
        <v>-28804719</v>
      </c>
      <c r="AO143" s="94">
        <f>SUMIFS('Federal Data'!Z2:Z501,'Federal Data'!$F2:$F501,"Contributions to Government Retirement and Disability Fund",'Federal Data'!$D2:$D501,"Nongrant")</f>
        <v>-26231465</v>
      </c>
      <c r="AP143" s="101" t="s">
        <v>487</v>
      </c>
      <c r="AQ143" s="101">
        <f t="shared" si="233"/>
        <v>-26231465</v>
      </c>
      <c r="AR143" s="94">
        <f>SUMIFS('Federal Data'!AA2:AA501,'Federal Data'!$F2:$F501,"Contributions to Government Retirement and Disability Fund",'Federal Data'!$D2:$D501,"Nongrant")</f>
        <v>-26337981</v>
      </c>
      <c r="AS143" s="101" t="s">
        <v>487</v>
      </c>
      <c r="AT143" s="101">
        <f t="shared" si="234"/>
        <v>-26337981</v>
      </c>
      <c r="AU143" s="94">
        <f>SUMIFS('Federal Data'!AB2:AB501,'Federal Data'!$F2:$F501,"Contributions to Government Retirement and Disability Fund",'Federal Data'!$D2:$D501,"Nongrant")</f>
        <v>-25865000</v>
      </c>
      <c r="AV143" s="101" t="s">
        <v>487</v>
      </c>
      <c r="AW143" s="101">
        <f t="shared" si="235"/>
        <v>-25865000</v>
      </c>
      <c r="AX143" s="94">
        <f>SUMIFS('Federal Data'!AC2:AC501,'Federal Data'!$F2:$F501,"Contributions to Government Retirement and Disability Fund",'Federal Data'!$D2:$D501,"Nongrant")</f>
        <v>-25260000</v>
      </c>
      <c r="AY143" s="101" t="s">
        <v>487</v>
      </c>
      <c r="AZ143" s="101">
        <f t="shared" si="236"/>
        <v>-25260000</v>
      </c>
      <c r="BA143" s="94">
        <f>SUMIFS('Federal Data'!AD2:AD501,'Federal Data'!$F2:$F501,"Contributions to Government Retirement and Disability Fund",'Federal Data'!$D2:$D501,"Nongrant")</f>
        <v>-25678000</v>
      </c>
      <c r="BB143" s="101" t="s">
        <v>487</v>
      </c>
      <c r="BC143" s="101">
        <f t="shared" si="237"/>
        <v>-25678000</v>
      </c>
      <c r="BD143" s="94">
        <f>SUMIFS('Federal Data'!AE2:AE501,'Federal Data'!$F2:$F501,"Contributions to Government Retirement and Disability Fund",'Federal Data'!$D2:$D501,"Nongrant")</f>
        <v>-25670000</v>
      </c>
      <c r="BE143" s="101" t="s">
        <v>487</v>
      </c>
      <c r="BF143" s="101">
        <f t="shared" si="238"/>
        <v>-25670000</v>
      </c>
      <c r="BG143" s="94">
        <f>SUMIFS('Federal Data'!AF2:AF501,'Federal Data'!$F2:$F501,"Contributions to Government Retirement and Disability Fund",'Federal Data'!$D2:$D501,"Nongrant")</f>
        <v>-25968000</v>
      </c>
      <c r="BH143" s="101" t="s">
        <v>487</v>
      </c>
      <c r="BI143" s="101">
        <f t="shared" si="239"/>
        <v>-25968000</v>
      </c>
      <c r="BJ143" s="94">
        <f>SUMIFS('Federal Data'!AG2:AG501,'Federal Data'!$F2:$F501,"Contributions to Government Retirement and Disability Fund",'Federal Data'!$D2:$D501,"Nongrant")</f>
        <v>-27595000</v>
      </c>
      <c r="BK143" s="101" t="s">
        <v>487</v>
      </c>
      <c r="BL143" s="101">
        <f t="shared" si="240"/>
        <v>-27595000</v>
      </c>
      <c r="BM143" s="94">
        <f>SUMIFS('Federal Data'!AH2:AH501,'Federal Data'!$F2:$F501,"Contributions to Government Retirement and Disability Fund",'Federal Data'!$D2:$D501,"Nongrant")</f>
        <v>-28190000</v>
      </c>
      <c r="BN143" s="101" t="s">
        <v>487</v>
      </c>
      <c r="BO143" s="101">
        <f t="shared" si="241"/>
        <v>-28190000</v>
      </c>
      <c r="BP143" s="94">
        <f>SUMIFS('Federal Data'!AI2:AI501,'Federal Data'!$F2:$F501,"Contributions to Government Retirement and Disability Fund",'Federal Data'!$D2:$D501,"Nongrant")</f>
        <v>-30576000</v>
      </c>
      <c r="BQ143" s="101" t="s">
        <v>487</v>
      </c>
      <c r="BR143" s="101">
        <f t="shared" si="242"/>
        <v>-30576000</v>
      </c>
      <c r="BS143" s="94">
        <f>SUMIFS('Federal Data'!AJ2:AJ501,'Federal Data'!$F2:$F501,"Contributions to Government Retirement and Disability Fund",'Federal Data'!$D2:$D501,"Nongrant")</f>
        <v>-36702000</v>
      </c>
      <c r="BT143" s="101" t="s">
        <v>487</v>
      </c>
      <c r="BU143" s="101">
        <f t="shared" si="243"/>
        <v>-36702000</v>
      </c>
      <c r="BV143" s="94">
        <f>SUMIFS('Federal Data'!AK2:AK501,'Federal Data'!$F2:$F501,"Contributions to Government Retirement and Disability Fund",'Federal Data'!$D2:$D501,"Nongrant")</f>
        <v>-39580000</v>
      </c>
      <c r="BW143" s="101" t="s">
        <v>487</v>
      </c>
      <c r="BX143" s="101">
        <f t="shared" si="244"/>
        <v>-39580000</v>
      </c>
      <c r="BY143" s="94">
        <f>SUMIFS('Federal Data'!AL2:AL501,'Federal Data'!$F2:$F501,"Contributions to Government Retirement and Disability Fund",'Federal Data'!$D2:$D501,"Nongrant")</f>
        <v>-44675000</v>
      </c>
      <c r="BZ143" s="101" t="s">
        <v>487</v>
      </c>
      <c r="CA143" s="101">
        <f t="shared" si="245"/>
        <v>-44675000</v>
      </c>
      <c r="CB143" s="94">
        <f>SUMIFS('Federal Data'!AM2:AM501,'Federal Data'!$F2:$F501,"Contributions to Government Retirement and Disability Fund",'Federal Data'!$D2:$D501,"Nongrant")</f>
        <v>-45827000</v>
      </c>
      <c r="CC143" s="101" t="s">
        <v>487</v>
      </c>
      <c r="CD143" s="101">
        <f t="shared" si="246"/>
        <v>-45827000</v>
      </c>
      <c r="CE143" s="94">
        <f>SUMIFS('Federal Data'!AN2:AN501,'Federal Data'!$F2:$F501,"Contributions to Government Retirement and Disability Fund",'Federal Data'!$D2:$D501,"Nongrant")</f>
        <v>-54296000</v>
      </c>
      <c r="CF143" s="101" t="s">
        <v>487</v>
      </c>
      <c r="CG143" s="101">
        <f t="shared" si="247"/>
        <v>-54296000</v>
      </c>
      <c r="CH143" s="94">
        <f>SUMIFS('Federal Data'!AO2:AO501,'Federal Data'!$F2:$F501,"Contributions to Government Retirement and Disability Fund",'Federal Data'!$D2:$D501,"Nongrant")</f>
        <v>-54931000</v>
      </c>
      <c r="CI143" s="101" t="s">
        <v>487</v>
      </c>
      <c r="CJ143" s="101">
        <f t="shared" si="248"/>
        <v>-54931000</v>
      </c>
      <c r="CK143" s="94">
        <f>SUMIFS('Federal Data'!AP2:AP501,'Federal Data'!$F2:$F501,"Contributions to Government Retirement and Disability Fund",'Federal Data'!$D2:$D501,"Nongrant")</f>
        <v>-53896000</v>
      </c>
      <c r="CL143" s="101" t="s">
        <v>487</v>
      </c>
      <c r="CM143" s="101">
        <f t="shared" si="249"/>
        <v>-53896000</v>
      </c>
      <c r="CN143" s="94">
        <f>SUMIFS('Federal Data'!AQ2:AQ501,'Federal Data'!$F2:$F501,"Contributions to Government Retirement and Disability Fund",'Federal Data'!$D2:$D501,"Nongrant")</f>
        <v>-63558000</v>
      </c>
      <c r="CO143" s="101" t="s">
        <v>487</v>
      </c>
      <c r="CP143" s="101">
        <f t="shared" si="250"/>
        <v>-63558000</v>
      </c>
      <c r="CQ143" s="94">
        <f>SUMIFS('Federal Data'!AR2:AR501,'Federal Data'!$F2:$F501,"Contributions to Government Retirement and Disability Fund",'Federal Data'!$D2:$D501,"Nongrant")</f>
        <v>-60556000</v>
      </c>
      <c r="CR143" s="101" t="s">
        <v>487</v>
      </c>
      <c r="CS143" s="101">
        <f t="shared" si="251"/>
        <v>-60556000</v>
      </c>
      <c r="CT143" s="94">
        <f>SUMIFS('Federal Data'!AS2:AS501,'Federal Data'!$F2:$F501,"Contributions to Government Retirement and Disability Fund",'Federal Data'!$D2:$D501,"Nongrant")</f>
        <v>-64254000</v>
      </c>
      <c r="CU143" s="101" t="s">
        <v>487</v>
      </c>
      <c r="CV143" s="101">
        <f t="shared" si="252"/>
        <v>-64254000</v>
      </c>
      <c r="CW143" s="94">
        <f>SUMIFS('Federal Data'!AT2:AT501,'Federal Data'!$F2:$F501,"Contributions to Government Retirement and Disability Fund",'Federal Data'!$D2:$D501,"Nongrant")</f>
        <v>-60977000</v>
      </c>
      <c r="CX143" s="101" t="s">
        <v>487</v>
      </c>
      <c r="CY143" s="101">
        <f t="shared" si="253"/>
        <v>-60977000</v>
      </c>
      <c r="CZ143" s="94">
        <f>SUMIFS('Federal Data'!AU2:AU501,'Federal Data'!$F2:$F501,"Contributions to Government Retirement and Disability Fund",'Federal Data'!$D2:$D501,"Nongrant")</f>
        <v>-59560000</v>
      </c>
      <c r="DA143" s="101" t="s">
        <v>487</v>
      </c>
      <c r="DB143" s="101">
        <f t="shared" si="254"/>
        <v>-59560000</v>
      </c>
      <c r="DC143" s="37">
        <f>SUMIFS('Federal Data'!AV2:AV501,'Federal Data'!$F2:$F501,"Contributions to Government Retirement and Disability Fund",'Federal Data'!$D2:$D501,"Nongrant")</f>
        <v>-61039000</v>
      </c>
      <c r="DD143" s="85" t="s">
        <v>487</v>
      </c>
      <c r="DE143" s="85">
        <f t="shared" si="255"/>
        <v>-61039000</v>
      </c>
    </row>
    <row r="144" spans="1:109" outlineLevel="2">
      <c r="A144" s="31" t="s">
        <v>310</v>
      </c>
      <c r="B144" s="94">
        <f>SUMIFS('Federal Data'!M2:M501,'Federal Data'!$F2:$F501,"Net Interest on Debt",'Federal Data'!$D2:$D501,"Nongrant")</f>
        <v>52533141</v>
      </c>
      <c r="C144" s="101">
        <f>'State and Local P&amp;L (detailed)'!$C$83</f>
        <v>15326394</v>
      </c>
      <c r="D144" s="101">
        <f t="shared" si="220"/>
        <v>67859535</v>
      </c>
      <c r="E144" s="94">
        <f>SUMIFS('Federal Data'!N2:N501,'Federal Data'!$F2:$F501,"Net Interest on Debt",'Federal Data'!$D2:$D501,"Nongrant")</f>
        <v>68766127</v>
      </c>
      <c r="F144" s="101">
        <f>'State and Local P&amp;L (detailed)'!$D$83</f>
        <v>17184256</v>
      </c>
      <c r="G144" s="101">
        <f t="shared" si="221"/>
        <v>85950383</v>
      </c>
      <c r="H144" s="94">
        <f>SUMIFS('Federal Data'!O2:O501,'Federal Data'!$F2:$F501,"Net Interest on Debt",'Federal Data'!$D2:$D501,"Nongrant")</f>
        <v>85031703</v>
      </c>
      <c r="I144" s="101">
        <f>'State and Local P&amp;L (detailed)'!$E$83</f>
        <v>18736302</v>
      </c>
      <c r="J144" s="101">
        <f t="shared" si="222"/>
        <v>103768005</v>
      </c>
      <c r="K144" s="94">
        <f>SUMIFS('Federal Data'!P2:P501,'Federal Data'!$F2:$F501,"Net Interest on Debt",'Federal Data'!$D2:$D501,"Nongrant")</f>
        <v>89807817</v>
      </c>
      <c r="L144" s="101">
        <f>'State and Local P&amp;L (detailed)'!$F$83</f>
        <v>27212145</v>
      </c>
      <c r="M144" s="101">
        <f t="shared" si="223"/>
        <v>117019962</v>
      </c>
      <c r="N144" s="94">
        <f>SUMIFS('Federal Data'!Q2:Q501,'Federal Data'!$F2:$F501,"Net Interest on Debt",'Federal Data'!$D2:$D501,"Nongrant")</f>
        <v>111101687</v>
      </c>
      <c r="O144" s="101">
        <f>'State and Local P&amp;L (detailed)'!$G$83</f>
        <v>35678979</v>
      </c>
      <c r="P144" s="101">
        <f t="shared" si="224"/>
        <v>146780666</v>
      </c>
      <c r="Q144" s="94">
        <f>SUMIFS('Federal Data'!R2:R501,'Federal Data'!$F2:$F501,"Net Interest on Debt",'Federal Data'!$D2:$D501,"Nongrant")</f>
        <v>129477699</v>
      </c>
      <c r="R144" s="101">
        <f>'State and Local P&amp;L (detailed)'!$H$83</f>
        <v>37940402</v>
      </c>
      <c r="S144" s="101">
        <f t="shared" si="225"/>
        <v>167418101</v>
      </c>
      <c r="T144" s="94">
        <f>SUMIFS('Federal Data'!S2:S501,'Federal Data'!$F2:$F501,"Net Interest on Debt",'Federal Data'!$D2:$D501,"Nongrant")</f>
        <v>136016873</v>
      </c>
      <c r="U144" s="101">
        <f>'State and Local P&amp;L (detailed)'!$I$83</f>
        <v>45532071</v>
      </c>
      <c r="V144" s="101">
        <f t="shared" si="226"/>
        <v>181548944</v>
      </c>
      <c r="W144" s="94">
        <f>SUMIFS('Federal Data'!T2:T501,'Federal Data'!$F2:$F501,"Net Interest on Debt",'Federal Data'!$D2:$D501,"Nongrant")</f>
        <v>138611326</v>
      </c>
      <c r="X144" s="101">
        <f>'State and Local P&amp;L (detailed)'!$J$83</f>
        <v>55140221</v>
      </c>
      <c r="Y144" s="101">
        <f t="shared" si="227"/>
        <v>193751547</v>
      </c>
      <c r="Z144" s="94">
        <f>SUMIFS('Federal Data'!U2:U501,'Federal Data'!$F2:$F501,"Net Interest on Debt",'Federal Data'!$D2:$D501,"Nongrant")</f>
        <v>151802967</v>
      </c>
      <c r="AA144" s="101">
        <f>'State and Local P&amp;L (detailed)'!$K$83</f>
        <v>49813940</v>
      </c>
      <c r="AB144" s="101">
        <f t="shared" si="228"/>
        <v>201616907</v>
      </c>
      <c r="AC144" s="94">
        <f>SUMIFS('Federal Data'!V2:V501,'Federal Data'!$F2:$F501,"Net Interest on Debt",'Federal Data'!$D2:$D501,"Nongrant")</f>
        <v>168981139</v>
      </c>
      <c r="AD144" s="101">
        <f>'State and Local P&amp;L (detailed)'!$L$83</f>
        <v>49017478</v>
      </c>
      <c r="AE144" s="101">
        <f t="shared" si="229"/>
        <v>217998617</v>
      </c>
      <c r="AF144" s="94">
        <f>SUMIFS('Federal Data'!W2:W501,'Federal Data'!$F2:$F501,"Net Interest on Debt",'Federal Data'!$D2:$D501,"Nongrant")</f>
        <v>184346828</v>
      </c>
      <c r="AG144" s="101">
        <f>'State and Local P&amp;L (detailed)'!$M$83</f>
        <v>49929473</v>
      </c>
      <c r="AH144" s="101">
        <f t="shared" si="230"/>
        <v>234276301</v>
      </c>
      <c r="AI144" s="94">
        <f>SUMIFS('Federal Data'!X2:X501,'Federal Data'!$F2:$F501,"Net Interest on Debt",'Federal Data'!$D2:$D501,"Nongrant")</f>
        <v>194448171</v>
      </c>
      <c r="AJ144" s="101">
        <f>'State and Local P&amp;L (detailed)'!$N$83</f>
        <v>55180758</v>
      </c>
      <c r="AK144" s="101">
        <f t="shared" si="231"/>
        <v>249628929</v>
      </c>
      <c r="AL144" s="94">
        <f>SUMIFS('Federal Data'!Y2:Y501,'Federal Data'!$F2:$F501,"Net Interest on Debt",'Federal Data'!$D2:$D501,"Nongrant")</f>
        <v>199344146</v>
      </c>
      <c r="AM144" s="101">
        <f>'State and Local P&amp;L (detailed)'!$O$83</f>
        <v>9421934</v>
      </c>
      <c r="AN144" s="101">
        <f t="shared" si="232"/>
        <v>208766080</v>
      </c>
      <c r="AO144" s="94">
        <f>SUMIFS('Federal Data'!Z2:Z501,'Federal Data'!$F2:$F501,"Net Interest on Debt",'Federal Data'!$D2:$D501,"Nongrant")</f>
        <v>198713203</v>
      </c>
      <c r="AP144" s="101">
        <f>'State and Local P&amp;L (detailed)'!$P$83</f>
        <v>13995973</v>
      </c>
      <c r="AQ144" s="101">
        <f t="shared" si="233"/>
        <v>212709176</v>
      </c>
      <c r="AR144" s="94">
        <f>SUMIFS('Federal Data'!AA2:AA501,'Federal Data'!$F2:$F501,"Net Interest on Debt",'Federal Data'!$D2:$D501,"Nongrant")</f>
        <v>202932241</v>
      </c>
      <c r="AS144" s="101">
        <f>'State and Local P&amp;L (detailed)'!$Q$83</f>
        <v>15807744</v>
      </c>
      <c r="AT144" s="101">
        <f t="shared" si="234"/>
        <v>218739985</v>
      </c>
      <c r="AU144" s="94">
        <f>SUMIFS('Federal Data'!AB2:AB501,'Federal Data'!$F2:$F501,"Net Interest on Debt",'Federal Data'!$D2:$D501,"Nongrant")</f>
        <v>232134000</v>
      </c>
      <c r="AV144" s="101">
        <f>'State and Local P&amp;L (detailed)'!$R$83</f>
        <v>12965729</v>
      </c>
      <c r="AW144" s="101">
        <f t="shared" si="235"/>
        <v>245099729</v>
      </c>
      <c r="AX144" s="94">
        <f>SUMIFS('Federal Data'!AC2:AC501,'Federal Data'!$F2:$F501,"Net Interest on Debt",'Federal Data'!$D2:$D501,"Nongrant")</f>
        <v>241053000</v>
      </c>
      <c r="AY144" s="101">
        <f>'State and Local P&amp;L (detailed)'!$S$83</f>
        <v>11151274</v>
      </c>
      <c r="AZ144" s="101">
        <f t="shared" si="236"/>
        <v>252204274</v>
      </c>
      <c r="BA144" s="94">
        <f>SUMIFS('Federal Data'!AD2:AD501,'Federal Data'!$F2:$F501,"Net Interest on Debt",'Federal Data'!$D2:$D501,"Nongrant")</f>
        <v>243984000</v>
      </c>
      <c r="BB144" s="101">
        <f>'State and Local P&amp;L (detailed)'!$T$83</f>
        <v>10484862</v>
      </c>
      <c r="BC144" s="101">
        <f t="shared" si="237"/>
        <v>254468862</v>
      </c>
      <c r="BD144" s="94">
        <f>SUMIFS('Federal Data'!AE2:AE501,'Federal Data'!$F2:$F501,"Net Interest on Debt",'Federal Data'!$D2:$D501,"Nongrant")</f>
        <v>241118000</v>
      </c>
      <c r="BE144" s="101">
        <f>'State and Local P&amp;L (detailed)'!$U$83</f>
        <v>9180634</v>
      </c>
      <c r="BF144" s="101">
        <f t="shared" si="238"/>
        <v>250298634</v>
      </c>
      <c r="BG144" s="94">
        <f>SUMIFS('Federal Data'!AF2:AF501,'Federal Data'!$F2:$F501,"Net Interest on Debt",'Federal Data'!$D2:$D501,"Nongrant")</f>
        <v>229755000</v>
      </c>
      <c r="BH144" s="101">
        <f>'State and Local P&amp;L (detailed)'!$V$83</f>
        <v>11569479</v>
      </c>
      <c r="BI144" s="101">
        <f t="shared" si="239"/>
        <v>241324479</v>
      </c>
      <c r="BJ144" s="94">
        <f>SUMIFS('Federal Data'!AG2:AG501,'Federal Data'!$F2:$F501,"Net Interest on Debt",'Federal Data'!$D2:$D501,"Nongrant")</f>
        <v>222949000</v>
      </c>
      <c r="BK144" s="101">
        <f>'State and Local P&amp;L (detailed)'!$W$83</f>
        <v>10009257</v>
      </c>
      <c r="BL144" s="101">
        <f t="shared" si="240"/>
        <v>232958257</v>
      </c>
      <c r="BM144" s="94">
        <f>SUMIFS('Federal Data'!AH2:AH501,'Federal Data'!$F2:$F501,"Net Interest on Debt",'Federal Data'!$D2:$D501,"Nongrant")</f>
        <v>206167000</v>
      </c>
      <c r="BN144" s="101">
        <f>'State and Local P&amp;L (detailed)'!$X$83</f>
        <v>4451768</v>
      </c>
      <c r="BO144" s="101">
        <f t="shared" si="241"/>
        <v>210618768</v>
      </c>
      <c r="BP144" s="94">
        <f>SUMIFS('Federal Data'!AI2:AI501,'Federal Data'!$F2:$F501,"Net Interest on Debt",'Federal Data'!$D2:$D501,"Nongrant")</f>
        <v>170949000</v>
      </c>
      <c r="BQ144" s="101">
        <f>'State and Local P&amp;L (detailed)'!$Y$83</f>
        <v>19772225</v>
      </c>
      <c r="BR144" s="101">
        <f t="shared" si="242"/>
        <v>190721225</v>
      </c>
      <c r="BS144" s="94">
        <f>SUMIFS('Federal Data'!AJ2:AJ501,'Federal Data'!$F2:$F501,"Net Interest on Debt",'Federal Data'!$D2:$D501,"Nongrant")</f>
        <v>153073000</v>
      </c>
      <c r="BT144" s="101">
        <f>'State and Local P&amp;L (detailed)'!$Z$83</f>
        <v>30623482</v>
      </c>
      <c r="BU144" s="101">
        <f t="shared" si="243"/>
        <v>183696482</v>
      </c>
      <c r="BV144" s="94">
        <f>SUMIFS('Federal Data'!AK2:AK501,'Federal Data'!$F2:$F501,"Net Interest on Debt",'Federal Data'!$D2:$D501,"Nongrant")</f>
        <v>160245000</v>
      </c>
      <c r="BW144" s="101">
        <f>'State and Local P&amp;L (detailed)'!$AA$83</f>
        <v>40084404</v>
      </c>
      <c r="BX144" s="101">
        <f t="shared" si="244"/>
        <v>200329404</v>
      </c>
      <c r="BY144" s="94">
        <f>SUMIFS('Federal Data'!AL2:AL501,'Federal Data'!$F2:$F501,"Net Interest on Debt",'Federal Data'!$D2:$D501,"Nongrant")</f>
        <v>183986000</v>
      </c>
      <c r="BZ144" s="101">
        <f>'State and Local P&amp;L (detailed)'!$AB$83</f>
        <v>32404604</v>
      </c>
      <c r="CA144" s="101">
        <f t="shared" si="245"/>
        <v>216390604</v>
      </c>
      <c r="CB144" s="94">
        <f>SUMIFS('Federal Data'!AM2:AM501,'Federal Data'!$F2:$F501,"Net Interest on Debt",'Federal Data'!$D2:$D501,"Nongrant")</f>
        <v>226603000</v>
      </c>
      <c r="CC144" s="101">
        <f>'State and Local P&amp;L (detailed)'!$AC$83</f>
        <v>25599222</v>
      </c>
      <c r="CD144" s="101">
        <f t="shared" si="246"/>
        <v>252202222</v>
      </c>
      <c r="CE144" s="94">
        <f>SUMIFS('Federal Data'!AN2:AN501,'Federal Data'!$F2:$F501,"Net Interest on Debt",'Federal Data'!$D2:$D501,"Nongrant")</f>
        <v>237109000</v>
      </c>
      <c r="CF144" s="101">
        <f>'State and Local P&amp;L (detailed)'!$AD$83</f>
        <v>14223530</v>
      </c>
      <c r="CG144" s="101">
        <f t="shared" si="247"/>
        <v>251332530</v>
      </c>
      <c r="CH144" s="94">
        <f>SUMIFS('Federal Data'!AO2:AO501,'Federal Data'!$F2:$F501,"Net Interest on Debt",'Federal Data'!$D2:$D501,"Nongrant")</f>
        <v>252757000</v>
      </c>
      <c r="CI144" s="101">
        <f>'State and Local P&amp;L (detailed)'!$AE$83</f>
        <v>19549556</v>
      </c>
      <c r="CJ144" s="101">
        <f t="shared" si="248"/>
        <v>272306556</v>
      </c>
      <c r="CK144" s="94">
        <f>SUMIFS('Federal Data'!AP2:AP501,'Federal Data'!$F2:$F501,"Net Interest on Debt",'Federal Data'!$D2:$D501,"Nongrant")</f>
        <v>186902000</v>
      </c>
      <c r="CL144" s="101">
        <f>'State and Local P&amp;L (detailed)'!$AF$83</f>
        <v>45592389</v>
      </c>
      <c r="CM144" s="101">
        <f t="shared" si="249"/>
        <v>232494389</v>
      </c>
      <c r="CN144" s="94">
        <f>SUMIFS('Federal Data'!AQ2:AQ501,'Federal Data'!$F2:$F501,"Net Interest on Debt",'Federal Data'!$D2:$D501,"Nongrant")</f>
        <v>196194000</v>
      </c>
      <c r="CO144" s="101">
        <f>'State and Local P&amp;L (detailed)'!$AG$83</f>
        <v>60111083</v>
      </c>
      <c r="CP144" s="101">
        <f t="shared" si="250"/>
        <v>256305083</v>
      </c>
      <c r="CQ144" s="94">
        <f>SUMIFS('Federal Data'!AR2:AR501,'Federal Data'!$F2:$F501,"Net Interest on Debt",'Federal Data'!$D2:$D501,"Nongrant")</f>
        <v>229962000</v>
      </c>
      <c r="CR144" s="101">
        <f>'State and Local P&amp;L (detailed)'!$AH$83</f>
        <v>67193033</v>
      </c>
      <c r="CS144" s="101">
        <f t="shared" si="251"/>
        <v>297155033</v>
      </c>
      <c r="CT144" s="94">
        <f>SUMIFS('Federal Data'!AS2:AS501,'Federal Data'!$F2:$F501,"Net Interest on Debt",'Federal Data'!$D2:$D501,"Nongrant")</f>
        <v>220408000</v>
      </c>
      <c r="CU144" s="101">
        <f>'State and Local P&amp;L (detailed)'!$AI$83</f>
        <v>74230044</v>
      </c>
      <c r="CV144" s="101">
        <f t="shared" si="252"/>
        <v>294638044</v>
      </c>
      <c r="CW144" s="94">
        <f>SUMIFS('Federal Data'!AT2:AT501,'Federal Data'!$F2:$F501,"Net Interest on Debt",'Federal Data'!$D2:$D501,"Nongrant")</f>
        <v>220885000</v>
      </c>
      <c r="CX144" s="101">
        <f>'State and Local P&amp;L (detailed)'!$AJ$83</f>
        <v>74634832</v>
      </c>
      <c r="CY144" s="101">
        <f t="shared" si="253"/>
        <v>295519832</v>
      </c>
      <c r="CZ144" s="94">
        <f>SUMIFS('Federal Data'!AU2:AU501,'Federal Data'!$F2:$F501,"Net Interest on Debt",'Federal Data'!$D2:$D501,"Nongrant")</f>
        <v>228956000</v>
      </c>
      <c r="DA144" s="101">
        <f>'State and Local P&amp;L (detailed)'!$AK$83</f>
        <v>73337141</v>
      </c>
      <c r="DB144" s="101">
        <f t="shared" si="254"/>
        <v>302293141</v>
      </c>
      <c r="DC144" s="37">
        <f>SUMIFS('Federal Data'!AV2:AV501,'Federal Data'!$F2:$F501,"Net Interest on Debt",'Federal Data'!$D2:$D501,"Nongrant")</f>
        <v>223181000</v>
      </c>
      <c r="DD144" s="85">
        <f>'State and Local P&amp;L (detailed)'!$AL$83</f>
        <v>0</v>
      </c>
      <c r="DE144" s="85">
        <f t="shared" si="255"/>
        <v>223181000</v>
      </c>
    </row>
    <row r="145" spans="1:109" outlineLevel="1">
      <c r="A145" s="28" t="s">
        <v>495</v>
      </c>
      <c r="B145" s="94">
        <f>B171</f>
        <v>537979</v>
      </c>
      <c r="C145" s="101" t="str">
        <f>'State and Local P&amp;L (detailed)'!$C$84</f>
        <v>na</v>
      </c>
      <c r="D145" s="101">
        <f t="shared" si="220"/>
        <v>537979</v>
      </c>
      <c r="E145" s="94">
        <f>E171</f>
        <v>431681</v>
      </c>
      <c r="F145" s="101" t="str">
        <f>'State and Local P&amp;L (detailed)'!$D$84</f>
        <v>na</v>
      </c>
      <c r="G145" s="101">
        <f t="shared" si="221"/>
        <v>431681</v>
      </c>
      <c r="H145" s="94">
        <f>H171</f>
        <v>394369</v>
      </c>
      <c r="I145" s="101" t="str">
        <f>'State and Local P&amp;L (detailed)'!$E$84</f>
        <v>na</v>
      </c>
      <c r="J145" s="101">
        <f t="shared" si="222"/>
        <v>394369</v>
      </c>
      <c r="K145" s="94">
        <f>K171</f>
        <v>409163</v>
      </c>
      <c r="L145" s="101" t="str">
        <f>'State and Local P&amp;L (detailed)'!$F$84</f>
        <v>na</v>
      </c>
      <c r="M145" s="101">
        <f t="shared" si="223"/>
        <v>409163</v>
      </c>
      <c r="N145" s="94">
        <f>N171</f>
        <v>525761</v>
      </c>
      <c r="O145" s="101" t="str">
        <f>'State and Local P&amp;L (detailed)'!$G$84</f>
        <v>na</v>
      </c>
      <c r="P145" s="101">
        <f t="shared" si="224"/>
        <v>525761</v>
      </c>
      <c r="Q145" s="94">
        <f>Q171</f>
        <v>416300</v>
      </c>
      <c r="R145" s="101" t="str">
        <f>'State and Local P&amp;L (detailed)'!$H$84</f>
        <v>na</v>
      </c>
      <c r="S145" s="101">
        <f t="shared" si="225"/>
        <v>416300</v>
      </c>
      <c r="T145" s="94">
        <f>T171</f>
        <v>428984</v>
      </c>
      <c r="U145" s="101" t="str">
        <f>'State and Local P&amp;L (detailed)'!$I$84</f>
        <v>na</v>
      </c>
      <c r="V145" s="101">
        <f t="shared" si="226"/>
        <v>428984</v>
      </c>
      <c r="W145" s="94">
        <f>W171</f>
        <v>442474</v>
      </c>
      <c r="X145" s="101" t="str">
        <f>'State and Local P&amp;L (detailed)'!$J$84</f>
        <v>na</v>
      </c>
      <c r="Y145" s="101">
        <f t="shared" si="227"/>
        <v>442474</v>
      </c>
      <c r="Z145" s="94">
        <f>Z171</f>
        <v>592384</v>
      </c>
      <c r="AA145" s="101" t="str">
        <f>'State and Local P&amp;L (detailed)'!$K$84</f>
        <v>na</v>
      </c>
      <c r="AB145" s="101">
        <f t="shared" si="228"/>
        <v>592384</v>
      </c>
      <c r="AC145" s="94">
        <f>AC171</f>
        <v>459928</v>
      </c>
      <c r="AD145" s="101" t="str">
        <f>'State and Local P&amp;L (detailed)'!$L$84</f>
        <v>na</v>
      </c>
      <c r="AE145" s="101">
        <f t="shared" si="229"/>
        <v>459928</v>
      </c>
      <c r="AF145" s="94">
        <f>AF171</f>
        <v>457800</v>
      </c>
      <c r="AG145" s="101" t="str">
        <f>'State and Local P&amp;L (detailed)'!$M$84</f>
        <v>na</v>
      </c>
      <c r="AH145" s="101">
        <f t="shared" si="230"/>
        <v>457800</v>
      </c>
      <c r="AI145" s="94">
        <f>AI171</f>
        <v>527544</v>
      </c>
      <c r="AJ145" s="101" t="str">
        <f>'State and Local P&amp;L (detailed)'!$N$84</f>
        <v>na</v>
      </c>
      <c r="AK145" s="101">
        <f t="shared" si="231"/>
        <v>527544</v>
      </c>
      <c r="AL145" s="94">
        <f>AL171</f>
        <v>688709</v>
      </c>
      <c r="AM145" s="101" t="str">
        <f>'State and Local P&amp;L (detailed)'!$O$84</f>
        <v>na</v>
      </c>
      <c r="AN145" s="101">
        <f t="shared" si="232"/>
        <v>688709</v>
      </c>
      <c r="AO145" s="94">
        <f>AO171</f>
        <v>579614</v>
      </c>
      <c r="AP145" s="101" t="str">
        <f>'State and Local P&amp;L (detailed)'!$P$84</f>
        <v>na</v>
      </c>
      <c r="AQ145" s="101">
        <f t="shared" si="233"/>
        <v>579614</v>
      </c>
      <c r="AR145" s="94">
        <f>AR171</f>
        <v>664856</v>
      </c>
      <c r="AS145" s="101" t="str">
        <f>'State and Local P&amp;L (detailed)'!$Q$84</f>
        <v>na</v>
      </c>
      <c r="AT145" s="101">
        <f t="shared" si="234"/>
        <v>664856</v>
      </c>
      <c r="AU145" s="94">
        <f>AU171</f>
        <v>869000</v>
      </c>
      <c r="AV145" s="101" t="str">
        <f>'State and Local P&amp;L (detailed)'!$R$84</f>
        <v>na</v>
      </c>
      <c r="AW145" s="101">
        <f t="shared" si="235"/>
        <v>869000</v>
      </c>
      <c r="AX145" s="94">
        <f>AX171</f>
        <v>1097000</v>
      </c>
      <c r="AY145" s="101" t="str">
        <f>'State and Local P&amp;L (detailed)'!$S$84</f>
        <v>na</v>
      </c>
      <c r="AZ145" s="101">
        <f t="shared" si="236"/>
        <v>1097000</v>
      </c>
      <c r="BA145" s="94">
        <f>BA171</f>
        <v>954000</v>
      </c>
      <c r="BB145" s="101" t="str">
        <f>'State and Local P&amp;L (detailed)'!$T$84</f>
        <v>na</v>
      </c>
      <c r="BC145" s="101">
        <f t="shared" si="237"/>
        <v>954000</v>
      </c>
      <c r="BD145" s="94">
        <f>BD171</f>
        <v>978000</v>
      </c>
      <c r="BE145" s="101" t="str">
        <f>'State and Local P&amp;L (detailed)'!$U$84</f>
        <v>na</v>
      </c>
      <c r="BF145" s="101">
        <f t="shared" si="238"/>
        <v>978000</v>
      </c>
      <c r="BG145" s="94">
        <f>BG171</f>
        <v>1063000</v>
      </c>
      <c r="BH145" s="101" t="str">
        <f>'State and Local P&amp;L (detailed)'!$V$84</f>
        <v>na</v>
      </c>
      <c r="BI145" s="101">
        <f t="shared" si="239"/>
        <v>1063000</v>
      </c>
      <c r="BJ145" s="94">
        <f>BJ171</f>
        <v>1375000</v>
      </c>
      <c r="BK145" s="101" t="str">
        <f>'State and Local P&amp;L (detailed)'!$W$84</f>
        <v>na</v>
      </c>
      <c r="BL145" s="101">
        <f t="shared" si="240"/>
        <v>1375000</v>
      </c>
      <c r="BM145" s="94">
        <f>BM171</f>
        <v>1248000</v>
      </c>
      <c r="BN145" s="101" t="str">
        <f>'State and Local P&amp;L (detailed)'!$X$84</f>
        <v>na</v>
      </c>
      <c r="BO145" s="101">
        <f t="shared" si="241"/>
        <v>1248000</v>
      </c>
      <c r="BP145" s="94">
        <f>BP171</f>
        <v>1327000</v>
      </c>
      <c r="BQ145" s="101" t="str">
        <f>'State and Local P&amp;L (detailed)'!$Y$84</f>
        <v>na</v>
      </c>
      <c r="BR145" s="101">
        <f t="shared" si="242"/>
        <v>1327000</v>
      </c>
      <c r="BS145" s="94">
        <f>BS171</f>
        <v>2073000</v>
      </c>
      <c r="BT145" s="101" t="str">
        <f>'State and Local P&amp;L (detailed)'!$Z$84</f>
        <v>na</v>
      </c>
      <c r="BU145" s="101">
        <f t="shared" si="243"/>
        <v>2073000</v>
      </c>
      <c r="BV145" s="94">
        <f>BV171</f>
        <v>2797000</v>
      </c>
      <c r="BW145" s="101" t="str">
        <f>'State and Local P&amp;L (detailed)'!$AA$84</f>
        <v>na</v>
      </c>
      <c r="BX145" s="101">
        <f t="shared" si="244"/>
        <v>2797000</v>
      </c>
      <c r="BY145" s="94">
        <f>BY171</f>
        <v>2354000</v>
      </c>
      <c r="BZ145" s="101" t="str">
        <f>'State and Local P&amp;L (detailed)'!$AB$84</f>
        <v>na</v>
      </c>
      <c r="CA145" s="101">
        <f t="shared" si="245"/>
        <v>2354000</v>
      </c>
      <c r="CB145" s="94">
        <f>CB171</f>
        <v>1488000</v>
      </c>
      <c r="CC145" s="101" t="str">
        <f>'State and Local P&amp;L (detailed)'!$AC$84</f>
        <v>na</v>
      </c>
      <c r="CD145" s="101">
        <f t="shared" si="246"/>
        <v>1488000</v>
      </c>
      <c r="CE145" s="94">
        <f>CE171</f>
        <v>1545000</v>
      </c>
      <c r="CF145" s="101" t="str">
        <f>'State and Local P&amp;L (detailed)'!$AD$84</f>
        <v>na</v>
      </c>
      <c r="CG145" s="101">
        <f t="shared" si="247"/>
        <v>1545000</v>
      </c>
      <c r="CH145" s="94">
        <f>CH171</f>
        <v>1689000</v>
      </c>
      <c r="CI145" s="101" t="str">
        <f>'State and Local P&amp;L (detailed)'!$AE$84</f>
        <v>na</v>
      </c>
      <c r="CJ145" s="101">
        <f t="shared" si="248"/>
        <v>1689000</v>
      </c>
      <c r="CK145" s="94">
        <f>CK171</f>
        <v>1707000</v>
      </c>
      <c r="CL145" s="101" t="str">
        <f>'State and Local P&amp;L (detailed)'!$AF$84</f>
        <v>na</v>
      </c>
      <c r="CM145" s="101">
        <f t="shared" si="249"/>
        <v>1707000</v>
      </c>
      <c r="CN145" s="94">
        <f>CN171</f>
        <v>1861000</v>
      </c>
      <c r="CO145" s="101" t="str">
        <f>'State and Local P&amp;L (detailed)'!$AG$84</f>
        <v>na</v>
      </c>
      <c r="CP145" s="101">
        <f t="shared" si="250"/>
        <v>1861000</v>
      </c>
      <c r="CQ145" s="94">
        <f>CQ171</f>
        <v>1957000</v>
      </c>
      <c r="CR145" s="101" t="str">
        <f>'State and Local P&amp;L (detailed)'!$AH$84</f>
        <v>na</v>
      </c>
      <c r="CS145" s="101">
        <f t="shared" si="251"/>
        <v>1957000</v>
      </c>
      <c r="CT145" s="94">
        <f>CT171</f>
        <v>1762000</v>
      </c>
      <c r="CU145" s="101" t="str">
        <f>'State and Local P&amp;L (detailed)'!$AI$84</f>
        <v>na</v>
      </c>
      <c r="CV145" s="101">
        <f t="shared" si="252"/>
        <v>1762000</v>
      </c>
      <c r="CW145" s="94">
        <f>CW171</f>
        <v>1737000</v>
      </c>
      <c r="CX145" s="101" t="str">
        <f>'State and Local P&amp;L (detailed)'!$AJ$84</f>
        <v>na</v>
      </c>
      <c r="CY145" s="101">
        <f t="shared" si="253"/>
        <v>1737000</v>
      </c>
      <c r="CZ145" s="94">
        <f>CZ171</f>
        <v>1745000</v>
      </c>
      <c r="DA145" s="101" t="str">
        <f>'State and Local P&amp;L (detailed)'!$AK$84</f>
        <v>na</v>
      </c>
      <c r="DB145" s="101">
        <f t="shared" si="254"/>
        <v>1745000</v>
      </c>
      <c r="DC145" s="94">
        <f>DC171</f>
        <v>1733000</v>
      </c>
      <c r="DD145" s="85">
        <f>'State and Local P&amp;L (detailed)'!$AL$84</f>
        <v>0</v>
      </c>
      <c r="DE145" s="85">
        <f t="shared" si="255"/>
        <v>1733000</v>
      </c>
    </row>
    <row r="146" spans="1:109">
      <c r="A146" s="48" t="s">
        <v>40</v>
      </c>
      <c r="B146" s="97">
        <f>SUMIFS('Federal Data'!M2:M501,'Federal Data'!$F2:$F501,"General Government",'Federal Data'!$D2:$D501,"Nongrant")</f>
        <v>4345702</v>
      </c>
      <c r="C146" s="102">
        <f>'State and Local P&amp;L (detailed)'!$C$85</f>
        <v>33490017</v>
      </c>
      <c r="D146" s="102">
        <f t="shared" si="220"/>
        <v>37835719</v>
      </c>
      <c r="E146" s="97">
        <f>SUMIFS('Federal Data'!N2:N501,'Federal Data'!$F2:$F501,"General Government",'Federal Data'!$D2:$D501,"Nongrant")</f>
        <v>4438410</v>
      </c>
      <c r="F146" s="102">
        <f>'State and Local P&amp;L (detailed)'!$D$85</f>
        <v>36047905</v>
      </c>
      <c r="G146" s="102">
        <f t="shared" si="221"/>
        <v>40486315</v>
      </c>
      <c r="H146" s="97">
        <f>SUMIFS('Federal Data'!O2:O501,'Federal Data'!$F2:$F501,"General Government",'Federal Data'!$D2:$D501,"Nongrant")</f>
        <v>4372892</v>
      </c>
      <c r="I146" s="102">
        <f>'State and Local P&amp;L (detailed)'!$E$85</f>
        <v>36321833</v>
      </c>
      <c r="J146" s="102">
        <f t="shared" si="222"/>
        <v>40694725</v>
      </c>
      <c r="K146" s="97">
        <f>SUMIFS('Federal Data'!P2:P501,'Federal Data'!$F2:$F501,"General Government",'Federal Data'!$D2:$D501,"Nongrant")</f>
        <v>4668180</v>
      </c>
      <c r="L146" s="102">
        <f>'State and Local P&amp;L (detailed)'!$F$85</f>
        <v>36125794</v>
      </c>
      <c r="M146" s="102">
        <f t="shared" si="223"/>
        <v>40793974</v>
      </c>
      <c r="N146" s="97">
        <f>SUMIFS('Federal Data'!Q2:Q501,'Federal Data'!$F2:$F501,"General Government",'Federal Data'!$D2:$D501,"Nongrant")</f>
        <v>5035426</v>
      </c>
      <c r="O146" s="102">
        <f>'State and Local P&amp;L (detailed)'!$G$85</f>
        <v>38891922</v>
      </c>
      <c r="P146" s="102">
        <f t="shared" si="224"/>
        <v>43927348</v>
      </c>
      <c r="Q146" s="97">
        <f>SUMIFS('Federal Data'!R2:R501,'Federal Data'!$F2:$F501,"General Government",'Federal Data'!$D2:$D501,"Nongrant")</f>
        <v>5275052</v>
      </c>
      <c r="R146" s="102">
        <f>'State and Local P&amp;L (detailed)'!$H$85</f>
        <v>42895231</v>
      </c>
      <c r="S146" s="102">
        <f t="shared" si="225"/>
        <v>48170283</v>
      </c>
      <c r="T146" s="97">
        <f>SUMIFS('Federal Data'!S2:S501,'Federal Data'!$F2:$F501,"General Government",'Federal Data'!$D2:$D501,"Nongrant")</f>
        <v>6161186</v>
      </c>
      <c r="U146" s="102">
        <f>'State and Local P&amp;L (detailed)'!$I$85</f>
        <v>46789058</v>
      </c>
      <c r="V146" s="102">
        <f t="shared" si="226"/>
        <v>52950244</v>
      </c>
      <c r="W146" s="97">
        <f>SUMIFS('Federal Data'!T2:T501,'Federal Data'!$F2:$F501,"General Government",'Federal Data'!$D2:$D501,"Nongrant")</f>
        <v>5956757</v>
      </c>
      <c r="X146" s="102">
        <f>'State and Local P&amp;L (detailed)'!$J$85</f>
        <v>51030336</v>
      </c>
      <c r="Y146" s="102">
        <f t="shared" si="227"/>
        <v>56987093</v>
      </c>
      <c r="Z146" s="97">
        <f>SUMIFS('Federal Data'!U2:U501,'Federal Data'!$F2:$F501,"General Government",'Federal Data'!$D2:$D501,"Nongrant")</f>
        <v>7525672</v>
      </c>
      <c r="AA146" s="102">
        <f>'State and Local P&amp;L (detailed)'!$K$85</f>
        <v>53109075</v>
      </c>
      <c r="AB146" s="102">
        <f t="shared" si="228"/>
        <v>60634747</v>
      </c>
      <c r="AC146" s="97">
        <f>SUMIFS('Federal Data'!V2:V501,'Federal Data'!$F2:$F501,"General Government",'Federal Data'!$D2:$D501,"Nongrant")</f>
        <v>6707291</v>
      </c>
      <c r="AD146" s="102">
        <f>'State and Local P&amp;L (detailed)'!$L$85</f>
        <v>56919626</v>
      </c>
      <c r="AE146" s="102">
        <f t="shared" si="229"/>
        <v>63626917</v>
      </c>
      <c r="AF146" s="97">
        <f>SUMIFS('Federal Data'!W2:W501,'Federal Data'!$F2:$F501,"General Government",'Federal Data'!$D2:$D501,"Nongrant")</f>
        <v>7967338</v>
      </c>
      <c r="AG146" s="102">
        <f>'State and Local P&amp;L (detailed)'!$M$85</f>
        <v>61059762</v>
      </c>
      <c r="AH146" s="102">
        <f t="shared" si="230"/>
        <v>69027100</v>
      </c>
      <c r="AI146" s="97">
        <f>SUMIFS('Federal Data'!X2:X501,'Federal Data'!$F2:$F501,"General Government",'Federal Data'!$D2:$D501,"Nongrant")</f>
        <v>9198100</v>
      </c>
      <c r="AJ146" s="102">
        <f>'State and Local P&amp;L (detailed)'!$N$85</f>
        <v>65282138</v>
      </c>
      <c r="AK146" s="102">
        <f t="shared" si="231"/>
        <v>74480238</v>
      </c>
      <c r="AL146" s="97">
        <f>SUMIFS('Federal Data'!Y2:Y501,'Federal Data'!$F2:$F501,"General Government",'Federal Data'!$D2:$D501,"Nongrant")</f>
        <v>10745334</v>
      </c>
      <c r="AM146" s="102">
        <f>'State and Local P&amp;L (detailed)'!$O$85</f>
        <v>66757855</v>
      </c>
      <c r="AN146" s="102">
        <f t="shared" si="232"/>
        <v>77503189</v>
      </c>
      <c r="AO146" s="97">
        <f>SUMIFS('Federal Data'!Z2:Z501,'Federal Data'!$F2:$F501,"General Government",'Federal Data'!$D2:$D501,"Nongrant")</f>
        <v>10780915</v>
      </c>
      <c r="AP146" s="102">
        <f>'State and Local P&amp;L (detailed)'!$P$85</f>
        <v>68898275</v>
      </c>
      <c r="AQ146" s="102">
        <f t="shared" si="233"/>
        <v>79679190</v>
      </c>
      <c r="AR146" s="97">
        <f>SUMIFS('Federal Data'!AA2:AA501,'Federal Data'!$F2:$F501,"General Government",'Federal Data'!$D2:$D501,"Nongrant")</f>
        <v>8894141</v>
      </c>
      <c r="AS146" s="102">
        <f>'State and Local P&amp;L (detailed)'!$Q$85</f>
        <v>70736640</v>
      </c>
      <c r="AT146" s="102">
        <f t="shared" si="234"/>
        <v>79630781</v>
      </c>
      <c r="AU146" s="97">
        <f>SUMIFS('Federal Data'!AB2:AB501,'Federal Data'!$F2:$F501,"General Government",'Federal Data'!$D2:$D501,"Nongrant")</f>
        <v>11141000</v>
      </c>
      <c r="AV146" s="102">
        <f>'State and Local P&amp;L (detailed)'!$R$85</f>
        <v>75526320</v>
      </c>
      <c r="AW146" s="102">
        <f t="shared" si="235"/>
        <v>86667320</v>
      </c>
      <c r="AX146" s="97">
        <f>SUMIFS('Federal Data'!AC2:AC501,'Federal Data'!$F2:$F501,"General Government",'Federal Data'!$D2:$D501,"Nongrant")</f>
        <v>9454000</v>
      </c>
      <c r="AY146" s="102">
        <f>'State and Local P&amp;L (detailed)'!$S$85</f>
        <v>75227274</v>
      </c>
      <c r="AZ146" s="102">
        <f t="shared" si="236"/>
        <v>84681274</v>
      </c>
      <c r="BA146" s="97">
        <f>SUMIFS('Federal Data'!AD2:AD501,'Federal Data'!$F2:$F501,"General Government",'Federal Data'!$D2:$D501,"Nongrant")</f>
        <v>10105000</v>
      </c>
      <c r="BB146" s="102">
        <f>'State and Local P&amp;L (detailed)'!$T$85</f>
        <v>82143509</v>
      </c>
      <c r="BC146" s="102">
        <f t="shared" si="237"/>
        <v>92248509</v>
      </c>
      <c r="BD146" s="97">
        <f>SUMIFS('Federal Data'!AE2:AE501,'Federal Data'!$F2:$F501,"General Government",'Federal Data'!$D2:$D501,"Nongrant")</f>
        <v>10070000</v>
      </c>
      <c r="BE146" s="102">
        <f>'State and Local P&amp;L (detailed)'!$U$85</f>
        <v>85160967</v>
      </c>
      <c r="BF146" s="102">
        <f t="shared" si="238"/>
        <v>95230967</v>
      </c>
      <c r="BG146" s="97">
        <f>SUMIFS('Federal Data'!AF2:AF501,'Federal Data'!$F2:$F501,"General Government",'Federal Data'!$D2:$D501,"Nongrant")</f>
        <v>12092000</v>
      </c>
      <c r="BH146" s="102">
        <f>'State and Local P&amp;L (detailed)'!$V$85</f>
        <v>94425013</v>
      </c>
      <c r="BI146" s="102">
        <f t="shared" si="239"/>
        <v>106517013</v>
      </c>
      <c r="BJ146" s="97">
        <f>SUMIFS('Federal Data'!AG2:AG501,'Federal Data'!$F2:$F501,"General Government",'Federal Data'!$D2:$D501,"Nongrant")</f>
        <v>10650000</v>
      </c>
      <c r="BK146" s="102">
        <f>'State and Local P&amp;L (detailed)'!$W$85</f>
        <v>102791222</v>
      </c>
      <c r="BL146" s="102">
        <f t="shared" si="240"/>
        <v>113441222</v>
      </c>
      <c r="BM146" s="97">
        <f>SUMIFS('Federal Data'!AH2:AH501,'Federal Data'!$F2:$F501,"General Government",'Federal Data'!$D2:$D501,"Nongrant")</f>
        <v>11785000</v>
      </c>
      <c r="BN146" s="102">
        <f>'State and Local P&amp;L (detailed)'!$X$85</f>
        <v>112524167</v>
      </c>
      <c r="BO146" s="102">
        <f t="shared" si="241"/>
        <v>124309167</v>
      </c>
      <c r="BP146" s="97">
        <f>SUMIFS('Federal Data'!AI2:AI501,'Federal Data'!$F2:$F501,"General Government",'Federal Data'!$D2:$D501,"Nongrant")</f>
        <v>14237000</v>
      </c>
      <c r="BQ146" s="102">
        <f>'State and Local P&amp;L (detailed)'!$Y$85</f>
        <v>120882962</v>
      </c>
      <c r="BR146" s="102">
        <f t="shared" si="242"/>
        <v>135119962</v>
      </c>
      <c r="BS146" s="97">
        <f>SUMIFS('Federal Data'!AJ2:AJ501,'Federal Data'!$F2:$F501,"General Government",'Federal Data'!$D2:$D501,"Nongrant")</f>
        <v>14163000</v>
      </c>
      <c r="BT146" s="102">
        <f>'State and Local P&amp;L (detailed)'!$Z$85</f>
        <v>118239247</v>
      </c>
      <c r="BU146" s="102">
        <f t="shared" si="243"/>
        <v>132402247</v>
      </c>
      <c r="BV146" s="97">
        <f>SUMIFS('Federal Data'!AK2:AK501,'Federal Data'!$F2:$F501,"General Government",'Federal Data'!$D2:$D501,"Nongrant")</f>
        <v>14173000</v>
      </c>
      <c r="BW146" s="102">
        <f>'State and Local P&amp;L (detailed)'!$AA$85</f>
        <v>119089366</v>
      </c>
      <c r="BX146" s="102">
        <f t="shared" si="244"/>
        <v>133262366</v>
      </c>
      <c r="BY146" s="97">
        <f>SUMIFS('Federal Data'!AL2:AL501,'Federal Data'!$F2:$F501,"General Government",'Federal Data'!$D2:$D501,"Nongrant")</f>
        <v>13218000</v>
      </c>
      <c r="BZ146" s="102">
        <f>'State and Local P&amp;L (detailed)'!$AB$85</f>
        <v>122609628</v>
      </c>
      <c r="CA146" s="102">
        <f t="shared" si="245"/>
        <v>135827628</v>
      </c>
      <c r="CB146" s="97">
        <f>SUMIFS('Federal Data'!AM2:AM501,'Federal Data'!$F2:$F501,"General Government",'Federal Data'!$D2:$D501,"Nongrant")</f>
        <v>14479000</v>
      </c>
      <c r="CC146" s="102">
        <f>'State and Local P&amp;L (detailed)'!$AC$85</f>
        <v>131804808</v>
      </c>
      <c r="CD146" s="102">
        <f t="shared" si="246"/>
        <v>146283808</v>
      </c>
      <c r="CE146" s="97">
        <f>SUMIFS('Federal Data'!AN2:AN501,'Federal Data'!$F2:$F501,"General Government",'Federal Data'!$D2:$D501,"Nongrant")</f>
        <v>14097000</v>
      </c>
      <c r="CF146" s="102">
        <f>'State and Local P&amp;L (detailed)'!$AD$85</f>
        <v>148596531</v>
      </c>
      <c r="CG146" s="102">
        <f t="shared" si="247"/>
        <v>162693531</v>
      </c>
      <c r="CH146" s="97">
        <f>SUMIFS('Federal Data'!AO2:AO501,'Federal Data'!$F2:$F501,"General Government",'Federal Data'!$D2:$D501,"Nongrant")</f>
        <v>16684000</v>
      </c>
      <c r="CI146" s="102">
        <f>'State and Local P&amp;L (detailed)'!$AE$85</f>
        <v>151893372</v>
      </c>
      <c r="CJ146" s="102">
        <f t="shared" si="248"/>
        <v>168577372</v>
      </c>
      <c r="CK146" s="97">
        <f>SUMIFS('Federal Data'!AP2:AP501,'Federal Data'!$F2:$F501,"General Government",'Federal Data'!$D2:$D501,"Nongrant")</f>
        <v>18112000</v>
      </c>
      <c r="CL146" s="102">
        <f>'State and Local P&amp;L (detailed)'!$AF$85</f>
        <v>156733765</v>
      </c>
      <c r="CM146" s="102">
        <f t="shared" si="249"/>
        <v>174845765</v>
      </c>
      <c r="CN146" s="97">
        <f>SUMIFS('Federal Data'!AQ2:AQ501,'Federal Data'!$F2:$F501,"General Government",'Federal Data'!$D2:$D501,"Nongrant")</f>
        <v>18201000</v>
      </c>
      <c r="CO146" s="102">
        <f>'State and Local P&amp;L (detailed)'!$AG$85</f>
        <v>158039258</v>
      </c>
      <c r="CP146" s="102">
        <f t="shared" si="250"/>
        <v>176240258</v>
      </c>
      <c r="CQ146" s="97">
        <f>SUMIFS('Federal Data'!AR2:AR501,'Federal Data'!$F2:$F501,"General Government",'Federal Data'!$D2:$D501,"Nongrant")</f>
        <v>19965000</v>
      </c>
      <c r="CR146" s="102">
        <f>'State and Local P&amp;L (detailed)'!$AH$85</f>
        <v>154779816</v>
      </c>
      <c r="CS146" s="102">
        <f t="shared" si="251"/>
        <v>174744816</v>
      </c>
      <c r="CT146" s="97">
        <f>SUMIFS('Federal Data'!AS2:AS501,'Federal Data'!$F2:$F501,"General Government",'Federal Data'!$D2:$D501,"Nongrant")</f>
        <v>20047000</v>
      </c>
      <c r="CU146" s="102">
        <f>'State and Local P&amp;L (detailed)'!$AI$85</f>
        <v>148651663</v>
      </c>
      <c r="CV146" s="102">
        <f t="shared" si="252"/>
        <v>168698663</v>
      </c>
      <c r="CW146" s="97">
        <f>SUMIFS('Federal Data'!AT2:AT501,'Federal Data'!$F2:$F501,"General Government",'Federal Data'!$D2:$D501,"Nongrant")</f>
        <v>19980000</v>
      </c>
      <c r="CX146" s="102">
        <f>'State and Local P&amp;L (detailed)'!$AJ$85</f>
        <v>145235828</v>
      </c>
      <c r="CY146" s="102">
        <f t="shared" si="253"/>
        <v>165215828</v>
      </c>
      <c r="CZ146" s="97">
        <f>SUMIFS('Federal Data'!AU2:AU501,'Federal Data'!$F2:$F501,"General Government",'Federal Data'!$D2:$D501,"Nongrant")</f>
        <v>18919000</v>
      </c>
      <c r="DA146" s="102">
        <f>'State and Local P&amp;L (detailed)'!$AK$85</f>
        <v>154342431</v>
      </c>
      <c r="DB146" s="102">
        <f t="shared" si="254"/>
        <v>173261431</v>
      </c>
      <c r="DC146" s="44">
        <f>SUMIFS('Federal Data'!AV2:AV501,'Federal Data'!$F2:$F501,"General Government",'Federal Data'!$D2:$D501,"Nongrant")</f>
        <v>13794000</v>
      </c>
      <c r="DD146" s="86">
        <f>'State and Local P&amp;L (detailed)'!$AL$85</f>
        <v>0</v>
      </c>
      <c r="DE146" s="86">
        <f t="shared" si="255"/>
        <v>13794000</v>
      </c>
    </row>
    <row r="147" spans="1:109">
      <c r="A147" s="48" t="s">
        <v>121</v>
      </c>
      <c r="B147" s="97">
        <f>SUMIFS('Federal Data'!M2:M501,'Federal Data'!$E2:$E501,"General Government",'Federal Data'!$D2:$D501,"Nongrant")-SUMIFS('Federal Data'!M2:M501,'Federal Data'!$F2:$F501,"General Government",'Federal Data'!$D2:$D501,"Nongrant")</f>
        <v>118974</v>
      </c>
      <c r="C147" s="102" t="s">
        <v>487</v>
      </c>
      <c r="D147" s="102">
        <f t="shared" si="220"/>
        <v>118974</v>
      </c>
      <c r="E147" s="97">
        <f>SUMIFS('Federal Data'!N2:N501,'Federal Data'!$E2:$E501,"General Government",'Federal Data'!$D2:$D501,"Nongrant")-SUMIFS('Federal Data'!N2:N501,'Federal Data'!$F2:$F501,"General Government",'Federal Data'!$D2:$D501,"Nongrant")</f>
        <v>149607</v>
      </c>
      <c r="F147" s="102" t="s">
        <v>487</v>
      </c>
      <c r="G147" s="102">
        <f t="shared" si="221"/>
        <v>149607</v>
      </c>
      <c r="H147" s="97">
        <f>SUMIFS('Federal Data'!O2:O501,'Federal Data'!$E2:$E501,"General Government",'Federal Data'!$D2:$D501,"Nongrant")-SUMIFS('Federal Data'!O2:O501,'Federal Data'!$F2:$F501,"General Government",'Federal Data'!$D2:$D501,"Nongrant")</f>
        <v>48052</v>
      </c>
      <c r="I147" s="102" t="s">
        <v>487</v>
      </c>
      <c r="J147" s="102">
        <f t="shared" si="222"/>
        <v>48052</v>
      </c>
      <c r="K147" s="97">
        <f>SUMIFS('Federal Data'!P2:P501,'Federal Data'!$E2:$E501,"General Government",'Federal Data'!$D2:$D501,"Nongrant")-SUMIFS('Federal Data'!P2:P501,'Federal Data'!$F2:$F501,"General Government",'Federal Data'!$D2:$D501,"Nongrant")</f>
        <v>126411</v>
      </c>
      <c r="L147" s="102" t="s">
        <v>487</v>
      </c>
      <c r="M147" s="102">
        <f t="shared" si="223"/>
        <v>126411</v>
      </c>
      <c r="N147" s="97">
        <f>SUMIFS('Federal Data'!Q2:Q501,'Federal Data'!$E2:$E501,"General Government",'Federal Data'!$D2:$D501,"Nongrant")-SUMIFS('Federal Data'!Q2:Q501,'Federal Data'!$F2:$F501,"General Government",'Federal Data'!$D2:$D501,"Nongrant")</f>
        <v>93758</v>
      </c>
      <c r="O147" s="102" t="s">
        <v>487</v>
      </c>
      <c r="P147" s="102">
        <f t="shared" si="224"/>
        <v>93758</v>
      </c>
      <c r="Q147" s="97">
        <f>SUMIFS('Federal Data'!R2:R501,'Federal Data'!$E2:$E501,"General Government",'Federal Data'!$D2:$D501,"Nongrant")-SUMIFS('Federal Data'!R2:R501,'Federal Data'!$F2:$F501,"General Government",'Federal Data'!$D2:$D501,"Nongrant")</f>
        <v>-299294</v>
      </c>
      <c r="R147" s="102" t="s">
        <v>487</v>
      </c>
      <c r="S147" s="102">
        <f t="shared" si="225"/>
        <v>-299294</v>
      </c>
      <c r="T147" s="97">
        <f>SUMIFS('Federal Data'!S2:S501,'Federal Data'!$E2:$E501,"General Government",'Federal Data'!$D2:$D501,"Nongrant")-SUMIFS('Federal Data'!S2:S501,'Federal Data'!$F2:$F501,"General Government",'Federal Data'!$D2:$D501,"Nongrant")</f>
        <v>-544517</v>
      </c>
      <c r="U147" s="102" t="s">
        <v>487</v>
      </c>
      <c r="V147" s="102">
        <f t="shared" si="226"/>
        <v>-544517</v>
      </c>
      <c r="W147" s="97">
        <f>SUMIFS('Federal Data'!T2:T501,'Federal Data'!$E2:$E501,"General Government",'Federal Data'!$D2:$D501,"Nongrant")-SUMIFS('Federal Data'!T2:T501,'Federal Data'!$F2:$F501,"General Government",'Federal Data'!$D2:$D501,"Nongrant")</f>
        <v>9874</v>
      </c>
      <c r="X147" s="102" t="s">
        <v>487</v>
      </c>
      <c r="Y147" s="102">
        <f t="shared" si="227"/>
        <v>9874</v>
      </c>
      <c r="Z147" s="97">
        <f>SUMIFS('Federal Data'!U2:U501,'Federal Data'!$E2:$E501,"General Government",'Federal Data'!$D2:$D501,"Nongrant")-SUMIFS('Federal Data'!U2:U501,'Federal Data'!$F2:$F501,"General Government",'Federal Data'!$D2:$D501,"Nongrant")</f>
        <v>138796</v>
      </c>
      <c r="AA147" s="102" t="s">
        <v>487</v>
      </c>
      <c r="AB147" s="102">
        <f t="shared" si="228"/>
        <v>138796</v>
      </c>
      <c r="AC147" s="97">
        <f>SUMIFS('Federal Data'!V2:V501,'Federal Data'!$E2:$E501,"General Government",'Federal Data'!$D2:$D501,"Nongrant")-SUMIFS('Federal Data'!V2:V501,'Federal Data'!$F2:$F501,"General Government",'Federal Data'!$D2:$D501,"Nongrant")</f>
        <v>126523</v>
      </c>
      <c r="AD147" s="102" t="s">
        <v>487</v>
      </c>
      <c r="AE147" s="102">
        <f t="shared" si="229"/>
        <v>126523</v>
      </c>
      <c r="AF147" s="97">
        <f>SUMIFS('Federal Data'!W2:W501,'Federal Data'!$E2:$E501,"General Government",'Federal Data'!$D2:$D501,"Nongrant")-SUMIFS('Federal Data'!W2:W501,'Federal Data'!$F2:$F501,"General Government",'Federal Data'!$D2:$D501,"Nongrant")</f>
        <v>150136</v>
      </c>
      <c r="AG147" s="102" t="s">
        <v>487</v>
      </c>
      <c r="AH147" s="102">
        <f t="shared" si="230"/>
        <v>150136</v>
      </c>
      <c r="AI147" s="97">
        <f>SUMIFS('Federal Data'!X2:X501,'Federal Data'!$E2:$E501,"General Government",'Federal Data'!$D2:$D501,"Nongrant")-SUMIFS('Federal Data'!X2:X501,'Federal Data'!$F2:$F501,"General Government",'Federal Data'!$D2:$D501,"Nongrant")</f>
        <v>147307</v>
      </c>
      <c r="AJ147" s="102" t="s">
        <v>487</v>
      </c>
      <c r="AK147" s="102">
        <f t="shared" si="231"/>
        <v>147307</v>
      </c>
      <c r="AL147" s="97">
        <f>SUMIFS('Federal Data'!Y2:Y501,'Federal Data'!$E2:$E501,"General Government",'Federal Data'!$D2:$D501,"Nongrant")-SUMIFS('Federal Data'!Y2:Y501,'Federal Data'!$F2:$F501,"General Government",'Federal Data'!$D2:$D501,"Nongrant")</f>
        <v>-136237</v>
      </c>
      <c r="AM147" s="102" t="s">
        <v>487</v>
      </c>
      <c r="AN147" s="102">
        <f t="shared" si="232"/>
        <v>-136237</v>
      </c>
      <c r="AO147" s="97">
        <f>SUMIFS('Federal Data'!Z2:Z501,'Federal Data'!$E2:$E501,"General Government",'Federal Data'!$D2:$D501,"Nongrant")-SUMIFS('Federal Data'!Z2:Z501,'Federal Data'!$F2:$F501,"General Government",'Federal Data'!$D2:$D501,"Nongrant")</f>
        <v>32633</v>
      </c>
      <c r="AP147" s="102" t="s">
        <v>487</v>
      </c>
      <c r="AQ147" s="102">
        <f t="shared" si="233"/>
        <v>32633</v>
      </c>
      <c r="AR147" s="97">
        <f>SUMIFS('Federal Data'!AA2:AA501,'Federal Data'!$E2:$E501,"General Government",'Federal Data'!$D2:$D501,"Nongrant")-SUMIFS('Federal Data'!AA2:AA501,'Federal Data'!$F2:$F501,"General Government",'Federal Data'!$D2:$D501,"Nongrant")</f>
        <v>131500</v>
      </c>
      <c r="AS147" s="102" t="s">
        <v>487</v>
      </c>
      <c r="AT147" s="102">
        <f t="shared" si="234"/>
        <v>131500</v>
      </c>
      <c r="AU147" s="97">
        <f>SUMIFS('Federal Data'!AB2:AB501,'Federal Data'!$E2:$E501,"General Government",'Federal Data'!$D2:$D501,"Nongrant")-SUMIFS('Federal Data'!AB2:AB501,'Federal Data'!$F2:$F501,"General Government",'Federal Data'!$D2:$D501,"Nongrant")</f>
        <v>324000</v>
      </c>
      <c r="AV147" s="102" t="s">
        <v>487</v>
      </c>
      <c r="AW147" s="102">
        <f t="shared" si="235"/>
        <v>324000</v>
      </c>
      <c r="AX147" s="97">
        <f>SUMIFS('Federal Data'!AC2:AC501,'Federal Data'!$E2:$E501,"General Government",'Federal Data'!$D2:$D501,"Nongrant")-SUMIFS('Federal Data'!AC2:AC501,'Federal Data'!$F2:$F501,"General Government",'Federal Data'!$D2:$D501,"Nongrant")</f>
        <v>161000</v>
      </c>
      <c r="AY147" s="102" t="s">
        <v>487</v>
      </c>
      <c r="AZ147" s="102">
        <f t="shared" si="236"/>
        <v>161000</v>
      </c>
      <c r="BA147" s="97">
        <f>SUMIFS('Federal Data'!AD2:AD501,'Federal Data'!$E2:$E501,"General Government",'Federal Data'!$D2:$D501,"Nongrant")-SUMIFS('Federal Data'!AD2:AD501,'Federal Data'!$F2:$F501,"General Government",'Federal Data'!$D2:$D501,"Nongrant")</f>
        <v>168000</v>
      </c>
      <c r="BB147" s="102" t="s">
        <v>487</v>
      </c>
      <c r="BC147" s="102">
        <f t="shared" si="237"/>
        <v>168000</v>
      </c>
      <c r="BD147" s="97">
        <f>SUMIFS('Federal Data'!AE2:AE501,'Federal Data'!$E2:$E501,"General Government",'Federal Data'!$D2:$D501,"Nongrant")-SUMIFS('Federal Data'!AE2:AE501,'Federal Data'!$F2:$F501,"General Government",'Federal Data'!$D2:$D501,"Nongrant")</f>
        <v>103000</v>
      </c>
      <c r="BE147" s="102" t="s">
        <v>487</v>
      </c>
      <c r="BF147" s="102">
        <f t="shared" si="238"/>
        <v>103000</v>
      </c>
      <c r="BG147" s="97">
        <f>SUMIFS('Federal Data'!AF2:AF501,'Federal Data'!$E2:$E501,"General Government",'Federal Data'!$D2:$D501,"Nongrant")-SUMIFS('Federal Data'!AF2:AF501,'Federal Data'!$F2:$F501,"General Government",'Federal Data'!$D2:$D501,"Nongrant")</f>
        <v>169000</v>
      </c>
      <c r="BH147" s="102" t="s">
        <v>487</v>
      </c>
      <c r="BI147" s="102">
        <f t="shared" si="239"/>
        <v>169000</v>
      </c>
      <c r="BJ147" s="97">
        <f>SUMIFS('Federal Data'!AG2:AG501,'Federal Data'!$E2:$E501,"General Government",'Federal Data'!$D2:$D501,"Nongrant")-SUMIFS('Federal Data'!AG2:AG501,'Federal Data'!$F2:$F501,"General Government",'Federal Data'!$D2:$D501,"Nongrant")</f>
        <v>178000</v>
      </c>
      <c r="BK147" s="102" t="s">
        <v>487</v>
      </c>
      <c r="BL147" s="102">
        <f t="shared" si="240"/>
        <v>178000</v>
      </c>
      <c r="BM147" s="97">
        <f>SUMIFS('Federal Data'!AH2:AH501,'Federal Data'!$E2:$E501,"General Government",'Federal Data'!$D2:$D501,"Nongrant")-SUMIFS('Federal Data'!AH2:AH501,'Federal Data'!$F2:$F501,"General Government",'Federal Data'!$D2:$D501,"Nongrant")</f>
        <v>180000</v>
      </c>
      <c r="BN147" s="102" t="s">
        <v>487</v>
      </c>
      <c r="BO147" s="102">
        <f t="shared" si="241"/>
        <v>180000</v>
      </c>
      <c r="BP147" s="97">
        <f>SUMIFS('Federal Data'!AI2:AI501,'Federal Data'!$E2:$E501,"General Government",'Federal Data'!$D2:$D501,"Nongrant")-SUMIFS('Federal Data'!AI2:AI501,'Federal Data'!$F2:$F501,"General Government",'Federal Data'!$D2:$D501,"Nongrant")</f>
        <v>197000</v>
      </c>
      <c r="BQ147" s="102" t="s">
        <v>487</v>
      </c>
      <c r="BR147" s="102">
        <f t="shared" si="242"/>
        <v>197000</v>
      </c>
      <c r="BS147" s="97">
        <f>SUMIFS('Federal Data'!AJ2:AJ501,'Federal Data'!$E2:$E501,"General Government",'Federal Data'!$D2:$D501,"Nongrant")-SUMIFS('Federal Data'!AJ2:AJ501,'Federal Data'!$F2:$F501,"General Government",'Federal Data'!$D2:$D501,"Nongrant")</f>
        <v>199000</v>
      </c>
      <c r="BT147" s="102" t="s">
        <v>487</v>
      </c>
      <c r="BU147" s="102">
        <f t="shared" si="243"/>
        <v>199000</v>
      </c>
      <c r="BV147" s="97">
        <f>SUMIFS('Federal Data'!AK2:AK501,'Federal Data'!$E2:$E501,"General Government",'Federal Data'!$D2:$D501,"Nongrant")-SUMIFS('Federal Data'!AK2:AK501,'Federal Data'!$F2:$F501,"General Government",'Federal Data'!$D2:$D501,"Nongrant")</f>
        <v>174000</v>
      </c>
      <c r="BW147" s="102" t="s">
        <v>487</v>
      </c>
      <c r="BX147" s="102">
        <f t="shared" si="244"/>
        <v>174000</v>
      </c>
      <c r="BY147" s="97">
        <f>SUMIFS('Federal Data'!AL2:AL501,'Federal Data'!$E2:$E501,"General Government",'Federal Data'!$D2:$D501,"Nongrant")-SUMIFS('Federal Data'!AL2:AL501,'Federal Data'!$F2:$F501,"General Government",'Federal Data'!$D2:$D501,"Nongrant")</f>
        <v>227000</v>
      </c>
      <c r="BZ147" s="102" t="s">
        <v>487</v>
      </c>
      <c r="CA147" s="102">
        <f t="shared" si="245"/>
        <v>227000</v>
      </c>
      <c r="CB147" s="97">
        <f>SUMIFS('Federal Data'!AM2:AM501,'Federal Data'!$E2:$E501,"General Government",'Federal Data'!$D2:$D501,"Nongrant")-SUMIFS('Federal Data'!AM2:AM501,'Federal Data'!$F2:$F501,"General Government",'Federal Data'!$D2:$D501,"Nongrant")</f>
        <v>192000</v>
      </c>
      <c r="CC147" s="102" t="s">
        <v>487</v>
      </c>
      <c r="CD147" s="102">
        <f t="shared" si="246"/>
        <v>192000</v>
      </c>
      <c r="CE147" s="97">
        <f>SUMIFS('Federal Data'!AN2:AN501,'Federal Data'!$E2:$E501,"General Government",'Federal Data'!$D2:$D501,"Nongrant")-SUMIFS('Federal Data'!AN2:AN501,'Federal Data'!$F2:$F501,"General Government",'Federal Data'!$D2:$D501,"Nongrant")</f>
        <v>233000</v>
      </c>
      <c r="CF147" s="102" t="s">
        <v>487</v>
      </c>
      <c r="CG147" s="102">
        <f t="shared" si="247"/>
        <v>233000</v>
      </c>
      <c r="CH147" s="97">
        <f>SUMIFS('Federal Data'!AO2:AO501,'Federal Data'!$E2:$E501,"General Government",'Federal Data'!$D2:$D501,"Nongrant")-SUMIFS('Federal Data'!AO2:AO501,'Federal Data'!$F2:$F501,"General Government",'Federal Data'!$D2:$D501,"Nongrant")</f>
        <v>208000</v>
      </c>
      <c r="CI147" s="102" t="s">
        <v>487</v>
      </c>
      <c r="CJ147" s="102">
        <f t="shared" si="248"/>
        <v>208000</v>
      </c>
      <c r="CK147" s="97">
        <f>SUMIFS('Federal Data'!AP2:AP501,'Federal Data'!$E2:$E501,"General Government",'Federal Data'!$D2:$D501,"Nongrant")-SUMIFS('Federal Data'!AP2:AP501,'Federal Data'!$F2:$F501,"General Government",'Federal Data'!$D2:$D501,"Nongrant")</f>
        <v>275000</v>
      </c>
      <c r="CL147" s="102" t="s">
        <v>487</v>
      </c>
      <c r="CM147" s="102">
        <f t="shared" si="249"/>
        <v>275000</v>
      </c>
      <c r="CN147" s="97">
        <f>SUMIFS('Federal Data'!AQ2:AQ501,'Federal Data'!$E2:$E501,"General Government",'Federal Data'!$D2:$D501,"Nongrant")-SUMIFS('Federal Data'!AQ2:AQ501,'Federal Data'!$F2:$F501,"General Government",'Federal Data'!$D2:$D501,"Nongrant")</f>
        <v>227000</v>
      </c>
      <c r="CO147" s="102" t="s">
        <v>487</v>
      </c>
      <c r="CP147" s="102">
        <f t="shared" si="250"/>
        <v>227000</v>
      </c>
      <c r="CQ147" s="97">
        <f>SUMIFS('Federal Data'!AR2:AR501,'Federal Data'!$E2:$E501,"General Government",'Federal Data'!$D2:$D501,"Nongrant")-SUMIFS('Federal Data'!AR2:AR501,'Federal Data'!$F2:$F501,"General Government",'Federal Data'!$D2:$D501,"Nongrant")</f>
        <v>245000</v>
      </c>
      <c r="CR147" s="102" t="s">
        <v>487</v>
      </c>
      <c r="CS147" s="102">
        <f t="shared" si="251"/>
        <v>245000</v>
      </c>
      <c r="CT147" s="97">
        <f>SUMIFS('Federal Data'!AS2:AS501,'Federal Data'!$E2:$E501,"General Government",'Federal Data'!$D2:$D501,"Nongrant")-SUMIFS('Federal Data'!AS2:AS501,'Federal Data'!$F2:$F501,"General Government",'Federal Data'!$D2:$D501,"Nongrant")</f>
        <v>4005000</v>
      </c>
      <c r="CU147" s="102" t="s">
        <v>487</v>
      </c>
      <c r="CV147" s="102">
        <f t="shared" si="252"/>
        <v>4005000</v>
      </c>
      <c r="CW147" s="97">
        <f>SUMIFS('Federal Data'!AT2:AT501,'Federal Data'!$E2:$E501,"General Government",'Federal Data'!$D2:$D501,"Nongrant")-SUMIFS('Federal Data'!AT2:AT501,'Federal Data'!$F2:$F501,"General Government",'Federal Data'!$D2:$D501,"Nongrant")</f>
        <v>4135000</v>
      </c>
      <c r="CX147" s="102" t="s">
        <v>487</v>
      </c>
      <c r="CY147" s="102">
        <f t="shared" si="253"/>
        <v>4135000</v>
      </c>
      <c r="CZ147" s="97">
        <f>SUMIFS('Federal Data'!AU2:AU501,'Federal Data'!$E2:$E501,"General Government",'Federal Data'!$D2:$D501,"Nongrant")-SUMIFS('Federal Data'!AU2:AU501,'Federal Data'!$F2:$F501,"General Government",'Federal Data'!$D2:$D501,"Nongrant")</f>
        <v>3821000</v>
      </c>
      <c r="DA147" s="102" t="s">
        <v>487</v>
      </c>
      <c r="DB147" s="102">
        <f t="shared" si="254"/>
        <v>3821000</v>
      </c>
      <c r="DC147" s="44">
        <f>SUMIFS('Federal Data'!AV2:AV501,'Federal Data'!$E2:$E501,"General Government",'Federal Data'!$D2:$D501,"Nongrant")-SUMIFS('Federal Data'!AV2:AV501,'Federal Data'!$F2:$F501,"General Government",'Federal Data'!$D2:$D501,"Nongrant")</f>
        <v>3754000</v>
      </c>
      <c r="DD147" s="86" t="s">
        <v>487</v>
      </c>
      <c r="DE147" s="86">
        <f t="shared" si="255"/>
        <v>3754000</v>
      </c>
    </row>
    <row r="148" spans="1:109">
      <c r="A148" s="48"/>
      <c r="B148" s="97"/>
      <c r="C148" s="102"/>
      <c r="D148" s="102"/>
      <c r="E148" s="97"/>
      <c r="F148" s="102"/>
      <c r="G148" s="102"/>
      <c r="H148" s="97"/>
      <c r="I148" s="102"/>
      <c r="J148" s="102"/>
      <c r="K148" s="97"/>
      <c r="L148" s="102"/>
      <c r="M148" s="102"/>
      <c r="N148" s="97"/>
      <c r="O148" s="102"/>
      <c r="P148" s="102"/>
      <c r="Q148" s="97"/>
      <c r="R148" s="102"/>
      <c r="S148" s="102"/>
      <c r="T148" s="97"/>
      <c r="U148" s="102"/>
      <c r="V148" s="102"/>
      <c r="W148" s="97"/>
      <c r="X148" s="102"/>
      <c r="Y148" s="102"/>
      <c r="Z148" s="97"/>
      <c r="AA148" s="102"/>
      <c r="AB148" s="102"/>
      <c r="AC148" s="97"/>
      <c r="AD148" s="102"/>
      <c r="AE148" s="102"/>
      <c r="AF148" s="97"/>
      <c r="AG148" s="102"/>
      <c r="AH148" s="102"/>
      <c r="AI148" s="97"/>
      <c r="AJ148" s="102"/>
      <c r="AK148" s="102"/>
      <c r="AL148" s="97"/>
      <c r="AM148" s="102"/>
      <c r="AN148" s="102"/>
      <c r="AO148" s="97"/>
      <c r="AP148" s="102"/>
      <c r="AQ148" s="102"/>
      <c r="AR148" s="97"/>
      <c r="AS148" s="102"/>
      <c r="AT148" s="102"/>
      <c r="AU148" s="97"/>
      <c r="AV148" s="102"/>
      <c r="AW148" s="102"/>
      <c r="AX148" s="97"/>
      <c r="AY148" s="102"/>
      <c r="AZ148" s="102"/>
      <c r="BA148" s="97"/>
      <c r="BB148" s="102"/>
      <c r="BC148" s="102"/>
      <c r="BD148" s="97"/>
      <c r="BE148" s="102"/>
      <c r="BF148" s="102"/>
      <c r="BG148" s="97"/>
      <c r="BH148" s="102"/>
      <c r="BI148" s="102"/>
      <c r="BJ148" s="97"/>
      <c r="BK148" s="102"/>
      <c r="BL148" s="102"/>
      <c r="BM148" s="97"/>
      <c r="BN148" s="102"/>
      <c r="BO148" s="102"/>
      <c r="BP148" s="97"/>
      <c r="BQ148" s="102"/>
      <c r="BR148" s="102"/>
      <c r="BS148" s="97"/>
      <c r="BT148" s="102"/>
      <c r="BU148" s="102"/>
      <c r="BV148" s="97"/>
      <c r="BW148" s="102"/>
      <c r="BX148" s="102"/>
      <c r="BY148" s="97"/>
      <c r="BZ148" s="102"/>
      <c r="CA148" s="102"/>
      <c r="CB148" s="97"/>
      <c r="CC148" s="102"/>
      <c r="CD148" s="102"/>
      <c r="CE148" s="97"/>
      <c r="CF148" s="102"/>
      <c r="CG148" s="102"/>
      <c r="CH148" s="97"/>
      <c r="CI148" s="102"/>
      <c r="CJ148" s="102"/>
      <c r="CK148" s="97"/>
      <c r="CL148" s="102"/>
      <c r="CM148" s="102"/>
      <c r="CN148" s="97"/>
      <c r="CO148" s="102"/>
      <c r="CP148" s="102"/>
      <c r="CQ148" s="97"/>
      <c r="CR148" s="102"/>
      <c r="CS148" s="102"/>
      <c r="CT148" s="97"/>
      <c r="CU148" s="102"/>
      <c r="CV148" s="102"/>
      <c r="CW148" s="97"/>
      <c r="CX148" s="102"/>
      <c r="CY148" s="102"/>
      <c r="CZ148" s="97"/>
      <c r="DA148" s="102"/>
      <c r="DB148" s="102"/>
      <c r="DC148" s="44"/>
      <c r="DD148" s="86"/>
      <c r="DE148" s="86"/>
    </row>
    <row r="149" spans="1:109">
      <c r="A149" s="48" t="s">
        <v>312</v>
      </c>
      <c r="B149" s="102" t="s">
        <v>487</v>
      </c>
      <c r="C149" s="102" t="s">
        <v>487</v>
      </c>
      <c r="D149" s="102">
        <f>'Combined P&amp;L (detailed)'!$C$105</f>
        <v>10092574</v>
      </c>
      <c r="E149" s="102" t="s">
        <v>487</v>
      </c>
      <c r="F149" s="102" t="s">
        <v>487</v>
      </c>
      <c r="G149" s="102">
        <f>'Combined P&amp;L (detailed)'!$D$105</f>
        <v>6266346</v>
      </c>
      <c r="H149" s="102" t="s">
        <v>487</v>
      </c>
      <c r="I149" s="102" t="s">
        <v>487</v>
      </c>
      <c r="J149" s="102">
        <f>'Combined P&amp;L (detailed)'!$E$105</f>
        <v>2631541</v>
      </c>
      <c r="K149" s="102" t="s">
        <v>487</v>
      </c>
      <c r="L149" s="102" t="s">
        <v>487</v>
      </c>
      <c r="M149" s="102">
        <f>'Combined P&amp;L (detailed)'!$F$105</f>
        <v>4189646</v>
      </c>
      <c r="N149" s="102" t="s">
        <v>487</v>
      </c>
      <c r="O149" s="102" t="s">
        <v>487</v>
      </c>
      <c r="P149" s="102">
        <f>'Combined P&amp;L (detailed)'!$G$105</f>
        <v>2321348</v>
      </c>
      <c r="Q149" s="102" t="s">
        <v>487</v>
      </c>
      <c r="R149" s="102" t="s">
        <v>487</v>
      </c>
      <c r="S149" s="102">
        <f>'Combined P&amp;L (detailed)'!$H$105</f>
        <v>1649707</v>
      </c>
      <c r="T149" s="102" t="s">
        <v>487</v>
      </c>
      <c r="U149" s="102" t="s">
        <v>487</v>
      </c>
      <c r="V149" s="102">
        <f>'Combined P&amp;L (detailed)'!$I$105</f>
        <v>1315804</v>
      </c>
      <c r="W149" s="102" t="s">
        <v>487</v>
      </c>
      <c r="X149" s="102" t="s">
        <v>487</v>
      </c>
      <c r="Y149" s="102">
        <f>'Combined P&amp;L (detailed)'!$J$105</f>
        <v>-4027219</v>
      </c>
      <c r="Z149" s="102" t="s">
        <v>487</v>
      </c>
      <c r="AA149" s="102" t="s">
        <v>487</v>
      </c>
      <c r="AB149" s="102">
        <f>'Combined P&amp;L (detailed)'!$K$105</f>
        <v>372084</v>
      </c>
      <c r="AC149" s="102" t="s">
        <v>487</v>
      </c>
      <c r="AD149" s="102" t="s">
        <v>487</v>
      </c>
      <c r="AE149" s="102">
        <f>'Combined P&amp;L (detailed)'!$L$105</f>
        <v>-979062</v>
      </c>
      <c r="AF149" s="102" t="s">
        <v>487</v>
      </c>
      <c r="AG149" s="102" t="s">
        <v>487</v>
      </c>
      <c r="AH149" s="102">
        <f>'Combined P&amp;L (detailed)'!$M$105</f>
        <v>1754888</v>
      </c>
      <c r="AI149" s="102" t="s">
        <v>487</v>
      </c>
      <c r="AJ149" s="102" t="s">
        <v>487</v>
      </c>
      <c r="AK149" s="102">
        <f>'Combined P&amp;L (detailed)'!$N$105</f>
        <v>3857551</v>
      </c>
      <c r="AL149" s="102" t="s">
        <v>487</v>
      </c>
      <c r="AM149" s="102" t="s">
        <v>487</v>
      </c>
      <c r="AN149" s="102">
        <f>'Combined P&amp;L (detailed)'!$O$105</f>
        <v>2593297</v>
      </c>
      <c r="AO149" s="102" t="s">
        <v>487</v>
      </c>
      <c r="AP149" s="102" t="s">
        <v>487</v>
      </c>
      <c r="AQ149" s="102">
        <f>'Combined P&amp;L (detailed)'!$P$105</f>
        <v>-1423691</v>
      </c>
      <c r="AR149" s="102" t="s">
        <v>487</v>
      </c>
      <c r="AS149" s="102" t="s">
        <v>487</v>
      </c>
      <c r="AT149" s="102">
        <f>'Combined P&amp;L (detailed)'!$Q$105</f>
        <v>-1248580</v>
      </c>
      <c r="AU149" s="102" t="s">
        <v>487</v>
      </c>
      <c r="AV149" s="102" t="s">
        <v>487</v>
      </c>
      <c r="AW149" s="102">
        <f>'Combined P&amp;L (detailed)'!$R$105</f>
        <v>-105515</v>
      </c>
      <c r="AX149" s="102" t="s">
        <v>487</v>
      </c>
      <c r="AY149" s="102" t="s">
        <v>487</v>
      </c>
      <c r="AZ149" s="102">
        <f>'Combined P&amp;L (detailed)'!$S$105</f>
        <v>-3159501</v>
      </c>
      <c r="BA149" s="102" t="s">
        <v>487</v>
      </c>
      <c r="BB149" s="102" t="s">
        <v>487</v>
      </c>
      <c r="BC149" s="102">
        <f>'Combined P&amp;L (detailed)'!$T$105</f>
        <v>-6583728</v>
      </c>
      <c r="BD149" s="102" t="s">
        <v>487</v>
      </c>
      <c r="BE149" s="102" t="s">
        <v>487</v>
      </c>
      <c r="BF149" s="102">
        <f>'Combined P&amp;L (detailed)'!$U$105</f>
        <v>-5374204</v>
      </c>
      <c r="BG149" s="102" t="s">
        <v>487</v>
      </c>
      <c r="BH149" s="102" t="s">
        <v>487</v>
      </c>
      <c r="BI149" s="102">
        <f>'Combined P&amp;L (detailed)'!$V$105</f>
        <v>1093998</v>
      </c>
      <c r="BJ149" s="102" t="s">
        <v>487</v>
      </c>
      <c r="BK149" s="102" t="s">
        <v>487</v>
      </c>
      <c r="BL149" s="102">
        <f>'Combined P&amp;L (detailed)'!VC$105</f>
        <v>0</v>
      </c>
      <c r="BM149" s="102" t="s">
        <v>487</v>
      </c>
      <c r="BN149" s="102" t="s">
        <v>487</v>
      </c>
      <c r="BO149" s="102">
        <f>'Combined P&amp;L (detailed)'!$X$105</f>
        <v>-1185453</v>
      </c>
      <c r="BP149" s="102" t="s">
        <v>487</v>
      </c>
      <c r="BQ149" s="102" t="s">
        <v>487</v>
      </c>
      <c r="BR149" s="102">
        <f>'Combined P&amp;L (detailed)'!$Y$105</f>
        <v>-3263735</v>
      </c>
      <c r="BS149" s="102" t="s">
        <v>487</v>
      </c>
      <c r="BT149" s="102" t="s">
        <v>487</v>
      </c>
      <c r="BU149" s="102">
        <f>'Combined P&amp;L (detailed)'!$Z$105</f>
        <v>4563792</v>
      </c>
      <c r="BV149" s="102" t="s">
        <v>487</v>
      </c>
      <c r="BW149" s="102" t="s">
        <v>487</v>
      </c>
      <c r="BX149" s="102">
        <f>'Combined P&amp;L (detailed)'!$AA$105</f>
        <v>-10972351</v>
      </c>
      <c r="BY149" s="102" t="s">
        <v>487</v>
      </c>
      <c r="BZ149" s="102" t="s">
        <v>487</v>
      </c>
      <c r="CA149" s="102">
        <f>'Combined P&amp;L (detailed)'!$AB$105</f>
        <v>-5919947</v>
      </c>
      <c r="CB149" s="102" t="s">
        <v>487</v>
      </c>
      <c r="CC149" s="102" t="s">
        <v>487</v>
      </c>
      <c r="CD149" s="102">
        <f>'Combined P&amp;L (detailed)'!$AC$105</f>
        <v>-11975798</v>
      </c>
      <c r="CE149" s="102" t="s">
        <v>487</v>
      </c>
      <c r="CF149" s="102" t="s">
        <v>487</v>
      </c>
      <c r="CG149" s="102">
        <f>'Combined P&amp;L (detailed)'!$AD$105</f>
        <v>-9392367</v>
      </c>
      <c r="CH149" s="102" t="s">
        <v>487</v>
      </c>
      <c r="CI149" s="102" t="s">
        <v>487</v>
      </c>
      <c r="CJ149" s="102">
        <f>'Combined P&amp;L (detailed)'!$AE$105</f>
        <v>-4448779</v>
      </c>
      <c r="CK149" s="102" t="s">
        <v>487</v>
      </c>
      <c r="CL149" s="102" t="s">
        <v>487</v>
      </c>
      <c r="CM149" s="102">
        <f>'Combined P&amp;L (detailed)'!$AF$105</f>
        <v>12301410</v>
      </c>
      <c r="CN149" s="102" t="s">
        <v>487</v>
      </c>
      <c r="CO149" s="102" t="s">
        <v>487</v>
      </c>
      <c r="CP149" s="102">
        <f>'Combined P&amp;L (detailed)'!$AG$105</f>
        <v>-6034632</v>
      </c>
      <c r="CQ149" s="102" t="s">
        <v>487</v>
      </c>
      <c r="CR149" s="102" t="s">
        <v>487</v>
      </c>
      <c r="CS149" s="102">
        <f>'Combined P&amp;L (detailed)'!$AH$105</f>
        <v>-30624141</v>
      </c>
      <c r="CT149" s="102" t="s">
        <v>487</v>
      </c>
      <c r="CU149" s="102" t="s">
        <v>487</v>
      </c>
      <c r="CV149" s="102">
        <f>'Combined P&amp;L (detailed)'!$AI$105</f>
        <v>-36401673</v>
      </c>
      <c r="CW149" s="102" t="s">
        <v>487</v>
      </c>
      <c r="CX149" s="102"/>
      <c r="CY149" s="102">
        <f>'Combined P&amp;L (detailed)'!$AJ$105</f>
        <v>-33406772</v>
      </c>
      <c r="CZ149" s="102" t="s">
        <v>487</v>
      </c>
      <c r="DA149" s="102" t="s">
        <v>487</v>
      </c>
      <c r="DB149" s="102">
        <f>'Combined P&amp;L (detailed)'!$AK$105</f>
        <v>-21873824</v>
      </c>
      <c r="DC149" s="86" t="s">
        <v>487</v>
      </c>
      <c r="DD149" s="86" t="s">
        <v>487</v>
      </c>
      <c r="DE149" s="86">
        <f>'Combined P&amp;L (detailed)'!$AL$105</f>
        <v>0</v>
      </c>
    </row>
    <row r="150" spans="1:109">
      <c r="A150" s="30"/>
      <c r="B150" s="94"/>
      <c r="C150" s="101"/>
      <c r="D150" s="94"/>
      <c r="E150" s="94"/>
      <c r="F150" s="101"/>
      <c r="G150" s="94"/>
      <c r="H150" s="94"/>
      <c r="I150" s="101"/>
      <c r="J150" s="94"/>
      <c r="K150" s="94"/>
      <c r="L150" s="101"/>
      <c r="M150" s="94"/>
      <c r="N150" s="94"/>
      <c r="O150" s="101"/>
      <c r="P150" s="94"/>
      <c r="Q150" s="94"/>
      <c r="R150" s="101"/>
      <c r="S150" s="94"/>
      <c r="T150" s="94"/>
      <c r="U150" s="101"/>
      <c r="V150" s="94"/>
      <c r="W150" s="94"/>
      <c r="X150" s="101"/>
      <c r="Y150" s="94"/>
      <c r="Z150" s="94"/>
      <c r="AA150" s="101"/>
      <c r="AB150" s="94"/>
      <c r="AC150" s="94"/>
      <c r="AD150" s="101"/>
      <c r="AE150" s="94"/>
      <c r="AF150" s="94"/>
      <c r="AG150" s="101"/>
      <c r="AH150" s="94"/>
      <c r="AI150" s="94"/>
      <c r="AJ150" s="101"/>
      <c r="AK150" s="94"/>
      <c r="AL150" s="94"/>
      <c r="AM150" s="101"/>
      <c r="AN150" s="94"/>
      <c r="AO150" s="94"/>
      <c r="AP150" s="101"/>
      <c r="AQ150" s="94"/>
      <c r="AR150" s="94"/>
      <c r="AS150" s="101"/>
      <c r="AT150" s="94"/>
      <c r="AU150" s="94"/>
      <c r="AV150" s="101"/>
      <c r="AW150" s="94"/>
      <c r="AX150" s="94"/>
      <c r="AY150" s="101"/>
      <c r="AZ150" s="94"/>
      <c r="BA150" s="94"/>
      <c r="BB150" s="101"/>
      <c r="BC150" s="94"/>
      <c r="BD150" s="94"/>
      <c r="BE150" s="101"/>
      <c r="BF150" s="94"/>
      <c r="BG150" s="94"/>
      <c r="BH150" s="101"/>
      <c r="BI150" s="94"/>
      <c r="BJ150" s="94"/>
      <c r="BK150" s="101"/>
      <c r="BL150" s="94"/>
      <c r="BM150" s="94"/>
      <c r="BN150" s="101"/>
      <c r="BO150" s="94"/>
      <c r="BP150" s="94"/>
      <c r="BQ150" s="101"/>
      <c r="BR150" s="94"/>
      <c r="BS150" s="94"/>
      <c r="BT150" s="101"/>
      <c r="BU150" s="94"/>
      <c r="BV150" s="94"/>
      <c r="BW150" s="101"/>
      <c r="BX150" s="94"/>
      <c r="BY150" s="94"/>
      <c r="BZ150" s="101"/>
      <c r="CA150" s="94"/>
      <c r="CB150" s="94"/>
      <c r="CC150" s="101"/>
      <c r="CD150" s="94"/>
      <c r="CE150" s="94"/>
      <c r="CF150" s="101"/>
      <c r="CG150" s="94"/>
      <c r="CH150" s="94"/>
      <c r="CI150" s="101"/>
      <c r="CJ150" s="94"/>
      <c r="CK150" s="94"/>
      <c r="CL150" s="101"/>
      <c r="CM150" s="94"/>
      <c r="CN150" s="94"/>
      <c r="CO150" s="101"/>
      <c r="CP150" s="94"/>
      <c r="CQ150" s="94"/>
      <c r="CR150" s="101"/>
      <c r="CS150" s="94"/>
      <c r="CT150" s="94"/>
      <c r="CU150" s="101"/>
      <c r="CV150" s="94"/>
      <c r="CW150" s="94"/>
      <c r="CX150" s="101"/>
      <c r="CY150" s="94"/>
      <c r="CZ150" s="94"/>
      <c r="DA150" s="101"/>
      <c r="DB150" s="94"/>
      <c r="DC150" s="37"/>
      <c r="DD150" s="85"/>
      <c r="DE150" s="37"/>
    </row>
    <row r="151" spans="1:109">
      <c r="A151" s="21" t="s">
        <v>320</v>
      </c>
      <c r="B151" s="92">
        <f>B5-B36</f>
        <v>-73829724</v>
      </c>
      <c r="C151" s="103">
        <f>'State and Local P&amp;L (detailed)'!$C$87</f>
        <v>932331</v>
      </c>
      <c r="D151" s="103">
        <f>SUM(B151:C151)</f>
        <v>-72897393</v>
      </c>
      <c r="E151" s="92">
        <f>E5-E36</f>
        <v>-78968132</v>
      </c>
      <c r="F151" s="103">
        <f>'State and Local P&amp;L (detailed)'!$D$87</f>
        <v>1907945</v>
      </c>
      <c r="G151" s="103">
        <f>SUM(E151:F151)</f>
        <v>-77060187</v>
      </c>
      <c r="H151" s="92">
        <f>H5-H36</f>
        <v>-127976890</v>
      </c>
      <c r="I151" s="103">
        <f>'State and Local P&amp;L (detailed)'!$E$87</f>
        <v>4173378</v>
      </c>
      <c r="J151" s="103">
        <f>SUM(H151:I151)</f>
        <v>-123803512</v>
      </c>
      <c r="K151" s="92">
        <f>K5-K36</f>
        <v>-207802139</v>
      </c>
      <c r="L151" s="103">
        <f>'State and Local P&amp;L (detailed)'!$F$87</f>
        <v>3405434</v>
      </c>
      <c r="M151" s="103">
        <f>SUM(K151:L151)</f>
        <v>-204396705</v>
      </c>
      <c r="N151" s="92">
        <f>N5-N36</f>
        <v>-185367340</v>
      </c>
      <c r="O151" s="103">
        <f>'State and Local P&amp;L (detailed)'!$G$87</f>
        <v>18599607</v>
      </c>
      <c r="P151" s="103">
        <f>SUM(N151:O151)</f>
        <v>-166767733</v>
      </c>
      <c r="Q151" s="92">
        <f>Q5-Q36</f>
        <v>-212307591</v>
      </c>
      <c r="R151" s="103">
        <f>'State and Local P&amp;L (detailed)'!$H$87</f>
        <v>24439622</v>
      </c>
      <c r="S151" s="103">
        <f>SUM(Q151:R151)</f>
        <v>-187867969</v>
      </c>
      <c r="T151" s="92">
        <f>T5-T36</f>
        <v>-221226843</v>
      </c>
      <c r="U151" s="103">
        <f>'State and Local P&amp;L (detailed)'!$I$87</f>
        <v>22721241</v>
      </c>
      <c r="V151" s="103">
        <f>SUM(T151:U151)</f>
        <v>-198505602</v>
      </c>
      <c r="W151" s="92">
        <f>W5-W36</f>
        <v>-149729512</v>
      </c>
      <c r="X151" s="103">
        <f>'State and Local P&amp;L (detailed)'!$J$87</f>
        <v>18447444</v>
      </c>
      <c r="Y151" s="103">
        <f>SUM(W151:X151)</f>
        <v>-131282068</v>
      </c>
      <c r="Z151" s="92">
        <f>Z5-Z36</f>
        <v>-155177954</v>
      </c>
      <c r="AA151" s="103">
        <f>'State and Local P&amp;L (detailed)'!$K$87</f>
        <v>5277626</v>
      </c>
      <c r="AB151" s="103">
        <f>SUM(Z151:AA151)</f>
        <v>-149900328</v>
      </c>
      <c r="AC151" s="92">
        <f>AC5-AC36</f>
        <v>-152638954</v>
      </c>
      <c r="AD151" s="103">
        <f>'State and Local P&amp;L (detailed)'!$L$87</f>
        <v>6074532</v>
      </c>
      <c r="AE151" s="103">
        <f>SUM(AC151:AD151)</f>
        <v>-146564422</v>
      </c>
      <c r="AF151" s="92">
        <f>AF5-AF36</f>
        <v>-221035714</v>
      </c>
      <c r="AG151" s="103">
        <f>'State and Local P&amp;L (detailed)'!$M$87</f>
        <v>832391</v>
      </c>
      <c r="AH151" s="103">
        <f>SUM(AF151:AG151)</f>
        <v>-220203323</v>
      </c>
      <c r="AI151" s="92">
        <f>AI5-AI36</f>
        <v>-269237741</v>
      </c>
      <c r="AJ151" s="103">
        <f>'State and Local P&amp;L (detailed)'!$N$87</f>
        <v>-32427217</v>
      </c>
      <c r="AK151" s="103">
        <f>SUM(AI151:AJ151)</f>
        <v>-301664958</v>
      </c>
      <c r="AL151" s="92">
        <f>AL5-AL36</f>
        <v>-290320643</v>
      </c>
      <c r="AM151" s="103">
        <f>'State and Local P&amp;L (detailed)'!$O$87</f>
        <v>27297933</v>
      </c>
      <c r="AN151" s="103">
        <f>SUM(AL151:AM151)</f>
        <v>-263022710</v>
      </c>
      <c r="AO151" s="92">
        <f>AO5-AO36</f>
        <v>-255051017</v>
      </c>
      <c r="AP151" s="103">
        <f>'State and Local P&amp;L (detailed)'!$P$87</f>
        <v>44724621</v>
      </c>
      <c r="AQ151" s="103">
        <f>SUM(AO151:AP151)</f>
        <v>-210326396</v>
      </c>
      <c r="AR151" s="92">
        <f>AR5-AR36</f>
        <v>-203186218</v>
      </c>
      <c r="AS151" s="103">
        <f>'State and Local P&amp;L (detailed)'!$Q$87</f>
        <v>52013012</v>
      </c>
      <c r="AT151" s="103">
        <f>SUM(AR151:AS151)</f>
        <v>-151173206</v>
      </c>
      <c r="AU151" s="92">
        <f>AU5-AU36</f>
        <v>-163952000</v>
      </c>
      <c r="AV151" s="103">
        <f>'State and Local P&amp;L (detailed)'!$R$87</f>
        <v>48710352</v>
      </c>
      <c r="AW151" s="103">
        <f>SUM(AU151:AV151)</f>
        <v>-115241648</v>
      </c>
      <c r="AX151" s="92">
        <f>AX5-AX36</f>
        <v>-107431000</v>
      </c>
      <c r="AY151" s="103">
        <f>'State and Local P&amp;L (detailed)'!$S$87</f>
        <v>95102389</v>
      </c>
      <c r="AZ151" s="103">
        <f>SUM(AX151:AY151)</f>
        <v>-12328611</v>
      </c>
      <c r="BA151" s="92">
        <f>BA5-BA36</f>
        <v>-21884000</v>
      </c>
      <c r="BB151" s="103">
        <f>'State and Local P&amp;L (detailed)'!$T$87</f>
        <v>129205020</v>
      </c>
      <c r="BC151" s="103">
        <f>SUM(BA151:BB151)</f>
        <v>107321020</v>
      </c>
      <c r="BD151" s="92">
        <f>BD5-BD36</f>
        <v>69270000</v>
      </c>
      <c r="BE151" s="103">
        <f>'State and Local P&amp;L (detailed)'!$U$87</f>
        <v>169722857</v>
      </c>
      <c r="BF151" s="103">
        <f>SUM(BD151:BE151)</f>
        <v>238992857</v>
      </c>
      <c r="BG151" s="92">
        <f>BG5-BG36</f>
        <v>125610000</v>
      </c>
      <c r="BH151" s="103">
        <f>'State and Local P&amp;L (detailed)'!$V$87</f>
        <v>149630473</v>
      </c>
      <c r="BI151" s="103">
        <f>SUM(BG151:BH151)</f>
        <v>275240473</v>
      </c>
      <c r="BJ151" s="92">
        <f>BJ5-BJ36</f>
        <v>236241000</v>
      </c>
      <c r="BK151" s="103">
        <f>'State and Local P&amp;L (detailed)'!$W$87</f>
        <v>173646566</v>
      </c>
      <c r="BL151" s="103">
        <f>SUM(BJ151:BK151)</f>
        <v>409887566</v>
      </c>
      <c r="BM151" s="92">
        <f>BM5-BM36</f>
        <v>128236000</v>
      </c>
      <c r="BN151" s="103">
        <f>'State and Local P&amp;L (detailed)'!$X$87</f>
        <v>-24408205</v>
      </c>
      <c r="BO151" s="103">
        <f>SUM(BM151:BN151)</f>
        <v>103827795</v>
      </c>
      <c r="BP151" s="92">
        <f>BP5-BP36</f>
        <v>-157758000</v>
      </c>
      <c r="BQ151" s="103">
        <f>'State and Local P&amp;L (detailed)'!$Y$87</f>
        <v>-245950182</v>
      </c>
      <c r="BR151" s="103">
        <f>SUM(BP151:BQ151)</f>
        <v>-403708182</v>
      </c>
      <c r="BS151" s="92">
        <f>BS5-BS36</f>
        <v>-377585000</v>
      </c>
      <c r="BT151" s="103">
        <f>'State and Local P&amp;L (detailed)'!$Z$87</f>
        <v>-108964279</v>
      </c>
      <c r="BU151" s="103">
        <f>SUM(BS151:BT151)</f>
        <v>-486549279</v>
      </c>
      <c r="BV151" s="92">
        <f>BV5-BV36</f>
        <v>-412727000</v>
      </c>
      <c r="BW151" s="103">
        <f>'State and Local P&amp;L (detailed)'!$AA$87</f>
        <v>153445521</v>
      </c>
      <c r="BX151" s="103">
        <f>SUM(BV151:BW151)</f>
        <v>-259281479</v>
      </c>
      <c r="BY151" s="92">
        <f>BY5-BY36</f>
        <v>-318346000</v>
      </c>
      <c r="BZ151" s="103">
        <f>'State and Local P&amp;L (detailed)'!$AB$87</f>
        <v>131790905</v>
      </c>
      <c r="CA151" s="103">
        <f>SUM(BY151:BZ151)</f>
        <v>-186555095</v>
      </c>
      <c r="CB151" s="92">
        <f>CB5-CB36</f>
        <v>-248181000</v>
      </c>
      <c r="CC151" s="103">
        <f>'State and Local P&amp;L (detailed)'!$AC$87</f>
        <v>218158074</v>
      </c>
      <c r="CD151" s="103">
        <f>SUM(CB151:CC151)</f>
        <v>-30022926</v>
      </c>
      <c r="CE151" s="92">
        <f>CE5-CE36</f>
        <v>-160701000</v>
      </c>
      <c r="CF151" s="103">
        <f>'State and Local P&amp;L (detailed)'!$AD$87</f>
        <v>368649664</v>
      </c>
      <c r="CG151" s="103">
        <f>SUM(CE151:CF151)</f>
        <v>207948664</v>
      </c>
      <c r="CH151" s="92">
        <f>CH5-CH36</f>
        <v>-458553000</v>
      </c>
      <c r="CI151" s="103">
        <f>'State and Local P&amp;L (detailed)'!$AE$87</f>
        <v>-246398022</v>
      </c>
      <c r="CJ151" s="103">
        <f>SUM(CH151:CI151)</f>
        <v>-704951022</v>
      </c>
      <c r="CK151" s="92">
        <f>CK5-CK36</f>
        <v>-1412688000</v>
      </c>
      <c r="CL151" s="103">
        <f>'State and Local P&amp;L (detailed)'!$AF$87</f>
        <v>-900662708</v>
      </c>
      <c r="CM151" s="103">
        <f>SUM(CK151:CL151)</f>
        <v>-2313350708</v>
      </c>
      <c r="CN151" s="92">
        <f>CN5-CN36</f>
        <v>-1294373000</v>
      </c>
      <c r="CO151" s="103">
        <f>'State and Local P&amp;L (detailed)'!$AG$87</f>
        <v>95301601</v>
      </c>
      <c r="CP151" s="103">
        <f>SUM(CN151:CO151)</f>
        <v>-1199071399</v>
      </c>
      <c r="CQ151" s="92">
        <f>CQ5-CQ36</f>
        <v>-1299590000</v>
      </c>
      <c r="CR151" s="103">
        <f>'State and Local P&amp;L (detailed)'!$AH$87</f>
        <v>282082280</v>
      </c>
      <c r="CS151" s="103">
        <f>SUM(CQ151:CR151)</f>
        <v>-1017507720</v>
      </c>
      <c r="CT151" s="92">
        <f>CT5-CT36</f>
        <v>-1086963000</v>
      </c>
      <c r="CU151" s="103">
        <f>'State and Local P&amp;L (detailed)'!$AI$87</f>
        <v>-139180831</v>
      </c>
      <c r="CV151" s="103">
        <f>SUM(CT151:CU151)</f>
        <v>-1226143831</v>
      </c>
      <c r="CW151" s="92">
        <f>CW5-CW36</f>
        <v>-679544000</v>
      </c>
      <c r="CX151" s="103">
        <f>'State and Local P&amp;L (detailed)'!$AJ$87</f>
        <v>187116365</v>
      </c>
      <c r="CY151" s="103">
        <f>SUM(CW151:CX151)</f>
        <v>-492427635</v>
      </c>
      <c r="CZ151" s="92">
        <f>CZ5-CZ36</f>
        <v>-484627000</v>
      </c>
      <c r="DA151" s="103">
        <f>'State and Local P&amp;L (detailed)'!$AK$87</f>
        <v>316256780</v>
      </c>
      <c r="DB151" s="103">
        <f>SUM(CZ151:DA151)</f>
        <v>-168370220</v>
      </c>
      <c r="DC151" s="36">
        <f>DC5-DC36</f>
        <v>-438406000</v>
      </c>
      <c r="DD151" s="87">
        <f>'State and Local P&amp;L (detailed)'!$AL$87</f>
        <v>0</v>
      </c>
      <c r="DE151" s="87">
        <f>SUM(DC151:DD151)</f>
        <v>-438406000</v>
      </c>
    </row>
    <row r="152" spans="1:109">
      <c r="A152" s="30"/>
      <c r="B152" s="94"/>
      <c r="C152" s="101"/>
      <c r="D152" s="94"/>
      <c r="E152" s="94"/>
      <c r="F152" s="101"/>
      <c r="G152" s="94"/>
      <c r="H152" s="94"/>
      <c r="I152" s="101"/>
      <c r="J152" s="94"/>
      <c r="K152" s="94"/>
      <c r="L152" s="101"/>
      <c r="M152" s="94"/>
      <c r="N152" s="94"/>
      <c r="O152" s="101"/>
      <c r="P152" s="94"/>
      <c r="Q152" s="94"/>
      <c r="R152" s="101"/>
      <c r="S152" s="94"/>
      <c r="T152" s="94"/>
      <c r="U152" s="101"/>
      <c r="V152" s="94"/>
      <c r="W152" s="94"/>
      <c r="X152" s="101"/>
      <c r="Y152" s="94"/>
      <c r="Z152" s="94"/>
      <c r="AA152" s="101"/>
      <c r="AB152" s="94"/>
      <c r="AC152" s="94"/>
      <c r="AD152" s="101"/>
      <c r="AE152" s="94"/>
      <c r="AF152" s="94"/>
      <c r="AG152" s="101"/>
      <c r="AH152" s="94"/>
      <c r="AI152" s="94"/>
      <c r="AJ152" s="101"/>
      <c r="AK152" s="94"/>
      <c r="AL152" s="94"/>
      <c r="AM152" s="101"/>
      <c r="AN152" s="94"/>
      <c r="AO152" s="94"/>
      <c r="AP152" s="101"/>
      <c r="AQ152" s="94"/>
      <c r="AR152" s="94"/>
      <c r="AS152" s="101"/>
      <c r="AT152" s="94"/>
      <c r="AU152" s="94"/>
      <c r="AV152" s="101"/>
      <c r="AW152" s="94"/>
      <c r="AX152" s="94"/>
      <c r="AY152" s="101"/>
      <c r="AZ152" s="94"/>
      <c r="BA152" s="94"/>
      <c r="BB152" s="101"/>
      <c r="BC152" s="94"/>
      <c r="BD152" s="94"/>
      <c r="BE152" s="101"/>
      <c r="BF152" s="94"/>
      <c r="BG152" s="94"/>
      <c r="BH152" s="101"/>
      <c r="BI152" s="94"/>
      <c r="BJ152" s="94"/>
      <c r="BK152" s="101"/>
      <c r="BL152" s="94"/>
      <c r="BM152" s="94"/>
      <c r="BN152" s="101"/>
      <c r="BO152" s="94"/>
      <c r="BP152" s="94"/>
      <c r="BQ152" s="101"/>
      <c r="BR152" s="94"/>
      <c r="BS152" s="94"/>
      <c r="BT152" s="101"/>
      <c r="BU152" s="94"/>
      <c r="BV152" s="94"/>
      <c r="BW152" s="101"/>
      <c r="BX152" s="94"/>
      <c r="BY152" s="94"/>
      <c r="BZ152" s="101"/>
      <c r="CA152" s="94"/>
      <c r="CB152" s="94"/>
      <c r="CC152" s="101"/>
      <c r="CD152" s="94"/>
      <c r="CE152" s="94"/>
      <c r="CF152" s="101"/>
      <c r="CG152" s="94"/>
      <c r="CH152" s="94"/>
      <c r="CI152" s="101"/>
      <c r="CJ152" s="94"/>
      <c r="CK152" s="94"/>
      <c r="CL152" s="101"/>
      <c r="CM152" s="94"/>
      <c r="CN152" s="94"/>
      <c r="CO152" s="101"/>
      <c r="CP152" s="94"/>
      <c r="CQ152" s="94"/>
      <c r="CR152" s="101"/>
      <c r="CS152" s="94"/>
      <c r="CT152" s="94"/>
      <c r="CU152" s="101"/>
      <c r="CV152" s="94"/>
      <c r="CW152" s="94"/>
      <c r="CX152" s="101"/>
      <c r="CY152" s="94"/>
      <c r="CZ152" s="94"/>
      <c r="DA152" s="101"/>
      <c r="DB152" s="94"/>
      <c r="DC152" s="37"/>
      <c r="DD152" s="85"/>
      <c r="DE152" s="37"/>
    </row>
    <row r="153" spans="1:109">
      <c r="A153" s="48" t="s">
        <v>488</v>
      </c>
      <c r="B153" s="97">
        <f>SUMIFS('Federal Data'!M2:M501,'Federal Data'!$C2:$C501,"Spending",'Federal Data'!$D2:$D501,"Grant")</f>
        <v>91385203</v>
      </c>
      <c r="C153" s="102" t="s">
        <v>487</v>
      </c>
      <c r="D153" s="102" t="s">
        <v>487</v>
      </c>
      <c r="E153" s="97">
        <f>SUMIFS('Federal Data'!N2:N501,'Federal Data'!$C2:$C501,"Spending",'Federal Data'!$D2:$D501,"Grant")</f>
        <v>94703683</v>
      </c>
      <c r="F153" s="102" t="s">
        <v>487</v>
      </c>
      <c r="G153" s="102" t="s">
        <v>487</v>
      </c>
      <c r="H153" s="97">
        <f>SUMIFS('Federal Data'!O2:O501,'Federal Data'!$C2:$C501,"Spending",'Federal Data'!$D2:$D501,"Grant")</f>
        <v>88134375</v>
      </c>
      <c r="I153" s="102" t="s">
        <v>487</v>
      </c>
      <c r="J153" s="102" t="s">
        <v>487</v>
      </c>
      <c r="K153" s="97">
        <f>SUMIFS('Federal Data'!P2:P501,'Federal Data'!$C2:$C501,"Spending",'Federal Data'!$D2:$D501,"Grant")</f>
        <v>92447649</v>
      </c>
      <c r="L153" s="102" t="s">
        <v>487</v>
      </c>
      <c r="M153" s="102" t="s">
        <v>487</v>
      </c>
      <c r="N153" s="97">
        <f>SUMIFS('Federal Data'!Q2:Q501,'Federal Data'!$C2:$C501,"Spending",'Federal Data'!$D2:$D501,"Grant")</f>
        <v>97552538</v>
      </c>
      <c r="O153" s="102" t="s">
        <v>487</v>
      </c>
      <c r="P153" s="102" t="s">
        <v>487</v>
      </c>
      <c r="Q153" s="97">
        <f>SUMIFS('Federal Data'!R2:R501,'Federal Data'!$C2:$C501,"Spending",'Federal Data'!$D2:$D501,"Grant")</f>
        <v>105851907</v>
      </c>
      <c r="R153" s="102" t="s">
        <v>487</v>
      </c>
      <c r="S153" s="102" t="s">
        <v>487</v>
      </c>
      <c r="T153" s="97">
        <f>SUMIFS('Federal Data'!S2:S501,'Federal Data'!$C2:$C501,"Spending",'Federal Data'!$D2:$D501,"Grant")</f>
        <v>112330930</v>
      </c>
      <c r="U153" s="102" t="s">
        <v>487</v>
      </c>
      <c r="V153" s="102" t="s">
        <v>487</v>
      </c>
      <c r="W153" s="97">
        <f>SUMIFS('Federal Data'!T2:T501,'Federal Data'!$C2:$C501,"Spending",'Federal Data'!$D2:$D501,"Grant")</f>
        <v>108399827</v>
      </c>
      <c r="X153" s="102" t="s">
        <v>487</v>
      </c>
      <c r="Y153" s="102" t="s">
        <v>487</v>
      </c>
      <c r="Z153" s="97">
        <f>SUMIFS('Federal Data'!U2:U501,'Federal Data'!$C2:$C501,"Spending",'Federal Data'!$D2:$D501,"Grant")</f>
        <v>115341544</v>
      </c>
      <c r="AA153" s="102" t="s">
        <v>487</v>
      </c>
      <c r="AB153" s="102" t="s">
        <v>487</v>
      </c>
      <c r="AC153" s="97">
        <f>SUMIFS('Federal Data'!V2:V501,'Federal Data'!$C2:$C501,"Spending",'Federal Data'!$D2:$D501,"Grant")</f>
        <v>121928237</v>
      </c>
      <c r="AD153" s="102" t="s">
        <v>487</v>
      </c>
      <c r="AE153" s="102" t="s">
        <v>487</v>
      </c>
      <c r="AF153" s="97">
        <f>SUMIFS('Federal Data'!W2:W501,'Federal Data'!$C2:$C501,"Spending",'Federal Data'!$D2:$D501,"Grant")</f>
        <v>135324943</v>
      </c>
      <c r="AG153" s="102" t="s">
        <v>487</v>
      </c>
      <c r="AH153" s="102" t="s">
        <v>487</v>
      </c>
      <c r="AI153" s="97">
        <f>SUMIFS('Federal Data'!X2:X501,'Federal Data'!$C2:$C501,"Spending",'Federal Data'!$D2:$D501,"Grant")</f>
        <v>154518646</v>
      </c>
      <c r="AJ153" s="102" t="s">
        <v>487</v>
      </c>
      <c r="AK153" s="102" t="s">
        <v>487</v>
      </c>
      <c r="AL153" s="97">
        <f>SUMIFS('Federal Data'!Y2:Y501,'Federal Data'!$C2:$C501,"Spending",'Federal Data'!$D2:$D501,"Grant")</f>
        <v>178065422</v>
      </c>
      <c r="AM153" s="102" t="s">
        <v>487</v>
      </c>
      <c r="AN153" s="102" t="s">
        <v>487</v>
      </c>
      <c r="AO153" s="97">
        <f>SUMIFS('Federal Data'!Z2:Z501,'Federal Data'!$C2:$C501,"Spending",'Federal Data'!$D2:$D501,"Grant")</f>
        <v>193612109</v>
      </c>
      <c r="AP153" s="102" t="s">
        <v>487</v>
      </c>
      <c r="AQ153" s="102" t="s">
        <v>487</v>
      </c>
      <c r="AR153" s="97">
        <f>SUMIFS('Federal Data'!AA2:AA501,'Federal Data'!$C2:$C501,"Spending",'Federal Data'!$D2:$D501,"Grant")</f>
        <v>210596182</v>
      </c>
      <c r="AS153" s="102" t="s">
        <v>487</v>
      </c>
      <c r="AT153" s="102" t="s">
        <v>487</v>
      </c>
      <c r="AU153" s="97">
        <f>SUMIFS('Federal Data'!AB2:AB501,'Federal Data'!$C2:$C501,"Spending",'Federal Data'!$D2:$D501,"Grant")</f>
        <v>224991000</v>
      </c>
      <c r="AV153" s="102" t="s">
        <v>487</v>
      </c>
      <c r="AW153" s="102" t="s">
        <v>487</v>
      </c>
      <c r="AX153" s="97">
        <f>SUMIFS('Federal Data'!AC2:AC501,'Federal Data'!$C2:$C501,"Spending",'Federal Data'!$D2:$D501,"Grant")</f>
        <v>227811000</v>
      </c>
      <c r="AY153" s="102" t="s">
        <v>487</v>
      </c>
      <c r="AZ153" s="102" t="s">
        <v>487</v>
      </c>
      <c r="BA153" s="97">
        <f>SUMIFS('Federal Data'!AD2:AD501,'Federal Data'!$C2:$C501,"Spending",'Federal Data'!$D2:$D501,"Grant")</f>
        <v>234160000</v>
      </c>
      <c r="BB153" s="102" t="s">
        <v>487</v>
      </c>
      <c r="BC153" s="102" t="s">
        <v>487</v>
      </c>
      <c r="BD153" s="97">
        <f>SUMIFS('Federal Data'!AE2:AE501,'Federal Data'!$C2:$C501,"Spending",'Federal Data'!$D2:$D501,"Grant")</f>
        <v>246128000</v>
      </c>
      <c r="BE153" s="102" t="s">
        <v>487</v>
      </c>
      <c r="BF153" s="102" t="s">
        <v>487</v>
      </c>
      <c r="BG153" s="97">
        <f>SUMIFS('Federal Data'!AF2:AF501,'Federal Data'!$C2:$C501,"Spending",'Federal Data'!$D2:$D501,"Grant")</f>
        <v>267886000</v>
      </c>
      <c r="BH153" s="102" t="s">
        <v>487</v>
      </c>
      <c r="BI153" s="102" t="s">
        <v>487</v>
      </c>
      <c r="BJ153" s="97">
        <f>SUMIFS('Federal Data'!AG2:AG501,'Federal Data'!$C2:$C501,"Spending",'Federal Data'!$D2:$D501,"Grant")</f>
        <v>285874000</v>
      </c>
      <c r="BK153" s="102" t="s">
        <v>487</v>
      </c>
      <c r="BL153" s="102" t="s">
        <v>487</v>
      </c>
      <c r="BM153" s="97">
        <f>SUMIFS('Federal Data'!AH2:AH501,'Federal Data'!$C2:$C501,"Spending",'Federal Data'!$D2:$D501,"Grant")</f>
        <v>318542000</v>
      </c>
      <c r="BN153" s="102" t="s">
        <v>487</v>
      </c>
      <c r="BO153" s="102" t="s">
        <v>487</v>
      </c>
      <c r="BP153" s="97">
        <f>SUMIFS('Federal Data'!AI2:AI501,'Federal Data'!$C2:$C501,"Spending",'Federal Data'!$D2:$D501,"Grant")</f>
        <v>352895000</v>
      </c>
      <c r="BQ153" s="102" t="s">
        <v>487</v>
      </c>
      <c r="BR153" s="102" t="s">
        <v>487</v>
      </c>
      <c r="BS153" s="97">
        <f>SUMIFS('Federal Data'!AJ2:AJ501,'Federal Data'!$C2:$C501,"Spending",'Federal Data'!$D2:$D501,"Grant")</f>
        <v>388542000</v>
      </c>
      <c r="BT153" s="102" t="s">
        <v>487</v>
      </c>
      <c r="BU153" s="102" t="s">
        <v>487</v>
      </c>
      <c r="BV153" s="97">
        <f>SUMIFS('Federal Data'!AK2:AK501,'Federal Data'!$C2:$C501,"Spending",'Federal Data'!$D2:$D501,"Grant")</f>
        <v>407512000</v>
      </c>
      <c r="BW153" s="102" t="s">
        <v>487</v>
      </c>
      <c r="BX153" s="102" t="s">
        <v>487</v>
      </c>
      <c r="BY153" s="97">
        <f>SUMIFS('Federal Data'!AL2:AL501,'Federal Data'!$C2:$C501,"Spending",'Federal Data'!$D2:$D501,"Grant")</f>
        <v>428018000</v>
      </c>
      <c r="BZ153" s="102" t="s">
        <v>487</v>
      </c>
      <c r="CA153" s="102" t="s">
        <v>487</v>
      </c>
      <c r="CB153" s="97">
        <f>SUMIFS('Federal Data'!AM2:AM501,'Federal Data'!$C2:$C501,"Spending",'Federal Data'!$D2:$D501,"Grant")</f>
        <v>434099000</v>
      </c>
      <c r="CC153" s="102" t="s">
        <v>487</v>
      </c>
      <c r="CD153" s="102" t="s">
        <v>487</v>
      </c>
      <c r="CE153" s="97">
        <f>SUMIFS('Federal Data'!AN2:AN501,'Federal Data'!$C2:$C501,"Spending",'Federal Data'!$D2:$D501,"Grant")</f>
        <v>443797000</v>
      </c>
      <c r="CF153" s="102" t="s">
        <v>487</v>
      </c>
      <c r="CG153" s="102" t="s">
        <v>487</v>
      </c>
      <c r="CH153" s="97">
        <f>SUMIFS('Federal Data'!AO2:AO501,'Federal Data'!$C2:$C501,"Spending",'Federal Data'!$D2:$D501,"Grant")</f>
        <v>461317000</v>
      </c>
      <c r="CI153" s="102" t="s">
        <v>487</v>
      </c>
      <c r="CJ153" s="102" t="s">
        <v>487</v>
      </c>
      <c r="CK153" s="97">
        <f>SUMIFS('Federal Data'!AP2:AP501,'Federal Data'!$C2:$C501,"Spending",'Federal Data'!$D2:$D501,"Grant")</f>
        <v>537991000</v>
      </c>
      <c r="CL153" s="102" t="s">
        <v>487</v>
      </c>
      <c r="CM153" s="102" t="s">
        <v>487</v>
      </c>
      <c r="CN153" s="97">
        <f>SUMIFS('Federal Data'!AQ2:AQ501,'Federal Data'!$C2:$C501,"Spending",'Federal Data'!$D2:$D501,"Grant")</f>
        <v>608390000</v>
      </c>
      <c r="CO153" s="102" t="s">
        <v>487</v>
      </c>
      <c r="CP153" s="102" t="s">
        <v>487</v>
      </c>
      <c r="CQ153" s="97">
        <f>SUMIFS('Federal Data'!AR2:AR501,'Federal Data'!$C2:$C501,"Spending",'Federal Data'!$D2:$D501,"Grant")</f>
        <v>606766000</v>
      </c>
      <c r="CR153" s="102" t="s">
        <v>487</v>
      </c>
      <c r="CS153" s="102" t="s">
        <v>487</v>
      </c>
      <c r="CT153" s="97">
        <f>SUMIFS('Federal Data'!AS2:AS501,'Federal Data'!$C2:$C501,"Spending",'Federal Data'!$D2:$D501,"Grant")</f>
        <v>544569000</v>
      </c>
      <c r="CU153" s="102" t="s">
        <v>487</v>
      </c>
      <c r="CV153" s="102" t="s">
        <v>487</v>
      </c>
      <c r="CW153" s="97">
        <f>SUMIFS('Federal Data'!AT2:AT501,'Federal Data'!$C2:$C501,"Spending",'Federal Data'!$D2:$D501,"Grant")</f>
        <v>546171000</v>
      </c>
      <c r="CX153" s="102" t="s">
        <v>487</v>
      </c>
      <c r="CY153" s="102" t="s">
        <v>487</v>
      </c>
      <c r="CZ153" s="97">
        <f>SUMIFS('Federal Data'!AU2:AU501,'Federal Data'!$C2:$C501,"Spending",'Federal Data'!$D2:$D501,"Grant")</f>
        <v>576967000</v>
      </c>
      <c r="DA153" s="102" t="s">
        <v>487</v>
      </c>
      <c r="DB153" s="102" t="s">
        <v>487</v>
      </c>
      <c r="DC153" s="44">
        <f>SUMIFS('Federal Data'!AV2:AV501,'Federal Data'!$C2:$C501,"Spending",'Federal Data'!$D2:$D501,"Grant")</f>
        <v>624354000</v>
      </c>
      <c r="DD153" s="86" t="s">
        <v>487</v>
      </c>
      <c r="DE153" s="86" t="s">
        <v>487</v>
      </c>
    </row>
    <row r="154" spans="1:109">
      <c r="A154" s="30"/>
      <c r="B154" s="37"/>
      <c r="C154" s="85"/>
      <c r="D154" s="85"/>
      <c r="E154" s="37"/>
      <c r="F154" s="85"/>
      <c r="G154" s="85"/>
      <c r="H154" s="37"/>
      <c r="I154" s="85"/>
      <c r="J154" s="85"/>
      <c r="K154" s="37"/>
      <c r="L154" s="85"/>
      <c r="M154" s="85"/>
      <c r="N154" s="37"/>
      <c r="O154" s="85"/>
      <c r="P154" s="85"/>
      <c r="Q154" s="37"/>
      <c r="R154" s="85"/>
      <c r="S154" s="85"/>
      <c r="T154" s="37"/>
      <c r="U154" s="85"/>
      <c r="V154" s="85"/>
      <c r="W154" s="37"/>
      <c r="X154" s="85"/>
      <c r="Y154" s="85"/>
      <c r="Z154" s="37"/>
      <c r="AA154" s="85"/>
      <c r="AB154" s="85"/>
      <c r="AC154" s="37"/>
      <c r="AD154" s="85"/>
      <c r="AE154" s="85"/>
      <c r="AF154" s="37"/>
      <c r="AG154" s="85"/>
      <c r="AH154" s="85"/>
      <c r="AI154" s="37"/>
      <c r="AJ154" s="85"/>
      <c r="AK154" s="85"/>
      <c r="AL154" s="37"/>
      <c r="AM154" s="85"/>
      <c r="AN154" s="85"/>
      <c r="AO154" s="37"/>
      <c r="AP154" s="85"/>
      <c r="AQ154" s="85"/>
      <c r="AR154" s="37"/>
      <c r="AS154" s="85"/>
      <c r="AT154" s="85"/>
      <c r="AU154" s="37"/>
      <c r="AV154" s="85"/>
      <c r="AW154" s="85"/>
      <c r="AX154" s="37"/>
      <c r="AY154" s="85"/>
      <c r="AZ154" s="85"/>
      <c r="BA154" s="37"/>
      <c r="BB154" s="85"/>
      <c r="BC154" s="85"/>
      <c r="BD154" s="37"/>
      <c r="BE154" s="85"/>
      <c r="BF154" s="85"/>
      <c r="BG154" s="37"/>
      <c r="BH154" s="85"/>
      <c r="BI154" s="85"/>
      <c r="BJ154" s="37"/>
      <c r="BK154" s="85"/>
      <c r="BL154" s="85"/>
      <c r="BM154" s="37"/>
      <c r="BN154" s="85"/>
      <c r="BO154" s="85"/>
      <c r="BP154" s="37"/>
      <c r="BQ154" s="85"/>
      <c r="BR154" s="85"/>
      <c r="BS154" s="37"/>
      <c r="BT154" s="85"/>
      <c r="BU154" s="85"/>
      <c r="BV154" s="37"/>
      <c r="BW154" s="85"/>
      <c r="BX154" s="85"/>
      <c r="BY154" s="37"/>
      <c r="BZ154" s="85"/>
      <c r="CA154" s="85"/>
      <c r="CB154" s="37"/>
      <c r="CC154" s="85"/>
      <c r="CD154" s="85"/>
      <c r="CE154" s="37"/>
      <c r="CF154" s="85"/>
      <c r="CG154" s="85"/>
      <c r="CH154" s="37"/>
      <c r="CI154" s="85"/>
      <c r="CJ154" s="85"/>
      <c r="CK154" s="37"/>
      <c r="CL154" s="85"/>
      <c r="CM154" s="85"/>
      <c r="CN154" s="37"/>
      <c r="CO154" s="85"/>
      <c r="CP154" s="85"/>
      <c r="CQ154" s="37"/>
      <c r="CR154" s="85"/>
      <c r="CS154" s="85"/>
      <c r="CT154" s="37"/>
      <c r="CU154" s="85"/>
      <c r="CV154" s="85"/>
      <c r="CW154" s="37"/>
      <c r="CX154" s="85"/>
      <c r="CY154" s="85"/>
      <c r="CZ154" s="37"/>
      <c r="DA154" s="85"/>
      <c r="DB154" s="85"/>
      <c r="DC154" s="37"/>
      <c r="DD154" s="85"/>
      <c r="DE154" s="85"/>
    </row>
    <row r="155" spans="1:109" outlineLevel="1">
      <c r="A155" s="33" t="s">
        <v>135</v>
      </c>
      <c r="B155" s="37"/>
      <c r="C155" s="85"/>
      <c r="D155" s="37"/>
      <c r="E155" s="37"/>
      <c r="F155" s="85"/>
      <c r="G155" s="37"/>
      <c r="H155" s="37"/>
      <c r="I155" s="85"/>
      <c r="J155" s="37"/>
      <c r="K155" s="37"/>
      <c r="L155" s="85"/>
      <c r="M155" s="37"/>
      <c r="N155" s="37"/>
      <c r="O155" s="85"/>
      <c r="P155" s="37"/>
      <c r="Q155" s="37"/>
      <c r="R155" s="85"/>
      <c r="S155" s="37"/>
      <c r="T155" s="37"/>
      <c r="U155" s="85"/>
      <c r="V155" s="37"/>
      <c r="W155" s="37"/>
      <c r="X155" s="85"/>
      <c r="Y155" s="37"/>
      <c r="Z155" s="37"/>
      <c r="AA155" s="85"/>
      <c r="AB155" s="37"/>
      <c r="AC155" s="37"/>
      <c r="AD155" s="85"/>
      <c r="AE155" s="37"/>
      <c r="AF155" s="37"/>
      <c r="AG155" s="85"/>
      <c r="AH155" s="37"/>
      <c r="AI155" s="37"/>
      <c r="AJ155" s="85"/>
      <c r="AK155" s="37"/>
      <c r="AL155" s="37"/>
      <c r="AM155" s="85"/>
      <c r="AN155" s="37"/>
      <c r="AO155" s="37"/>
      <c r="AP155" s="85"/>
      <c r="AQ155" s="37"/>
      <c r="AR155" s="37"/>
      <c r="AS155" s="85"/>
      <c r="AT155" s="37"/>
      <c r="AU155" s="37"/>
      <c r="AV155" s="85"/>
      <c r="AW155" s="37"/>
      <c r="AX155" s="37"/>
      <c r="AY155" s="85"/>
      <c r="AZ155" s="37"/>
      <c r="BA155" s="37"/>
      <c r="BB155" s="85"/>
      <c r="BC155" s="37"/>
      <c r="BD155" s="37"/>
      <c r="BE155" s="85"/>
      <c r="BF155" s="37"/>
      <c r="BG155" s="37"/>
      <c r="BH155" s="85"/>
      <c r="BI155" s="37"/>
      <c r="BJ155" s="37"/>
      <c r="BK155" s="85"/>
      <c r="BL155" s="37"/>
      <c r="BM155" s="37"/>
      <c r="BN155" s="85"/>
      <c r="BO155" s="37"/>
      <c r="BP155" s="37"/>
      <c r="BQ155" s="85"/>
      <c r="BR155" s="37"/>
      <c r="BS155" s="37"/>
      <c r="BT155" s="85"/>
      <c r="BU155" s="37"/>
      <c r="BV155" s="37"/>
      <c r="BW155" s="85"/>
      <c r="BX155" s="37"/>
      <c r="BY155" s="37"/>
      <c r="BZ155" s="85"/>
      <c r="CA155" s="37"/>
      <c r="CB155" s="37"/>
      <c r="CC155" s="85"/>
      <c r="CD155" s="37"/>
      <c r="CE155" s="37"/>
      <c r="CF155" s="85"/>
      <c r="CG155" s="37"/>
      <c r="CH155" s="37"/>
      <c r="CI155" s="85"/>
      <c r="CJ155" s="37"/>
      <c r="CK155" s="37"/>
      <c r="CL155" s="85"/>
      <c r="CM155" s="37"/>
      <c r="CN155" s="37"/>
      <c r="CO155" s="85"/>
      <c r="CP155" s="37"/>
      <c r="CQ155" s="37"/>
      <c r="CR155" s="85"/>
      <c r="CS155" s="37"/>
      <c r="CT155" s="37"/>
      <c r="CU155" s="85"/>
      <c r="CV155" s="37"/>
      <c r="CW155" s="37"/>
      <c r="CX155" s="85"/>
      <c r="CY155" s="37"/>
      <c r="CZ155" s="37"/>
      <c r="DA155" s="85"/>
      <c r="DB155" s="37"/>
      <c r="DC155" s="37"/>
      <c r="DD155" s="85"/>
      <c r="DE155" s="37"/>
    </row>
    <row r="156" spans="1:109" outlineLevel="1">
      <c r="A156" s="30"/>
      <c r="B156" s="37"/>
      <c r="C156" s="85"/>
      <c r="D156" s="37"/>
      <c r="E156" s="37"/>
      <c r="F156" s="85"/>
      <c r="G156" s="37"/>
      <c r="H156" s="37"/>
      <c r="I156" s="85"/>
      <c r="J156" s="37"/>
      <c r="K156" s="37"/>
      <c r="L156" s="85"/>
      <c r="M156" s="37"/>
      <c r="N156" s="37"/>
      <c r="O156" s="85"/>
      <c r="P156" s="37"/>
      <c r="Q156" s="37"/>
      <c r="R156" s="85"/>
      <c r="S156" s="37"/>
      <c r="T156" s="37"/>
      <c r="U156" s="85"/>
      <c r="V156" s="37"/>
      <c r="W156" s="37"/>
      <c r="X156" s="85"/>
      <c r="Y156" s="37"/>
      <c r="Z156" s="37"/>
      <c r="AA156" s="85"/>
      <c r="AB156" s="37"/>
      <c r="AC156" s="37"/>
      <c r="AD156" s="85"/>
      <c r="AE156" s="37"/>
      <c r="AF156" s="37"/>
      <c r="AG156" s="85"/>
      <c r="AH156" s="37"/>
      <c r="AI156" s="37"/>
      <c r="AJ156" s="85"/>
      <c r="AK156" s="37"/>
      <c r="AL156" s="37"/>
      <c r="AM156" s="85"/>
      <c r="AN156" s="37"/>
      <c r="AO156" s="37"/>
      <c r="AP156" s="85"/>
      <c r="AQ156" s="37"/>
      <c r="AR156" s="37"/>
      <c r="AS156" s="85"/>
      <c r="AT156" s="37"/>
      <c r="AU156" s="37"/>
      <c r="AV156" s="85"/>
      <c r="AW156" s="37"/>
      <c r="AX156" s="37"/>
      <c r="AY156" s="85"/>
      <c r="AZ156" s="37"/>
      <c r="BA156" s="37"/>
      <c r="BB156" s="85"/>
      <c r="BC156" s="37"/>
      <c r="BD156" s="37"/>
      <c r="BE156" s="85"/>
      <c r="BF156" s="37"/>
      <c r="BG156" s="37"/>
      <c r="BH156" s="85"/>
      <c r="BI156" s="37"/>
      <c r="BJ156" s="37"/>
      <c r="BK156" s="85"/>
      <c r="BL156" s="37"/>
      <c r="BM156" s="37"/>
      <c r="BN156" s="85"/>
      <c r="BO156" s="37"/>
      <c r="BP156" s="37"/>
      <c r="BQ156" s="85"/>
      <c r="BR156" s="37"/>
      <c r="BS156" s="37"/>
      <c r="BT156" s="85"/>
      <c r="BU156" s="37"/>
      <c r="BV156" s="37"/>
      <c r="BW156" s="85"/>
      <c r="BX156" s="37"/>
      <c r="BY156" s="37"/>
      <c r="BZ156" s="85"/>
      <c r="CA156" s="37"/>
      <c r="CB156" s="37"/>
      <c r="CC156" s="85"/>
      <c r="CD156" s="37"/>
      <c r="CE156" s="37"/>
      <c r="CF156" s="85"/>
      <c r="CG156" s="37"/>
      <c r="CH156" s="37"/>
      <c r="CI156" s="85"/>
      <c r="CJ156" s="37"/>
      <c r="CK156" s="37"/>
      <c r="CL156" s="85"/>
      <c r="CM156" s="37"/>
      <c r="CN156" s="37"/>
      <c r="CO156" s="85"/>
      <c r="CP156" s="37"/>
      <c r="CQ156" s="37"/>
      <c r="CR156" s="85"/>
      <c r="CS156" s="37"/>
      <c r="CT156" s="37"/>
      <c r="CU156" s="85"/>
      <c r="CV156" s="37"/>
      <c r="CW156" s="37"/>
      <c r="CX156" s="85"/>
      <c r="CY156" s="37"/>
      <c r="CZ156" s="37"/>
      <c r="DA156" s="85"/>
      <c r="DB156" s="37"/>
      <c r="DC156" s="37"/>
      <c r="DD156" s="85"/>
      <c r="DE156" s="37"/>
    </row>
    <row r="157" spans="1:109" outlineLevel="1">
      <c r="A157" s="30" t="s">
        <v>136</v>
      </c>
      <c r="B157" s="37"/>
      <c r="C157" s="85"/>
      <c r="D157" s="37"/>
      <c r="E157" s="37"/>
      <c r="F157" s="85"/>
      <c r="G157" s="37"/>
      <c r="H157" s="37"/>
      <c r="I157" s="85"/>
      <c r="J157" s="37"/>
      <c r="K157" s="37"/>
      <c r="L157" s="85"/>
      <c r="M157" s="37"/>
      <c r="N157" s="37"/>
      <c r="O157" s="85"/>
      <c r="P157" s="37"/>
      <c r="Q157" s="37"/>
      <c r="R157" s="85"/>
      <c r="S157" s="37"/>
      <c r="T157" s="37"/>
      <c r="U157" s="85"/>
      <c r="V157" s="37"/>
      <c r="W157" s="37"/>
      <c r="X157" s="85"/>
      <c r="Y157" s="37"/>
      <c r="Z157" s="37"/>
      <c r="AA157" s="85"/>
      <c r="AB157" s="37"/>
      <c r="AC157" s="37"/>
      <c r="AD157" s="85"/>
      <c r="AE157" s="37"/>
      <c r="AF157" s="37"/>
      <c r="AG157" s="85"/>
      <c r="AH157" s="37"/>
      <c r="AI157" s="37"/>
      <c r="AJ157" s="85"/>
      <c r="AK157" s="37"/>
      <c r="AL157" s="37"/>
      <c r="AM157" s="85"/>
      <c r="AN157" s="37"/>
      <c r="AO157" s="37"/>
      <c r="AP157" s="85"/>
      <c r="AQ157" s="37"/>
      <c r="AR157" s="37"/>
      <c r="AS157" s="85"/>
      <c r="AT157" s="37"/>
      <c r="AU157" s="37"/>
      <c r="AV157" s="85"/>
      <c r="AW157" s="37"/>
      <c r="AX157" s="37"/>
      <c r="AY157" s="85"/>
      <c r="AZ157" s="37"/>
      <c r="BA157" s="37"/>
      <c r="BB157" s="85"/>
      <c r="BC157" s="37"/>
      <c r="BD157" s="37"/>
      <c r="BE157" s="85"/>
      <c r="BF157" s="37"/>
      <c r="BG157" s="37"/>
      <c r="BH157" s="85"/>
      <c r="BI157" s="37"/>
      <c r="BJ157" s="37"/>
      <c r="BK157" s="85"/>
      <c r="BL157" s="37"/>
      <c r="BM157" s="37"/>
      <c r="BN157" s="85"/>
      <c r="BO157" s="37"/>
      <c r="BP157" s="37"/>
      <c r="BQ157" s="85"/>
      <c r="BR157" s="37"/>
      <c r="BS157" s="37"/>
      <c r="BT157" s="85"/>
      <c r="BU157" s="37"/>
      <c r="BV157" s="37"/>
      <c r="BW157" s="85"/>
      <c r="BX157" s="37"/>
      <c r="BY157" s="37"/>
      <c r="BZ157" s="85"/>
      <c r="CA157" s="37"/>
      <c r="CB157" s="37"/>
      <c r="CC157" s="85"/>
      <c r="CD157" s="37"/>
      <c r="CE157" s="37"/>
      <c r="CF157" s="85"/>
      <c r="CG157" s="37"/>
      <c r="CH157" s="37"/>
      <c r="CI157" s="85"/>
      <c r="CJ157" s="37"/>
      <c r="CK157" s="37"/>
      <c r="CL157" s="85"/>
      <c r="CM157" s="37"/>
      <c r="CN157" s="37"/>
      <c r="CO157" s="85"/>
      <c r="CP157" s="37"/>
      <c r="CQ157" s="37"/>
      <c r="CR157" s="85"/>
      <c r="CS157" s="37"/>
      <c r="CT157" s="37"/>
      <c r="CU157" s="85"/>
      <c r="CV157" s="37"/>
      <c r="CW157" s="37"/>
      <c r="CX157" s="85"/>
      <c r="CY157" s="37"/>
      <c r="CZ157" s="37"/>
      <c r="DA157" s="85"/>
      <c r="DB157" s="37"/>
      <c r="DC157" s="37"/>
      <c r="DD157" s="85"/>
      <c r="DE157" s="37"/>
    </row>
    <row r="158" spans="1:109" outlineLevel="1">
      <c r="A158" s="27" t="s">
        <v>34</v>
      </c>
      <c r="B158" s="37">
        <f>SUMIFS('Federal Data'!M2:M501,'Federal Data'!$F2:$F501,"Child and Social Services",'Federal Data'!$D2:$D501,"Grant")</f>
        <v>13087060</v>
      </c>
      <c r="C158" s="85"/>
      <c r="D158" s="37"/>
      <c r="E158" s="37">
        <f>SUMIFS('Federal Data'!N2:N501,'Federal Data'!$F2:$F501,"Child and Social Services",'Federal Data'!$D2:$D501,"Grant")</f>
        <v>14625185</v>
      </c>
      <c r="F158" s="85"/>
      <c r="G158" s="37"/>
      <c r="H158" s="37">
        <f>SUMIFS('Federal Data'!O2:O501,'Federal Data'!$F2:$F501,"Child and Social Services",'Federal Data'!$D2:$D501,"Grant")</f>
        <v>13598580</v>
      </c>
      <c r="I158" s="85"/>
      <c r="J158" s="37"/>
      <c r="K158" s="37">
        <f>SUMIFS('Federal Data'!P2:P501,'Federal Data'!$F2:$F501,"Child and Social Services",'Federal Data'!$D2:$D501,"Grant")</f>
        <v>14114632</v>
      </c>
      <c r="L158" s="85"/>
      <c r="M158" s="37"/>
      <c r="N158" s="37">
        <f>SUMIFS('Federal Data'!Q2:Q501,'Federal Data'!$F2:$F501,"Child and Social Services",'Federal Data'!$D2:$D501,"Grant")</f>
        <v>15595614</v>
      </c>
      <c r="O158" s="85"/>
      <c r="P158" s="37"/>
      <c r="Q158" s="37">
        <f>SUMIFS('Federal Data'!R2:R501,'Federal Data'!$F2:$F501,"Child and Social Services",'Federal Data'!$D2:$D501,"Grant")</f>
        <v>15560181</v>
      </c>
      <c r="R158" s="85"/>
      <c r="S158" s="37"/>
      <c r="T158" s="37">
        <f>SUMIFS('Federal Data'!S2:S501,'Federal Data'!$F2:$F501,"Child and Social Services",'Federal Data'!$D2:$D501,"Grant")</f>
        <v>16718591</v>
      </c>
      <c r="U158" s="85"/>
      <c r="V158" s="37"/>
      <c r="W158" s="37">
        <f>SUMIFS('Federal Data'!T2:T501,'Federal Data'!$F2:$F501,"Child and Social Services",'Federal Data'!$D2:$D501,"Grant")</f>
        <v>17420891</v>
      </c>
      <c r="X158" s="85"/>
      <c r="Y158" s="37"/>
      <c r="Z158" s="37">
        <f>SUMIFS('Federal Data'!U2:U501,'Federal Data'!$F2:$F501,"Child and Social Services",'Federal Data'!$D2:$D501,"Grant")</f>
        <v>18242320</v>
      </c>
      <c r="AA158" s="85"/>
      <c r="AB158" s="37"/>
      <c r="AC158" s="37">
        <f>SUMIFS('Federal Data'!V2:V501,'Federal Data'!$F2:$F501,"Child and Social Services",'Federal Data'!$D2:$D501,"Grant")</f>
        <v>19938495</v>
      </c>
      <c r="AD158" s="85"/>
      <c r="AE158" s="37"/>
      <c r="AF158" s="37">
        <f>SUMIFS('Federal Data'!W2:W501,'Federal Data'!$F2:$F501,"Child and Social Services",'Federal Data'!$D2:$D501,"Grant")</f>
        <v>21358154</v>
      </c>
      <c r="AG158" s="85"/>
      <c r="AH158" s="37"/>
      <c r="AI158" s="37">
        <f>SUMIFS('Federal Data'!X2:X501,'Federal Data'!$F2:$F501,"Child and Social Services",'Federal Data'!$D2:$D501,"Grant")</f>
        <v>24379447</v>
      </c>
      <c r="AJ158" s="85"/>
      <c r="AK158" s="37"/>
      <c r="AL158" s="37">
        <f>SUMIFS('Federal Data'!Y2:Y501,'Federal Data'!$F2:$F501,"Child and Social Services",'Federal Data'!$D2:$D501,"Grant")</f>
        <v>26715740</v>
      </c>
      <c r="AM158" s="85"/>
      <c r="AN158" s="37"/>
      <c r="AO158" s="37">
        <f>SUMIFS('Federal Data'!Z2:Z501,'Federal Data'!$F2:$F501,"Child and Social Services",'Federal Data'!$D2:$D501,"Grant")</f>
        <v>27393067</v>
      </c>
      <c r="AP158" s="85"/>
      <c r="AQ158" s="37"/>
      <c r="AR158" s="37">
        <f>SUMIFS('Federal Data'!AA2:AA501,'Federal Data'!$F2:$F501,"Child and Social Services",'Federal Data'!$D2:$D501,"Grant")</f>
        <v>29872214</v>
      </c>
      <c r="AS158" s="85"/>
      <c r="AT158" s="37"/>
      <c r="AU158" s="37">
        <f>SUMIFS('Federal Data'!AB2:AB501,'Federal Data'!$F2:$F501,"Child and Social Services",'Federal Data'!$D2:$D501,"Grant")</f>
        <v>31289000</v>
      </c>
      <c r="AV158" s="85"/>
      <c r="AW158" s="37"/>
      <c r="AX158" s="37">
        <f>SUMIFS('Federal Data'!AC2:AC501,'Federal Data'!$F2:$F501,"Child and Social Services",'Federal Data'!$D2:$D501,"Grant")</f>
        <v>30695000</v>
      </c>
      <c r="AY158" s="85"/>
      <c r="AZ158" s="37"/>
      <c r="BA158" s="37">
        <f>SUMIFS('Federal Data'!AD2:AD501,'Federal Data'!$F2:$F501,"Child and Social Services",'Federal Data'!$D2:$D501,"Grant")</f>
        <v>20329000</v>
      </c>
      <c r="BB158" s="85"/>
      <c r="BC158" s="37"/>
      <c r="BD158" s="37">
        <f>SUMIFS('Federal Data'!AE2:AE501,'Federal Data'!$F2:$F501,"Child and Social Services",'Federal Data'!$D2:$D501,"Grant")</f>
        <v>17611000</v>
      </c>
      <c r="BE158" s="85"/>
      <c r="BF158" s="37"/>
      <c r="BG158" s="37">
        <f>SUMIFS('Federal Data'!AF2:AF501,'Federal Data'!$F2:$F501,"Child and Social Services",'Federal Data'!$D2:$D501,"Grant")</f>
        <v>18831000</v>
      </c>
      <c r="BH158" s="85"/>
      <c r="BI158" s="37"/>
      <c r="BJ158" s="37">
        <f>SUMIFS('Federal Data'!AG2:AG501,'Federal Data'!$F2:$F501,"Child and Social Services",'Federal Data'!$D2:$D501,"Grant")</f>
        <v>19996000</v>
      </c>
      <c r="BK158" s="85"/>
      <c r="BL158" s="37"/>
      <c r="BM158" s="37">
        <f>SUMIFS('Federal Data'!AH2:AH501,'Federal Data'!$F2:$F501,"Child and Social Services",'Federal Data'!$D2:$D501,"Grant")</f>
        <v>21907000</v>
      </c>
      <c r="BN158" s="85"/>
      <c r="BO158" s="37"/>
      <c r="BP158" s="37">
        <f>SUMIFS('Federal Data'!AI2:AI501,'Federal Data'!$F2:$F501,"Child and Social Services",'Federal Data'!$D2:$D501,"Grant")</f>
        <v>23695000</v>
      </c>
      <c r="BQ158" s="85"/>
      <c r="BR158" s="37"/>
      <c r="BS158" s="37">
        <f>SUMIFS('Federal Data'!AJ2:AJ501,'Federal Data'!$F2:$F501,"Child and Social Services",'Federal Data'!$D2:$D501,"Grant")</f>
        <v>24398000</v>
      </c>
      <c r="BT158" s="85"/>
      <c r="BU158" s="37"/>
      <c r="BV158" s="37">
        <f>SUMIFS('Federal Data'!AK2:AK501,'Federal Data'!$F2:$F501,"Child and Social Services",'Federal Data'!$D2:$D501,"Grant")</f>
        <v>24874000</v>
      </c>
      <c r="BW158" s="85"/>
      <c r="BX158" s="37"/>
      <c r="BY158" s="37">
        <f>SUMIFS('Federal Data'!AL2:AL501,'Federal Data'!$F2:$F501,"Child and Social Services",'Federal Data'!$D2:$D501,"Grant")</f>
        <v>25524000</v>
      </c>
      <c r="BZ158" s="85"/>
      <c r="CA158" s="37"/>
      <c r="CB158" s="37">
        <f>SUMIFS('Federal Data'!AM2:AM501,'Federal Data'!$F2:$F501,"Child and Social Services",'Federal Data'!$D2:$D501,"Grant")</f>
        <v>25684000</v>
      </c>
      <c r="CC158" s="85"/>
      <c r="CD158" s="37"/>
      <c r="CE158" s="37">
        <f>SUMIFS('Federal Data'!AN2:AN501,'Federal Data'!$F2:$F501,"Child and Social Services",'Federal Data'!$D2:$D501,"Grant")</f>
        <v>26302000</v>
      </c>
      <c r="CF158" s="85"/>
      <c r="CG158" s="37"/>
      <c r="CH158" s="37">
        <f>SUMIFS('Federal Data'!AO2:AO501,'Federal Data'!$F2:$F501,"Child and Social Services",'Federal Data'!$D2:$D501,"Grant")</f>
        <v>26652000</v>
      </c>
      <c r="CI158" s="85"/>
      <c r="CJ158" s="37"/>
      <c r="CK158" s="37">
        <f>SUMIFS('Federal Data'!AP2:AP501,'Federal Data'!$F2:$F501,"Child and Social Services",'Federal Data'!$D2:$D501,"Grant")</f>
        <v>27047000</v>
      </c>
      <c r="CL158" s="85"/>
      <c r="CM158" s="37"/>
      <c r="CN158" s="37">
        <f>SUMIFS('Federal Data'!AQ2:AQ501,'Federal Data'!$F2:$F501,"Child and Social Services",'Federal Data'!$D2:$D501,"Grant")</f>
        <v>29228000</v>
      </c>
      <c r="CO158" s="85"/>
      <c r="CP158" s="37"/>
      <c r="CQ158" s="37">
        <f>SUMIFS('Federal Data'!AR2:AR501,'Federal Data'!$F2:$F501,"Child and Social Services",'Federal Data'!$D2:$D501,"Grant")</f>
        <v>28453000</v>
      </c>
      <c r="CR158" s="85"/>
      <c r="CS158" s="37"/>
      <c r="CT158" s="37">
        <f>SUMIFS('Federal Data'!AS2:AS501,'Federal Data'!$F2:$F501,"Child and Social Services",'Federal Data'!$D2:$D501,"Grant")</f>
        <v>27387000</v>
      </c>
      <c r="CU158" s="85"/>
      <c r="CV158" s="37"/>
      <c r="CW158" s="37">
        <f>SUMIFS('Federal Data'!AT2:AT501,'Federal Data'!$F2:$F501,"Child and Social Services",'Federal Data'!$D2:$D501,"Grant")</f>
        <v>27618000</v>
      </c>
      <c r="CX158" s="85"/>
      <c r="CY158" s="37"/>
      <c r="CZ158" s="37">
        <f>SUMIFS('Federal Data'!AU2:AU501,'Federal Data'!$F2:$F501,"Child and Social Services",'Federal Data'!$D2:$D501,"Grant")</f>
        <v>26968000</v>
      </c>
      <c r="DA158" s="85"/>
      <c r="DB158" s="37"/>
      <c r="DC158" s="37">
        <f>SUMIFS('Federal Data'!AV2:AV501,'Federal Data'!$F2:$F501,"Child and Social Services",'Federal Data'!$D2:$D501,"Grant")</f>
        <v>28418000</v>
      </c>
      <c r="DD158" s="85"/>
      <c r="DE158" s="37"/>
    </row>
    <row r="159" spans="1:109" outlineLevel="1">
      <c r="A159" s="27" t="s">
        <v>64</v>
      </c>
      <c r="B159" s="37">
        <f>SUMIFS('Federal Data'!M2:M501,'Federal Data'!$G2:$G501,"Transportation",'Federal Data'!$D2:$D501,"Grant")</f>
        <v>13021518</v>
      </c>
      <c r="C159" s="85"/>
      <c r="D159" s="37"/>
      <c r="E159" s="37">
        <f>SUMIFS('Federal Data'!N2:N501,'Federal Data'!$G2:$G501,"Transportation",'Federal Data'!$D2:$D501,"Grant")</f>
        <v>13403866</v>
      </c>
      <c r="F159" s="85"/>
      <c r="G159" s="37"/>
      <c r="H159" s="37">
        <f>SUMIFS('Federal Data'!O2:O501,'Federal Data'!$G2:$G501,"Transportation",'Federal Data'!$D2:$D501,"Grant")</f>
        <v>12110064</v>
      </c>
      <c r="I159" s="85"/>
      <c r="J159" s="37"/>
      <c r="K159" s="37">
        <f>SUMIFS('Federal Data'!P2:P501,'Federal Data'!$G2:$G501,"Transportation",'Federal Data'!$D2:$D501,"Grant")</f>
        <v>13199897</v>
      </c>
      <c r="L159" s="85"/>
      <c r="M159" s="37"/>
      <c r="N159" s="37">
        <f>SUMIFS('Federal Data'!Q2:Q501,'Federal Data'!$G2:$G501,"Transportation",'Federal Data'!$D2:$D501,"Grant")</f>
        <v>14987859</v>
      </c>
      <c r="O159" s="85"/>
      <c r="P159" s="37"/>
      <c r="Q159" s="37">
        <f>SUMIFS('Federal Data'!R2:R501,'Federal Data'!$G2:$G501,"Transportation",'Federal Data'!$D2:$D501,"Grant")</f>
        <v>17009438</v>
      </c>
      <c r="R159" s="85"/>
      <c r="S159" s="37"/>
      <c r="T159" s="37">
        <f>SUMIFS('Federal Data'!S2:S501,'Federal Data'!$G2:$G501,"Transportation",'Federal Data'!$D2:$D501,"Grant")</f>
        <v>18317521</v>
      </c>
      <c r="U159" s="85"/>
      <c r="V159" s="37"/>
      <c r="W159" s="37">
        <f>SUMIFS('Federal Data'!T2:T501,'Federal Data'!$G2:$G501,"Transportation",'Federal Data'!$D2:$D501,"Grant")</f>
        <v>16872872</v>
      </c>
      <c r="X159" s="85"/>
      <c r="Y159" s="37"/>
      <c r="Z159" s="37">
        <f>SUMIFS('Federal Data'!U2:U501,'Federal Data'!$G2:$G501,"Transportation",'Federal Data'!$D2:$D501,"Grant")</f>
        <v>18042648</v>
      </c>
      <c r="AA159" s="85"/>
      <c r="AB159" s="37"/>
      <c r="AC159" s="37">
        <f>SUMIFS('Federal Data'!V2:V501,'Federal Data'!$G2:$G501,"Transportation",'Federal Data'!$D2:$D501,"Grant")</f>
        <v>18176317</v>
      </c>
      <c r="AD159" s="85"/>
      <c r="AE159" s="37"/>
      <c r="AF159" s="37">
        <f>SUMIFS('Federal Data'!W2:W501,'Federal Data'!$G2:$G501,"Transportation",'Federal Data'!$D2:$D501,"Grant")</f>
        <v>19173829</v>
      </c>
      <c r="AG159" s="85"/>
      <c r="AH159" s="37"/>
      <c r="AI159" s="37">
        <f>SUMIFS('Federal Data'!X2:X501,'Federal Data'!$G2:$G501,"Transportation",'Federal Data'!$D2:$D501,"Grant")</f>
        <v>19825945</v>
      </c>
      <c r="AJ159" s="85"/>
      <c r="AK159" s="37"/>
      <c r="AL159" s="37">
        <f>SUMIFS('Federal Data'!Y2:Y501,'Federal Data'!$G2:$G501,"Transportation",'Federal Data'!$D2:$D501,"Grant")</f>
        <v>20556224</v>
      </c>
      <c r="AM159" s="85"/>
      <c r="AN159" s="37"/>
      <c r="AO159" s="37">
        <f>SUMIFS('Federal Data'!Z2:Z501,'Federal Data'!$G2:$G501,"Transportation",'Federal Data'!$D2:$D501,"Grant")</f>
        <v>22291611</v>
      </c>
      <c r="AP159" s="85"/>
      <c r="AQ159" s="37"/>
      <c r="AR159" s="37">
        <f>SUMIFS('Federal Data'!AA2:AA501,'Federal Data'!$G2:$G501,"Transportation",'Federal Data'!$D2:$D501,"Grant")</f>
        <v>23633409</v>
      </c>
      <c r="AS159" s="85"/>
      <c r="AT159" s="37"/>
      <c r="AU159" s="37">
        <f>SUMIFS('Federal Data'!AB2:AB501,'Federal Data'!$G2:$G501,"Transportation",'Federal Data'!$D2:$D501,"Grant")</f>
        <v>25787000</v>
      </c>
      <c r="AV159" s="85"/>
      <c r="AW159" s="37"/>
      <c r="AX159" s="37">
        <f>SUMIFS('Federal Data'!AC2:AC501,'Federal Data'!$G2:$G501,"Transportation",'Federal Data'!$D2:$D501,"Grant")</f>
        <v>25957000</v>
      </c>
      <c r="AY159" s="85"/>
      <c r="AZ159" s="37"/>
      <c r="BA159" s="37">
        <f>SUMIFS('Federal Data'!AD2:AD501,'Federal Data'!$G2:$G501,"Transportation",'Federal Data'!$D2:$D501,"Grant")</f>
        <v>26846000</v>
      </c>
      <c r="BB159" s="85"/>
      <c r="BC159" s="37"/>
      <c r="BD159" s="37">
        <f>SUMIFS('Federal Data'!AE2:AE501,'Federal Data'!$G2:$G501,"Transportation",'Federal Data'!$D2:$D501,"Grant")</f>
        <v>26144000</v>
      </c>
      <c r="BE159" s="85"/>
      <c r="BF159" s="37"/>
      <c r="BG159" s="37">
        <f>SUMIFS('Federal Data'!AF2:AF501,'Federal Data'!$G2:$G501,"Transportation",'Federal Data'!$D2:$D501,"Grant")</f>
        <v>28904000</v>
      </c>
      <c r="BH159" s="85"/>
      <c r="BI159" s="37"/>
      <c r="BJ159" s="37">
        <f>SUMIFS('Federal Data'!AG2:AG501,'Federal Data'!$G2:$G501,"Transportation",'Federal Data'!$D2:$D501,"Grant")</f>
        <v>32222000</v>
      </c>
      <c r="BK159" s="85"/>
      <c r="BL159" s="37"/>
      <c r="BM159" s="37">
        <f>SUMIFS('Federal Data'!AH2:AH501,'Federal Data'!$G2:$G501,"Transportation",'Federal Data'!$D2:$D501,"Grant")</f>
        <v>36647000</v>
      </c>
      <c r="BN159" s="85"/>
      <c r="BO159" s="37"/>
      <c r="BP159" s="37">
        <f>SUMIFS('Federal Data'!AI2:AI501,'Federal Data'!$G2:$G501,"Transportation",'Federal Data'!$D2:$D501,"Grant")</f>
        <v>40997000</v>
      </c>
      <c r="BQ159" s="85"/>
      <c r="BR159" s="37"/>
      <c r="BS159" s="37">
        <f>SUMIFS('Federal Data'!AJ2:AJ501,'Federal Data'!$G2:$G501,"Transportation",'Federal Data'!$D2:$D501,"Grant")</f>
        <v>41026000</v>
      </c>
      <c r="BT159" s="85"/>
      <c r="BU159" s="37"/>
      <c r="BV159" s="37">
        <f>SUMIFS('Federal Data'!AK2:AK501,'Federal Data'!$G2:$G501,"Transportation",'Federal Data'!$D2:$D501,"Grant")</f>
        <v>41471000</v>
      </c>
      <c r="BW159" s="85"/>
      <c r="BX159" s="37"/>
      <c r="BY159" s="37">
        <f>SUMIFS('Federal Data'!AL2:AL501,'Federal Data'!$G2:$G501,"Transportation",'Federal Data'!$D2:$D501,"Grant")</f>
        <v>43370000</v>
      </c>
      <c r="BZ159" s="85"/>
      <c r="CA159" s="37"/>
      <c r="CB159" s="37">
        <f>SUMIFS('Federal Data'!AM2:AM501,'Federal Data'!$G2:$G501,"Transportation",'Federal Data'!$D2:$D501,"Grant")</f>
        <v>46683000</v>
      </c>
      <c r="CC159" s="85"/>
      <c r="CD159" s="37"/>
      <c r="CE159" s="37">
        <f>SUMIFS('Federal Data'!AN2:AN501,'Federal Data'!$G2:$G501,"Transportation",'Federal Data'!$D2:$D501,"Grant")</f>
        <v>47945000</v>
      </c>
      <c r="CF159" s="85"/>
      <c r="CG159" s="37"/>
      <c r="CH159" s="37">
        <f>SUMIFS('Federal Data'!AO2:AO501,'Federal Data'!$G2:$G501,"Transportation",'Federal Data'!$D2:$D501,"Grant")</f>
        <v>51216000</v>
      </c>
      <c r="CI159" s="85"/>
      <c r="CJ159" s="37"/>
      <c r="CK159" s="37">
        <f>SUMIFS('Federal Data'!AP2:AP501,'Federal Data'!$G2:$G501,"Transportation",'Federal Data'!$D2:$D501,"Grant")</f>
        <v>55438000</v>
      </c>
      <c r="CL159" s="85"/>
      <c r="CM159" s="37"/>
      <c r="CN159" s="37">
        <f>SUMIFS('Federal Data'!AQ2:AQ501,'Federal Data'!$G2:$G501,"Transportation",'Federal Data'!$D2:$D501,"Grant")</f>
        <v>60981000</v>
      </c>
      <c r="CO159" s="85"/>
      <c r="CP159" s="37"/>
      <c r="CQ159" s="37">
        <f>SUMIFS('Federal Data'!AR2:AR501,'Federal Data'!$G2:$G501,"Transportation",'Federal Data'!$D2:$D501,"Grant")</f>
        <v>60986000</v>
      </c>
      <c r="CR159" s="85"/>
      <c r="CS159" s="37"/>
      <c r="CT159" s="37">
        <f>SUMIFS('Federal Data'!AS2:AS501,'Federal Data'!$G2:$G501,"Transportation",'Federal Data'!$D2:$D501,"Grant")</f>
        <v>60749000</v>
      </c>
      <c r="CU159" s="85"/>
      <c r="CV159" s="37"/>
      <c r="CW159" s="37">
        <f>SUMIFS('Federal Data'!AT2:AT501,'Federal Data'!$G2:$G501,"Transportation",'Federal Data'!$D2:$D501,"Grant")</f>
        <v>60518000</v>
      </c>
      <c r="CX159" s="85"/>
      <c r="CY159" s="37"/>
      <c r="CZ159" s="37">
        <f>SUMIFS('Federal Data'!AU2:AU501,'Federal Data'!$G2:$G501,"Transportation",'Federal Data'!$D2:$D501,"Grant")</f>
        <v>62260000</v>
      </c>
      <c r="DA159" s="85"/>
      <c r="DB159" s="37"/>
      <c r="DC159" s="37">
        <f>SUMIFS('Federal Data'!AV2:AV501,'Federal Data'!$G2:$G501,"Transportation",'Federal Data'!$D2:$D501,"Grant")</f>
        <v>60831000</v>
      </c>
      <c r="DD159" s="85"/>
      <c r="DE159" s="37"/>
    </row>
    <row r="160" spans="1:109" outlineLevel="1">
      <c r="A160" s="27" t="s">
        <v>70</v>
      </c>
      <c r="B160" s="37">
        <f>SUMIFS('Federal Data'!M2:M501,'Federal Data'!$G2:$G501,"Community and Regional Development",'Federal Data'!$D2:$D501,"Grant")</f>
        <v>6105652</v>
      </c>
      <c r="C160" s="85"/>
      <c r="D160" s="37"/>
      <c r="E160" s="37">
        <f>SUMIFS('Federal Data'!N2:N501,'Federal Data'!$G2:$G501,"Community and Regional Development",'Federal Data'!$D2:$D501,"Grant")</f>
        <v>5855635</v>
      </c>
      <c r="F160" s="85"/>
      <c r="G160" s="37"/>
      <c r="H160" s="37">
        <f>SUMIFS('Federal Data'!O2:O501,'Federal Data'!$G2:$G501,"Community and Regional Development",'Federal Data'!$D2:$D501,"Grant")</f>
        <v>5265722</v>
      </c>
      <c r="I160" s="85"/>
      <c r="J160" s="37"/>
      <c r="K160" s="37">
        <f>SUMIFS('Federal Data'!P2:P501,'Federal Data'!$G2:$G501,"Community and Regional Development",'Federal Data'!$D2:$D501,"Grant")</f>
        <v>4775988</v>
      </c>
      <c r="L160" s="85"/>
      <c r="M160" s="37"/>
      <c r="N160" s="37">
        <f>SUMIFS('Federal Data'!Q2:Q501,'Federal Data'!$G2:$G501,"Community and Regional Development",'Federal Data'!$D2:$D501,"Grant")</f>
        <v>4940586</v>
      </c>
      <c r="O160" s="85"/>
      <c r="P160" s="37"/>
      <c r="Q160" s="37">
        <f>SUMIFS('Federal Data'!R2:R501,'Federal Data'!$G2:$G501,"Community and Regional Development",'Federal Data'!$D2:$D501,"Grant")</f>
        <v>5041418</v>
      </c>
      <c r="R160" s="85"/>
      <c r="S160" s="37"/>
      <c r="T160" s="37">
        <f>SUMIFS('Federal Data'!S2:S501,'Federal Data'!$G2:$G501,"Community and Regional Development",'Federal Data'!$D2:$D501,"Grant")</f>
        <v>4562493</v>
      </c>
      <c r="U160" s="85"/>
      <c r="V160" s="37"/>
      <c r="W160" s="37">
        <f>SUMIFS('Federal Data'!T2:T501,'Federal Data'!$G2:$G501,"Community and Regional Development",'Federal Data'!$D2:$D501,"Grant")</f>
        <v>4033246</v>
      </c>
      <c r="X160" s="85"/>
      <c r="Y160" s="37"/>
      <c r="Z160" s="37">
        <f>SUMIFS('Federal Data'!U2:U501,'Federal Data'!$G2:$G501,"Community and Regional Development",'Federal Data'!$D2:$D501,"Grant")</f>
        <v>4093463</v>
      </c>
      <c r="AA160" s="85"/>
      <c r="AB160" s="37"/>
      <c r="AC160" s="37">
        <f>SUMIFS('Federal Data'!V2:V501,'Federal Data'!$G2:$G501,"Community and Regional Development",'Federal Data'!$D2:$D501,"Grant")</f>
        <v>3941357</v>
      </c>
      <c r="AD160" s="85"/>
      <c r="AE160" s="37"/>
      <c r="AF160" s="37">
        <f>SUMIFS('Federal Data'!W2:W501,'Federal Data'!$G2:$G501,"Community and Regional Development",'Federal Data'!$D2:$D501,"Grant")</f>
        <v>3780221</v>
      </c>
      <c r="AG160" s="85"/>
      <c r="AH160" s="37"/>
      <c r="AI160" s="37">
        <f>SUMIFS('Federal Data'!X2:X501,'Federal Data'!$G2:$G501,"Community and Regional Development",'Federal Data'!$D2:$D501,"Grant")</f>
        <v>3777043</v>
      </c>
      <c r="AJ160" s="85"/>
      <c r="AK160" s="37"/>
      <c r="AL160" s="37">
        <f>SUMIFS('Federal Data'!Y2:Y501,'Federal Data'!$G2:$G501,"Community and Regional Development",'Federal Data'!$D2:$D501,"Grant")</f>
        <v>3910250</v>
      </c>
      <c r="AM160" s="85"/>
      <c r="AN160" s="37"/>
      <c r="AO160" s="37">
        <f>SUMIFS('Federal Data'!Z2:Z501,'Federal Data'!$G2:$G501,"Community and Regional Development",'Federal Data'!$D2:$D501,"Grant")</f>
        <v>3828125</v>
      </c>
      <c r="AP160" s="85"/>
      <c r="AQ160" s="37"/>
      <c r="AR160" s="37">
        <f>SUMIFS('Federal Data'!AA2:AA501,'Federal Data'!$G2:$G501,"Community and Regional Development",'Federal Data'!$D2:$D501,"Grant")</f>
        <v>4590796</v>
      </c>
      <c r="AS160" s="85"/>
      <c r="AT160" s="37"/>
      <c r="AU160" s="37">
        <f>SUMIFS('Federal Data'!AB2:AB501,'Federal Data'!$G2:$G501,"Community and Regional Development",'Federal Data'!$D2:$D501,"Grant")</f>
        <v>5458000</v>
      </c>
      <c r="AV160" s="85"/>
      <c r="AW160" s="37"/>
      <c r="AX160" s="37">
        <f>SUMIFS('Federal Data'!AC2:AC501,'Federal Data'!$G2:$G501,"Community and Regional Development",'Federal Data'!$D2:$D501,"Grant")</f>
        <v>5953000</v>
      </c>
      <c r="AY160" s="85"/>
      <c r="AZ160" s="37"/>
      <c r="BA160" s="37">
        <f>SUMIFS('Federal Data'!AD2:AD501,'Federal Data'!$G2:$G501,"Community and Regional Development",'Federal Data'!$D2:$D501,"Grant")</f>
        <v>6012000</v>
      </c>
      <c r="BB160" s="85"/>
      <c r="BC160" s="37"/>
      <c r="BD160" s="37">
        <f>SUMIFS('Federal Data'!AE2:AE501,'Federal Data'!$G2:$G501,"Community and Regional Development",'Federal Data'!$D2:$D501,"Grant")</f>
        <v>5904000</v>
      </c>
      <c r="BE160" s="85"/>
      <c r="BF160" s="37"/>
      <c r="BG160" s="37">
        <f>SUMIFS('Federal Data'!AF2:AF501,'Federal Data'!$G2:$G501,"Community and Regional Development",'Federal Data'!$D2:$D501,"Grant")</f>
        <v>6067000</v>
      </c>
      <c r="BH160" s="85"/>
      <c r="BI160" s="37"/>
      <c r="BJ160" s="37">
        <f>SUMIFS('Federal Data'!AG2:AG501,'Federal Data'!$G2:$G501,"Community and Regional Development",'Federal Data'!$D2:$D501,"Grant")</f>
        <v>6226000</v>
      </c>
      <c r="BK160" s="85"/>
      <c r="BL160" s="37"/>
      <c r="BM160" s="37">
        <f>SUMIFS('Federal Data'!AH2:AH501,'Federal Data'!$G2:$G501,"Community and Regional Development",'Federal Data'!$D2:$D501,"Grant")</f>
        <v>6475000</v>
      </c>
      <c r="BN160" s="85"/>
      <c r="BO160" s="37"/>
      <c r="BP160" s="37">
        <f>SUMIFS('Federal Data'!AI2:AI501,'Federal Data'!$G2:$G501,"Community and Regional Development",'Federal Data'!$D2:$D501,"Grant")</f>
        <v>7045000</v>
      </c>
      <c r="BQ160" s="85"/>
      <c r="BR160" s="37"/>
      <c r="BS160" s="37">
        <f>SUMIFS('Federal Data'!AJ2:AJ501,'Federal Data'!$G2:$G501,"Community and Regional Development",'Federal Data'!$D2:$D501,"Grant")</f>
        <v>7221000</v>
      </c>
      <c r="BT160" s="85"/>
      <c r="BU160" s="37"/>
      <c r="BV160" s="37">
        <f>SUMIFS('Federal Data'!AK2:AK501,'Federal Data'!$G2:$G501,"Community and Regional Development",'Federal Data'!$D2:$D501,"Grant")</f>
        <v>7114000</v>
      </c>
      <c r="BW160" s="85"/>
      <c r="BX160" s="37"/>
      <c r="BY160" s="37">
        <f>SUMIFS('Federal Data'!AL2:AL501,'Federal Data'!$G2:$G501,"Community and Regional Development",'Federal Data'!$D2:$D501,"Grant")</f>
        <v>6626000</v>
      </c>
      <c r="BZ160" s="85"/>
      <c r="CA160" s="37"/>
      <c r="CB160" s="37">
        <f>SUMIFS('Federal Data'!AM2:AM501,'Federal Data'!$G2:$G501,"Community and Regional Development",'Federal Data'!$D2:$D501,"Grant")</f>
        <v>6554000</v>
      </c>
      <c r="CC160" s="85"/>
      <c r="CD160" s="37"/>
      <c r="CE160" s="37">
        <f>SUMIFS('Federal Data'!AN2:AN501,'Federal Data'!$G2:$G501,"Community and Regional Development",'Federal Data'!$D2:$D501,"Grant")</f>
        <v>12386000</v>
      </c>
      <c r="CF160" s="85"/>
      <c r="CG160" s="37"/>
      <c r="CH160" s="37">
        <f>SUMIFS('Federal Data'!AO2:AO501,'Federal Data'!$G2:$G501,"Community and Regional Development",'Federal Data'!$D2:$D501,"Grant")</f>
        <v>10591000</v>
      </c>
      <c r="CI160" s="85"/>
      <c r="CJ160" s="37"/>
      <c r="CK160" s="37">
        <f>SUMIFS('Federal Data'!AP2:AP501,'Federal Data'!$G2:$G501,"Community and Regional Development",'Federal Data'!$D2:$D501,"Grant")</f>
        <v>8300000</v>
      </c>
      <c r="CL160" s="85"/>
      <c r="CM160" s="37"/>
      <c r="CN160" s="37">
        <f>SUMIFS('Federal Data'!AQ2:AQ501,'Federal Data'!$G2:$G501,"Community and Regional Development",'Federal Data'!$D2:$D501,"Grant")</f>
        <v>10425000</v>
      </c>
      <c r="CO160" s="85"/>
      <c r="CP160" s="37"/>
      <c r="CQ160" s="37">
        <f>SUMIFS('Federal Data'!AR2:AR501,'Federal Data'!$G2:$G501,"Community and Regional Development",'Federal Data'!$D2:$D501,"Grant")</f>
        <v>10479000</v>
      </c>
      <c r="CR160" s="85"/>
      <c r="CS160" s="37"/>
      <c r="CT160" s="37">
        <f>SUMIFS('Federal Data'!AS2:AS501,'Federal Data'!$G2:$G501,"Community and Regional Development",'Federal Data'!$D2:$D501,"Grant")</f>
        <v>10052000</v>
      </c>
      <c r="CU160" s="85"/>
      <c r="CV160" s="37"/>
      <c r="CW160" s="37">
        <f>SUMIFS('Federal Data'!AT2:AT501,'Federal Data'!$G2:$G501,"Community and Regional Development",'Federal Data'!$D2:$D501,"Grant")</f>
        <v>8983000</v>
      </c>
      <c r="CX160" s="85"/>
      <c r="CY160" s="37"/>
      <c r="CZ160" s="37">
        <f>SUMIFS('Federal Data'!AU2:AU501,'Federal Data'!$G2:$G501,"Community and Regional Development",'Federal Data'!$D2:$D501,"Grant")</f>
        <v>8473000</v>
      </c>
      <c r="DA160" s="85"/>
      <c r="DB160" s="37"/>
      <c r="DC160" s="37">
        <f>SUMIFS('Federal Data'!AV2:AV501,'Federal Data'!$G2:$G501,"Community and Regional Development",'Federal Data'!$D2:$D501,"Grant")</f>
        <v>8433000</v>
      </c>
      <c r="DD160" s="85"/>
      <c r="DE160" s="37"/>
    </row>
    <row r="161" spans="1:112" outlineLevel="1">
      <c r="A161" s="27" t="s">
        <v>60</v>
      </c>
      <c r="B161" s="37">
        <f>SUMIFS('Federal Data'!M2:M501,'Federal Data'!$G2:$G501,"Cash Programs",'Federal Data'!$D2:$D501,"Grant")</f>
        <v>377539</v>
      </c>
      <c r="C161" s="85"/>
      <c r="D161" s="37"/>
      <c r="E161" s="37">
        <f>SUMIFS('Federal Data'!N2:N501,'Federal Data'!$G2:$G501,"Cash Programs",'Federal Data'!$D2:$D501,"Grant")</f>
        <v>685805</v>
      </c>
      <c r="F161" s="85"/>
      <c r="G161" s="37"/>
      <c r="H161" s="37">
        <f>SUMIFS('Federal Data'!O2:O501,'Federal Data'!$G2:$G501,"Cash Programs",'Federal Data'!$D2:$D501,"Grant")</f>
        <v>897511</v>
      </c>
      <c r="I161" s="85"/>
      <c r="J161" s="37"/>
      <c r="K161" s="37">
        <f>SUMIFS('Federal Data'!P2:P501,'Federal Data'!$G2:$G501,"Cash Programs",'Federal Data'!$D2:$D501,"Grant")</f>
        <v>516822</v>
      </c>
      <c r="L161" s="85"/>
      <c r="M161" s="37"/>
      <c r="N161" s="37">
        <f>SUMIFS('Federal Data'!Q2:Q501,'Federal Data'!$G2:$G501,"Cash Programs",'Federal Data'!$D2:$D501,"Grant")</f>
        <v>592979</v>
      </c>
      <c r="O161" s="85"/>
      <c r="P161" s="37"/>
      <c r="Q161" s="37">
        <f>SUMIFS('Federal Data'!R2:R501,'Federal Data'!$G2:$G501,"Cash Programs",'Federal Data'!$D2:$D501,"Grant")</f>
        <v>420057</v>
      </c>
      <c r="R161" s="85"/>
      <c r="S161" s="37"/>
      <c r="T161" s="37">
        <f>SUMIFS('Federal Data'!S2:S501,'Federal Data'!$G2:$G501,"Cash Programs",'Federal Data'!$D2:$D501,"Grant")</f>
        <v>422197</v>
      </c>
      <c r="U161" s="85"/>
      <c r="V161" s="37"/>
      <c r="W161" s="37">
        <f>SUMIFS('Federal Data'!T2:T501,'Federal Data'!$G2:$G501,"Cash Programs",'Federal Data'!$D2:$D501,"Grant")</f>
        <v>373808</v>
      </c>
      <c r="X161" s="85"/>
      <c r="Y161" s="37"/>
      <c r="Z161" s="37">
        <f>SUMIFS('Federal Data'!U2:U501,'Federal Data'!$G2:$G501,"Cash Programs",'Federal Data'!$D2:$D501,"Grant")</f>
        <v>311787</v>
      </c>
      <c r="AA161" s="85"/>
      <c r="AB161" s="37"/>
      <c r="AC161" s="37">
        <f>SUMIFS('Federal Data'!V2:V501,'Federal Data'!$G2:$G501,"Cash Programs",'Federal Data'!$D2:$D501,"Grant")</f>
        <v>370255</v>
      </c>
      <c r="AD161" s="85"/>
      <c r="AE161" s="37"/>
      <c r="AF161" s="37">
        <f>SUMIFS('Federal Data'!W2:W501,'Federal Data'!$G2:$G501,"Cash Programs",'Federal Data'!$D2:$D501,"Grant")</f>
        <v>391089</v>
      </c>
      <c r="AG161" s="85"/>
      <c r="AH161" s="37"/>
      <c r="AI161" s="37">
        <f>SUMIFS('Federal Data'!X2:X501,'Federal Data'!$G2:$G501,"Cash Programs",'Federal Data'!$D2:$D501,"Grant")</f>
        <v>228336</v>
      </c>
      <c r="AJ161" s="85"/>
      <c r="AK161" s="37"/>
      <c r="AL161" s="37">
        <f>SUMIFS('Federal Data'!Y2:Y501,'Federal Data'!$G2:$G501,"Cash Programs",'Federal Data'!$D2:$D501,"Grant")</f>
        <v>304098</v>
      </c>
      <c r="AM161" s="85"/>
      <c r="AN161" s="37"/>
      <c r="AO161" s="37">
        <f>SUMIFS('Federal Data'!Z2:Z501,'Federal Data'!$G2:$G501,"Cash Programs",'Federal Data'!$D2:$D501,"Grant")</f>
        <v>326585</v>
      </c>
      <c r="AP161" s="85"/>
      <c r="AQ161" s="37"/>
      <c r="AR161" s="37">
        <f>SUMIFS('Federal Data'!AA2:AA501,'Federal Data'!$G2:$G501,"Cash Programs",'Federal Data'!$D2:$D501,"Grant")</f>
        <v>332552</v>
      </c>
      <c r="AS161" s="85"/>
      <c r="AT161" s="37"/>
      <c r="AU161" s="37">
        <f>SUMIFS('Federal Data'!AB2:AB501,'Federal Data'!$G2:$G501,"Cash Programs",'Federal Data'!$D2:$D501,"Grant")</f>
        <v>346000</v>
      </c>
      <c r="AV161" s="85"/>
      <c r="AW161" s="37"/>
      <c r="AX161" s="37">
        <f>SUMIFS('Federal Data'!AC2:AC501,'Federal Data'!$G2:$G501,"Cash Programs",'Federal Data'!$D2:$D501,"Grant")</f>
        <v>319000</v>
      </c>
      <c r="AY161" s="85"/>
      <c r="AZ161" s="37"/>
      <c r="BA161" s="37">
        <f>SUMIFS('Federal Data'!AD2:AD501,'Federal Data'!$G2:$G501,"Cash Programs",'Federal Data'!$D2:$D501,"Grant")</f>
        <v>10003000</v>
      </c>
      <c r="BB161" s="85"/>
      <c r="BC161" s="37"/>
      <c r="BD161" s="37">
        <f>SUMIFS('Federal Data'!AE2:AE501,'Federal Data'!$G2:$G501,"Cash Programs",'Federal Data'!$D2:$D501,"Grant")</f>
        <v>13580000</v>
      </c>
      <c r="BE161" s="85"/>
      <c r="BF161" s="37"/>
      <c r="BG161" s="37">
        <f>SUMIFS('Federal Data'!AF2:AF501,'Federal Data'!$G2:$G501,"Cash Programs",'Federal Data'!$D2:$D501,"Grant")</f>
        <v>14397000</v>
      </c>
      <c r="BH161" s="85"/>
      <c r="BI161" s="37"/>
      <c r="BJ161" s="37">
        <f>SUMIFS('Federal Data'!AG2:AG501,'Federal Data'!$G2:$G501,"Cash Programs",'Federal Data'!$D2:$D501,"Grant")</f>
        <v>15744000</v>
      </c>
      <c r="BK161" s="85"/>
      <c r="BL161" s="37"/>
      <c r="BM161" s="37">
        <f>SUMIFS('Federal Data'!AH2:AH501,'Federal Data'!$G2:$G501,"Cash Programs",'Federal Data'!$D2:$D501,"Grant")</f>
        <v>18928000</v>
      </c>
      <c r="BN161" s="85"/>
      <c r="BO161" s="37"/>
      <c r="BP161" s="37">
        <f>SUMIFS('Federal Data'!AI2:AI501,'Federal Data'!$G2:$G501,"Cash Programs",'Federal Data'!$D2:$D501,"Grant")</f>
        <v>19111000</v>
      </c>
      <c r="BQ161" s="85"/>
      <c r="BR161" s="37"/>
      <c r="BS161" s="37">
        <f>SUMIFS('Federal Data'!AJ2:AJ501,'Federal Data'!$G2:$G501,"Cash Programs",'Federal Data'!$D2:$D501,"Grant")</f>
        <v>19704000</v>
      </c>
      <c r="BT161" s="85"/>
      <c r="BU161" s="37"/>
      <c r="BV161" s="37">
        <f>SUMIFS('Federal Data'!AK2:AK501,'Federal Data'!$G2:$G501,"Cash Programs",'Federal Data'!$D2:$D501,"Grant")</f>
        <v>18153000</v>
      </c>
      <c r="BW161" s="85"/>
      <c r="BX161" s="37"/>
      <c r="BY161" s="37">
        <f>SUMIFS('Federal Data'!AL2:AL501,'Federal Data'!$G2:$G501,"Cash Programs",'Federal Data'!$D2:$D501,"Grant")</f>
        <v>17819000</v>
      </c>
      <c r="BZ161" s="85"/>
      <c r="CA161" s="37"/>
      <c r="CB161" s="37">
        <f>SUMIFS('Federal Data'!AM2:AM501,'Federal Data'!$G2:$G501,"Cash Programs",'Federal Data'!$D2:$D501,"Grant")</f>
        <v>17399000</v>
      </c>
      <c r="CC161" s="85"/>
      <c r="CD161" s="37"/>
      <c r="CE161" s="37">
        <f>SUMIFS('Federal Data'!AN2:AN501,'Federal Data'!$G2:$G501,"Cash Programs",'Federal Data'!$D2:$D501,"Grant")</f>
        <v>17321000</v>
      </c>
      <c r="CF161" s="85"/>
      <c r="CG161" s="37"/>
      <c r="CH161" s="37">
        <f>SUMIFS('Federal Data'!AO2:AO501,'Federal Data'!$G2:$G501,"Cash Programs",'Federal Data'!$D2:$D501,"Grant")</f>
        <v>19764000</v>
      </c>
      <c r="CI161" s="85"/>
      <c r="CJ161" s="37"/>
      <c r="CK161" s="37">
        <f>SUMIFS('Federal Data'!AP2:AP501,'Federal Data'!$G2:$G501,"Cash Programs",'Federal Data'!$D2:$D501,"Grant")</f>
        <v>19477000</v>
      </c>
      <c r="CL161" s="85"/>
      <c r="CM161" s="37"/>
      <c r="CN161" s="37">
        <f>SUMIFS('Federal Data'!AQ2:AQ501,'Federal Data'!$G2:$G501,"Cash Programs",'Federal Data'!$D2:$D501,"Grant")</f>
        <v>20989000</v>
      </c>
      <c r="CO161" s="85"/>
      <c r="CP161" s="37"/>
      <c r="CQ161" s="37">
        <f>SUMIFS('Federal Data'!AR2:AR501,'Federal Data'!$G2:$G501,"Cash Programs",'Federal Data'!$D2:$D501,"Grant")</f>
        <v>19704000</v>
      </c>
      <c r="CR161" s="85"/>
      <c r="CS161" s="37"/>
      <c r="CT161" s="37">
        <f>SUMIFS('Federal Data'!AS2:AS501,'Federal Data'!$G2:$G501,"Cash Programs",'Federal Data'!$D2:$D501,"Grant")</f>
        <v>17447000</v>
      </c>
      <c r="CU161" s="85"/>
      <c r="CV161" s="37"/>
      <c r="CW161" s="37">
        <f>SUMIFS('Federal Data'!AT2:AT501,'Federal Data'!$G2:$G501,"Cash Programs",'Federal Data'!$D2:$D501,"Grant")</f>
        <v>18094000</v>
      </c>
      <c r="CX161" s="85"/>
      <c r="CY161" s="37"/>
      <c r="CZ161" s="37">
        <f>SUMIFS('Federal Data'!AU2:AU501,'Federal Data'!$G2:$G501,"Cash Programs",'Federal Data'!$D2:$D501,"Grant")</f>
        <v>17559000</v>
      </c>
      <c r="DA161" s="85"/>
      <c r="DB161" s="37"/>
      <c r="DC161" s="37">
        <f>SUMIFS('Federal Data'!AV2:AV501,'Federal Data'!$G2:$G501,"Cash Programs",'Federal Data'!$D2:$D501,"Grant")</f>
        <v>17482000</v>
      </c>
      <c r="DD161" s="85"/>
      <c r="DE161" s="37"/>
    </row>
    <row r="162" spans="1:112" outlineLevel="1">
      <c r="A162" s="28" t="s">
        <v>104</v>
      </c>
      <c r="B162" s="37">
        <f>SUMIFS('Federal Data'!M2:M501,'Federal Data'!$H2:$H501,"TANF",'Federal Data'!$D2:$D501,"Grant")</f>
        <v>0</v>
      </c>
      <c r="C162" s="85"/>
      <c r="D162" s="37"/>
      <c r="E162" s="37">
        <f>SUMIFS('Federal Data'!N2:N501,'Federal Data'!$H2:$H501,"TANF",'Federal Data'!$D2:$D501,"Grant")</f>
        <v>0</v>
      </c>
      <c r="F162" s="85"/>
      <c r="G162" s="37"/>
      <c r="H162" s="37">
        <f>SUMIFS('Federal Data'!O2:O501,'Federal Data'!$H2:$H501,"TANF",'Federal Data'!$D2:$D501,"Grant")</f>
        <v>0</v>
      </c>
      <c r="I162" s="85"/>
      <c r="J162" s="37"/>
      <c r="K162" s="37">
        <f>SUMIFS('Federal Data'!P2:P501,'Federal Data'!$H2:$H501,"TANF",'Federal Data'!$D2:$D501,"Grant")</f>
        <v>0</v>
      </c>
      <c r="L162" s="85"/>
      <c r="M162" s="37"/>
      <c r="N162" s="37">
        <f>SUMIFS('Federal Data'!Q2:Q501,'Federal Data'!$H2:$H501,"TANF",'Federal Data'!$D2:$D501,"Grant")</f>
        <v>0</v>
      </c>
      <c r="O162" s="85"/>
      <c r="P162" s="37"/>
      <c r="Q162" s="37">
        <f>SUMIFS('Federal Data'!R2:R501,'Federal Data'!$H2:$H501,"TANF",'Federal Data'!$D2:$D501,"Grant")</f>
        <v>0</v>
      </c>
      <c r="R162" s="85"/>
      <c r="S162" s="37"/>
      <c r="T162" s="37">
        <f>SUMIFS('Federal Data'!S2:S501,'Federal Data'!$H2:$H501,"TANF",'Federal Data'!$D2:$D501,"Grant")</f>
        <v>0</v>
      </c>
      <c r="U162" s="85"/>
      <c r="V162" s="37"/>
      <c r="W162" s="37">
        <f>SUMIFS('Federal Data'!T2:T501,'Federal Data'!$H2:$H501,"TANF",'Federal Data'!$D2:$D501,"Grant")</f>
        <v>0</v>
      </c>
      <c r="X162" s="85"/>
      <c r="Y162" s="37"/>
      <c r="Z162" s="37">
        <f>SUMIFS('Federal Data'!U2:U501,'Federal Data'!$H2:$H501,"TANF",'Federal Data'!$D2:$D501,"Grant")</f>
        <v>0</v>
      </c>
      <c r="AA162" s="85"/>
      <c r="AB162" s="37"/>
      <c r="AC162" s="37">
        <f>SUMIFS('Federal Data'!V2:V501,'Federal Data'!$H2:$H501,"TANF",'Federal Data'!$D2:$D501,"Grant")</f>
        <v>0</v>
      </c>
      <c r="AD162" s="85"/>
      <c r="AE162" s="37"/>
      <c r="AF162" s="37">
        <f>SUMIFS('Federal Data'!W2:W501,'Federal Data'!$H2:$H501,"TANF",'Federal Data'!$D2:$D501,"Grant")</f>
        <v>0</v>
      </c>
      <c r="AG162" s="85"/>
      <c r="AH162" s="37"/>
      <c r="AI162" s="37">
        <f>SUMIFS('Federal Data'!X2:X501,'Federal Data'!$H2:$H501,"TANF",'Federal Data'!$D2:$D501,"Grant")</f>
        <v>0</v>
      </c>
      <c r="AJ162" s="85"/>
      <c r="AK162" s="37"/>
      <c r="AL162" s="37">
        <f>SUMIFS('Federal Data'!Y2:Y501,'Federal Data'!$H2:$H501,"TANF",'Federal Data'!$D2:$D501,"Grant")</f>
        <v>0</v>
      </c>
      <c r="AM162" s="85"/>
      <c r="AN162" s="37"/>
      <c r="AO162" s="37">
        <f>SUMIFS('Federal Data'!Z2:Z501,'Federal Data'!$H2:$H501,"TANF",'Federal Data'!$D2:$D501,"Grant")</f>
        <v>0</v>
      </c>
      <c r="AP162" s="85"/>
      <c r="AQ162" s="37"/>
      <c r="AR162" s="37">
        <f>SUMIFS('Federal Data'!AA2:AA501,'Federal Data'!$H2:$H501,"TANF",'Federal Data'!$D2:$D501,"Grant")</f>
        <v>0</v>
      </c>
      <c r="AS162" s="85"/>
      <c r="AT162" s="37"/>
      <c r="AU162" s="37">
        <f>SUMIFS('Federal Data'!AB2:AB501,'Federal Data'!$H2:$H501,"TANF",'Federal Data'!$D2:$D501,"Grant")</f>
        <v>0</v>
      </c>
      <c r="AV162" s="85"/>
      <c r="AW162" s="37"/>
      <c r="AX162" s="37">
        <f>SUMIFS('Federal Data'!AC2:AC501,'Federal Data'!$H2:$H501,"TANF",'Federal Data'!$D2:$D501,"Grant")</f>
        <v>0</v>
      </c>
      <c r="AY162" s="85"/>
      <c r="AZ162" s="37"/>
      <c r="BA162" s="37">
        <f>SUMIFS('Federal Data'!AD2:AD501,'Federal Data'!$H2:$H501,"TANF",'Federal Data'!$D2:$D501,"Grant")</f>
        <v>9726000</v>
      </c>
      <c r="BB162" s="85"/>
      <c r="BC162" s="37"/>
      <c r="BD162" s="37">
        <f>SUMIFS('Federal Data'!AE2:AE501,'Federal Data'!$H2:$H501,"TANF",'Federal Data'!$D2:$D501,"Grant")</f>
        <v>13286000</v>
      </c>
      <c r="BE162" s="85"/>
      <c r="BF162" s="37"/>
      <c r="BG162" s="37">
        <f>SUMIFS('Federal Data'!AF2:AF501,'Federal Data'!$H2:$H501,"TANF",'Federal Data'!$D2:$D501,"Grant")</f>
        <v>14161000</v>
      </c>
      <c r="BH162" s="85"/>
      <c r="BI162" s="37"/>
      <c r="BJ162" s="37">
        <f>SUMIFS('Federal Data'!AG2:AG501,'Federal Data'!$H2:$H501,"TANF",'Federal Data'!$D2:$D501,"Grant")</f>
        <v>15464000</v>
      </c>
      <c r="BK162" s="85"/>
      <c r="BL162" s="37"/>
      <c r="BM162" s="37">
        <f>SUMIFS('Federal Data'!AH2:AH501,'Federal Data'!$H2:$H501,"TANF",'Federal Data'!$D2:$D501,"Grant")</f>
        <v>18583000</v>
      </c>
      <c r="BN162" s="85"/>
      <c r="BO162" s="37"/>
      <c r="BP162" s="37">
        <f>SUMIFS('Federal Data'!AI2:AI501,'Federal Data'!$H2:$H501,"TANF",'Federal Data'!$D2:$D501,"Grant")</f>
        <v>18749000</v>
      </c>
      <c r="BQ162" s="85"/>
      <c r="BR162" s="37"/>
      <c r="BS162" s="37">
        <f>SUMIFS('Federal Data'!AJ2:AJ501,'Federal Data'!$H2:$H501,"TANF",'Federal Data'!$D2:$D501,"Grant")</f>
        <v>19352000</v>
      </c>
      <c r="BT162" s="85"/>
      <c r="BU162" s="37"/>
      <c r="BV162" s="37">
        <f>SUMIFS('Federal Data'!AK2:AK501,'Federal Data'!$H2:$H501,"TANF",'Federal Data'!$D2:$D501,"Grant")</f>
        <v>17725000</v>
      </c>
      <c r="BW162" s="85"/>
      <c r="BX162" s="37"/>
      <c r="BY162" s="37">
        <f>SUMIFS('Federal Data'!AL2:AL501,'Federal Data'!$H2:$H501,"TANF",'Federal Data'!$D2:$D501,"Grant")</f>
        <v>17400000</v>
      </c>
      <c r="BZ162" s="85"/>
      <c r="CA162" s="37"/>
      <c r="CB162" s="37">
        <f>SUMIFS('Federal Data'!AM2:AM501,'Federal Data'!$H2:$H501,"TANF",'Federal Data'!$D2:$D501,"Grant")</f>
        <v>16974000</v>
      </c>
      <c r="CC162" s="85"/>
      <c r="CD162" s="37"/>
      <c r="CE162" s="37">
        <f>SUMIFS('Federal Data'!AN2:AN501,'Federal Data'!$H2:$H501,"TANF",'Federal Data'!$D2:$D501,"Grant")</f>
        <v>16932000</v>
      </c>
      <c r="CF162" s="85"/>
      <c r="CG162" s="37"/>
      <c r="CH162" s="37">
        <f>SUMIFS('Federal Data'!AO2:AO501,'Federal Data'!$H2:$H501,"TANF",'Federal Data'!$D2:$D501,"Grant")</f>
        <v>17880000</v>
      </c>
      <c r="CI162" s="85"/>
      <c r="CJ162" s="37"/>
      <c r="CK162" s="37">
        <f>SUMIFS('Federal Data'!AP2:AP501,'Federal Data'!$H2:$H501,"TANF",'Federal Data'!$D2:$D501,"Grant")</f>
        <v>18933000</v>
      </c>
      <c r="CL162" s="85"/>
      <c r="CM162" s="37"/>
      <c r="CN162" s="37">
        <f>SUMIFS('Federal Data'!AQ2:AQ501,'Federal Data'!$H2:$H501,"TANF",'Federal Data'!$D2:$D501,"Grant")</f>
        <v>20418000</v>
      </c>
      <c r="CO162" s="85"/>
      <c r="CP162" s="37"/>
      <c r="CQ162" s="37">
        <f>SUMIFS('Federal Data'!AR2:AR501,'Federal Data'!$H2:$H501,"TANF",'Federal Data'!$D2:$D501,"Grant")</f>
        <v>19072000</v>
      </c>
      <c r="CR162" s="85"/>
      <c r="CS162" s="37"/>
      <c r="CT162" s="37">
        <f>SUMIFS('Federal Data'!AS2:AS501,'Federal Data'!$H2:$H501,"TANF",'Federal Data'!$D2:$D501,"Grant")</f>
        <v>16814000</v>
      </c>
      <c r="CU162" s="85"/>
      <c r="CV162" s="37"/>
      <c r="CW162" s="37">
        <f>SUMIFS('Federal Data'!AT2:AT501,'Federal Data'!$H2:$H501,"TANF",'Federal Data'!$D2:$D501,"Grant")</f>
        <v>17806000</v>
      </c>
      <c r="CX162" s="85"/>
      <c r="CY162" s="37"/>
      <c r="CZ162" s="37">
        <f>SUMIFS('Federal Data'!AU2:AU501,'Federal Data'!$H2:$H501,"TANF",'Federal Data'!$D2:$D501,"Grant")</f>
        <v>16887000</v>
      </c>
      <c r="DA162" s="85"/>
      <c r="DB162" s="37"/>
      <c r="DC162" s="37">
        <f>SUMIFS('Federal Data'!AV2:AV501,'Federal Data'!$H2:$H501,"TANF",'Federal Data'!$D2:$D501,"Grant")</f>
        <v>16670000</v>
      </c>
      <c r="DD162" s="85"/>
      <c r="DE162" s="37"/>
    </row>
    <row r="163" spans="1:112" outlineLevel="1">
      <c r="A163" s="27" t="s">
        <v>61</v>
      </c>
      <c r="B163" s="37">
        <f>SUMIFS('Federal Data'!M2:M501,'Federal Data'!$G2:$G501,"Non-Cash Programs",'Federal Data'!$D2:$D501,"Grant")</f>
        <v>23741906</v>
      </c>
      <c r="C163" s="85"/>
      <c r="D163" s="37"/>
      <c r="E163" s="37">
        <f>SUMIFS('Federal Data'!N2:N501,'Federal Data'!$G2:$G501,"Non-Cash Programs",'Federal Data'!$D2:$D501,"Grant")</f>
        <v>27789013</v>
      </c>
      <c r="F163" s="85"/>
      <c r="G163" s="37"/>
      <c r="H163" s="37">
        <f>SUMIFS('Federal Data'!O2:O501,'Federal Data'!$G2:$G501,"Non-Cash Programs",'Federal Data'!$D2:$D501,"Grant")</f>
        <v>29110479</v>
      </c>
      <c r="I163" s="85"/>
      <c r="J163" s="37"/>
      <c r="K163" s="37">
        <f>SUMIFS('Federal Data'!P2:P501,'Federal Data'!$G2:$G501,"Non-Cash Programs",'Federal Data'!$D2:$D501,"Grant")</f>
        <v>33224996</v>
      </c>
      <c r="L163" s="85"/>
      <c r="M163" s="37"/>
      <c r="N163" s="37">
        <f>SUMIFS('Federal Data'!Q2:Q501,'Federal Data'!$G2:$G501,"Non-Cash Programs",'Federal Data'!$D2:$D501,"Grant")</f>
        <v>34912481</v>
      </c>
      <c r="O163" s="85"/>
      <c r="P163" s="37"/>
      <c r="Q163" s="37">
        <f>SUMIFS('Federal Data'!R2:R501,'Federal Data'!$G2:$G501,"Non-Cash Programs",'Federal Data'!$D2:$D501,"Grant")</f>
        <v>38767907</v>
      </c>
      <c r="R163" s="85"/>
      <c r="S163" s="37"/>
      <c r="T163" s="37">
        <f>SUMIFS('Federal Data'!S2:S501,'Federal Data'!$G2:$G501,"Non-Cash Programs",'Federal Data'!$D2:$D501,"Grant")</f>
        <v>42328497</v>
      </c>
      <c r="U163" s="85"/>
      <c r="V163" s="37"/>
      <c r="W163" s="37">
        <f>SUMIFS('Federal Data'!T2:T501,'Federal Data'!$G2:$G501,"Non-Cash Programs",'Federal Data'!$D2:$D501,"Grant")</f>
        <v>45046443</v>
      </c>
      <c r="X163" s="85"/>
      <c r="Y163" s="37"/>
      <c r="Z163" s="37">
        <f>SUMIFS('Federal Data'!U2:U501,'Federal Data'!$G2:$G501,"Non-Cash Programs",'Federal Data'!$D2:$D501,"Grant")</f>
        <v>49512977</v>
      </c>
      <c r="AA163" s="85"/>
      <c r="AB163" s="37"/>
      <c r="AC163" s="37">
        <f>SUMIFS('Federal Data'!V2:V501,'Federal Data'!$G2:$G501,"Non-Cash Programs",'Federal Data'!$D2:$D501,"Grant")</f>
        <v>54105608</v>
      </c>
      <c r="AD163" s="85"/>
      <c r="AE163" s="37"/>
      <c r="AF163" s="37">
        <f>SUMIFS('Federal Data'!W2:W501,'Federal Data'!$G2:$G501,"Non-Cash Programs",'Federal Data'!$D2:$D501,"Grant")</f>
        <v>62153907</v>
      </c>
      <c r="AG163" s="85"/>
      <c r="AH163" s="37"/>
      <c r="AI163" s="37">
        <f>SUMIFS('Federal Data'!X2:X501,'Federal Data'!$G2:$G501,"Non-Cash Programs",'Federal Data'!$D2:$D501,"Grant")</f>
        <v>75922702</v>
      </c>
      <c r="AJ163" s="85"/>
      <c r="AK163" s="37"/>
      <c r="AL163" s="37">
        <f>SUMIFS('Federal Data'!Y2:Y501,'Federal Data'!$G2:$G501,"Non-Cash Programs",'Federal Data'!$D2:$D501,"Grant")</f>
        <v>93655799</v>
      </c>
      <c r="AM163" s="85"/>
      <c r="AN163" s="37"/>
      <c r="AO163" s="37">
        <f>SUMIFS('Federal Data'!Z2:Z501,'Federal Data'!$G2:$G501,"Non-Cash Programs",'Federal Data'!$D2:$D501,"Grant")</f>
        <v>104527955</v>
      </c>
      <c r="AP163" s="85"/>
      <c r="AQ163" s="37"/>
      <c r="AR163" s="37">
        <f>SUMIFS('Federal Data'!AA2:AA501,'Federal Data'!$G2:$G501,"Non-Cash Programs",'Federal Data'!$D2:$D501,"Grant")</f>
        <v>114652431</v>
      </c>
      <c r="AS163" s="85"/>
      <c r="AT163" s="37"/>
      <c r="AU163" s="37">
        <f>SUMIFS('Federal Data'!AB2:AB501,'Federal Data'!$G2:$G501,"Non-Cash Programs",'Federal Data'!$D2:$D501,"Grant")</f>
        <v>124479000</v>
      </c>
      <c r="AV163" s="85"/>
      <c r="AW163" s="37"/>
      <c r="AX163" s="37">
        <f>SUMIFS('Federal Data'!AC2:AC501,'Federal Data'!$G2:$G501,"Non-Cash Programs",'Federal Data'!$D2:$D501,"Grant")</f>
        <v>126157000</v>
      </c>
      <c r="AY163" s="85"/>
      <c r="AZ163" s="37"/>
      <c r="BA163" s="37">
        <f>SUMIFS('Federal Data'!AD2:AD501,'Federal Data'!$G2:$G501,"Non-Cash Programs",'Federal Data'!$D2:$D501,"Grant")</f>
        <v>132919000</v>
      </c>
      <c r="BB163" s="85"/>
      <c r="BC163" s="37"/>
      <c r="BD163" s="37">
        <f>SUMIFS('Federal Data'!AE2:AE501,'Federal Data'!$G2:$G501,"Non-Cash Programs",'Federal Data'!$D2:$D501,"Grant")</f>
        <v>142081000</v>
      </c>
      <c r="BE163" s="85"/>
      <c r="BF163" s="37"/>
      <c r="BG163" s="37">
        <f>SUMIFS('Federal Data'!AF2:AF501,'Federal Data'!$G2:$G501,"Non-Cash Programs",'Federal Data'!$D2:$D501,"Grant")</f>
        <v>153159000</v>
      </c>
      <c r="BH163" s="85"/>
      <c r="BI163" s="37"/>
      <c r="BJ163" s="37">
        <f>SUMIFS('Federal Data'!AG2:AG501,'Federal Data'!$G2:$G501,"Non-Cash Programs",'Federal Data'!$D2:$D501,"Grant")</f>
        <v>161356000</v>
      </c>
      <c r="BK163" s="85"/>
      <c r="BL163" s="37"/>
      <c r="BM163" s="37">
        <f>SUMIFS('Federal Data'!AH2:AH501,'Federal Data'!$G2:$G501,"Non-Cash Programs",'Federal Data'!$D2:$D501,"Grant")</f>
        <v>178534000</v>
      </c>
      <c r="BN163" s="85"/>
      <c r="BO163" s="37"/>
      <c r="BP163" s="37">
        <f>SUMIFS('Federal Data'!AI2:AI501,'Federal Data'!$G2:$G501,"Non-Cash Programs",'Federal Data'!$D2:$D501,"Grant")</f>
        <v>201114000</v>
      </c>
      <c r="BQ163" s="85"/>
      <c r="BR163" s="37"/>
      <c r="BS163" s="37">
        <f>SUMIFS('Federal Data'!AJ2:AJ501,'Federal Data'!$G2:$G501,"Non-Cash Programs",'Federal Data'!$D2:$D501,"Grant")</f>
        <v>219476000</v>
      </c>
      <c r="BT163" s="85"/>
      <c r="BU163" s="37"/>
      <c r="BV163" s="37">
        <f>SUMIFS('Federal Data'!AK2:AK501,'Federal Data'!$G2:$G501,"Non-Cash Programs",'Federal Data'!$D2:$D501,"Grant")</f>
        <v>235976000</v>
      </c>
      <c r="BW163" s="85"/>
      <c r="BX163" s="37"/>
      <c r="BY163" s="37">
        <f>SUMIFS('Federal Data'!AL2:AL501,'Federal Data'!$G2:$G501,"Non-Cash Programs",'Federal Data'!$D2:$D501,"Grant")</f>
        <v>246452000</v>
      </c>
      <c r="BZ163" s="85"/>
      <c r="CA163" s="37"/>
      <c r="CB163" s="37">
        <f>SUMIFS('Federal Data'!AM2:AM501,'Federal Data'!$G2:$G501,"Non-Cash Programs",'Federal Data'!$D2:$D501,"Grant")</f>
        <v>246808000</v>
      </c>
      <c r="CC163" s="85"/>
      <c r="CD163" s="37"/>
      <c r="CE163" s="37">
        <f>SUMIFS('Federal Data'!AN2:AN501,'Federal Data'!$G2:$G501,"Non-Cash Programs",'Federal Data'!$D2:$D501,"Grant")</f>
        <v>258279000</v>
      </c>
      <c r="CF163" s="85"/>
      <c r="CG163" s="37"/>
      <c r="CH163" s="37">
        <f>SUMIFS('Federal Data'!AO2:AO501,'Federal Data'!$G2:$G501,"Non-Cash Programs",'Federal Data'!$D2:$D501,"Grant")</f>
        <v>271575000</v>
      </c>
      <c r="CI163" s="85"/>
      <c r="CJ163" s="37"/>
      <c r="CK163" s="37">
        <f>SUMIFS('Federal Data'!AP2:AP501,'Federal Data'!$G2:$G501,"Non-Cash Programs",'Federal Data'!$D2:$D501,"Grant")</f>
        <v>327595000</v>
      </c>
      <c r="CL163" s="85"/>
      <c r="CM163" s="37"/>
      <c r="CN163" s="37">
        <f>SUMIFS('Federal Data'!AQ2:AQ501,'Federal Data'!$G2:$G501,"Non-Cash Programs",'Federal Data'!$D2:$D501,"Grant")</f>
        <v>359201000</v>
      </c>
      <c r="CO163" s="85"/>
      <c r="CP163" s="37"/>
      <c r="CQ163" s="37">
        <f>SUMIFS('Federal Data'!AR2:AR501,'Federal Data'!$G2:$G501,"Non-Cash Programs",'Federal Data'!$D2:$D501,"Grant")</f>
        <v>361724000</v>
      </c>
      <c r="CR163" s="85"/>
      <c r="CS163" s="37"/>
      <c r="CT163" s="37">
        <f>SUMIFS('Federal Data'!AS2:AS501,'Federal Data'!$G2:$G501,"Non-Cash Programs",'Federal Data'!$D2:$D501,"Grant")</f>
        <v>331889000</v>
      </c>
      <c r="CU163" s="85"/>
      <c r="CV163" s="37"/>
      <c r="CW163" s="37">
        <f>SUMIFS('Federal Data'!AT2:AT501,'Federal Data'!$G2:$G501,"Non-Cash Programs",'Federal Data'!$D2:$D501,"Grant")</f>
        <v>344922000</v>
      </c>
      <c r="CX163" s="85"/>
      <c r="CY163" s="37"/>
      <c r="CZ163" s="37">
        <f>SUMIFS('Federal Data'!AU2:AU501,'Federal Data'!$G2:$G501,"Non-Cash Programs",'Federal Data'!$D2:$D501,"Grant")</f>
        <v>380659000</v>
      </c>
      <c r="DA163" s="85"/>
      <c r="DB163" s="37"/>
      <c r="DC163" s="37">
        <f>SUMIFS('Federal Data'!AV2:AV501,'Federal Data'!$G2:$G501,"Non-Cash Programs",'Federal Data'!$D2:$D501,"Grant")</f>
        <v>430229000</v>
      </c>
      <c r="DD163" s="85"/>
      <c r="DE163" s="37"/>
    </row>
    <row r="164" spans="1:112" outlineLevel="1">
      <c r="A164" s="28" t="s">
        <v>110</v>
      </c>
      <c r="B164" s="37">
        <f>SUMIFS('Federal Data'!M2:M501,'Federal Data'!$H2:$H501,"Child Care Assistance",'Federal Data'!$D2:$D501,"Grant")</f>
        <v>0</v>
      </c>
      <c r="C164" s="85"/>
      <c r="D164" s="37"/>
      <c r="E164" s="37">
        <f>SUMIFS('Federal Data'!N2:N501,'Federal Data'!$H2:$H501,"Child Care Assistance",'Federal Data'!$D2:$D501,"Grant")</f>
        <v>0</v>
      </c>
      <c r="F164" s="85"/>
      <c r="G164" s="37"/>
      <c r="H164" s="37">
        <f>SUMIFS('Federal Data'!O2:O501,'Federal Data'!$H2:$H501,"Child Care Assistance",'Federal Data'!$D2:$D501,"Grant")</f>
        <v>0</v>
      </c>
      <c r="I164" s="85"/>
      <c r="J164" s="37"/>
      <c r="K164" s="37">
        <f>SUMIFS('Federal Data'!P2:P501,'Federal Data'!$H2:$H501,"Child Care Assistance",'Federal Data'!$D2:$D501,"Grant")</f>
        <v>0</v>
      </c>
      <c r="L164" s="85"/>
      <c r="M164" s="37"/>
      <c r="N164" s="37">
        <f>SUMIFS('Federal Data'!Q2:Q501,'Federal Data'!$H2:$H501,"Child Care Assistance",'Federal Data'!$D2:$D501,"Grant")</f>
        <v>0</v>
      </c>
      <c r="O164" s="85"/>
      <c r="P164" s="37"/>
      <c r="Q164" s="37">
        <f>SUMIFS('Federal Data'!R2:R501,'Federal Data'!$H2:$H501,"Child Care Assistance",'Federal Data'!$D2:$D501,"Grant")</f>
        <v>0</v>
      </c>
      <c r="R164" s="85"/>
      <c r="S164" s="37"/>
      <c r="T164" s="37">
        <f>SUMIFS('Federal Data'!S2:S501,'Federal Data'!$H2:$H501,"Child Care Assistance",'Federal Data'!$D2:$D501,"Grant")</f>
        <v>0</v>
      </c>
      <c r="U164" s="85"/>
      <c r="V164" s="37"/>
      <c r="W164" s="37">
        <f>SUMIFS('Federal Data'!T2:T501,'Federal Data'!$H2:$H501,"Child Care Assistance",'Federal Data'!$D2:$D501,"Grant")</f>
        <v>0</v>
      </c>
      <c r="X164" s="85"/>
      <c r="Y164" s="37"/>
      <c r="Z164" s="37">
        <f>SUMIFS('Federal Data'!U2:U501,'Federal Data'!$H2:$H501,"Child Care Assistance",'Federal Data'!$D2:$D501,"Grant")</f>
        <v>0</v>
      </c>
      <c r="AA164" s="85"/>
      <c r="AB164" s="37"/>
      <c r="AC164" s="37">
        <f>SUMIFS('Federal Data'!V2:V501,'Federal Data'!$H2:$H501,"Child Care Assistance",'Federal Data'!$D2:$D501,"Grant")</f>
        <v>0</v>
      </c>
      <c r="AD164" s="85"/>
      <c r="AE164" s="37"/>
      <c r="AF164" s="37">
        <f>SUMIFS('Federal Data'!W2:W501,'Federal Data'!$H2:$H501,"Child Care Assistance",'Federal Data'!$D2:$D501,"Grant")</f>
        <v>0</v>
      </c>
      <c r="AG164" s="85"/>
      <c r="AH164" s="37"/>
      <c r="AI164" s="37">
        <f>SUMIFS('Federal Data'!X2:X501,'Federal Data'!$H2:$H501,"Child Care Assistance",'Federal Data'!$D2:$D501,"Grant")</f>
        <v>0</v>
      </c>
      <c r="AJ164" s="85"/>
      <c r="AK164" s="37"/>
      <c r="AL164" s="37">
        <f>SUMIFS('Federal Data'!Y2:Y501,'Federal Data'!$H2:$H501,"Child Care Assistance",'Federal Data'!$D2:$D501,"Grant")</f>
        <v>0</v>
      </c>
      <c r="AM164" s="85"/>
      <c r="AN164" s="37"/>
      <c r="AO164" s="37">
        <f>SUMIFS('Federal Data'!Z2:Z501,'Federal Data'!$H2:$H501,"Child Care Assistance",'Federal Data'!$D2:$D501,"Grant")</f>
        <v>410841</v>
      </c>
      <c r="AP164" s="85"/>
      <c r="AQ164" s="37"/>
      <c r="AR164" s="37">
        <f>SUMIFS('Federal Data'!AA2:AA501,'Federal Data'!$H2:$H501,"Child Care Assistance",'Federal Data'!$D2:$D501,"Grant")</f>
        <v>786421</v>
      </c>
      <c r="AS164" s="85"/>
      <c r="AT164" s="37"/>
      <c r="AU164" s="37">
        <f>SUMIFS('Federal Data'!AB2:AB501,'Federal Data'!$H2:$H501,"Child Care Assistance",'Federal Data'!$D2:$D501,"Grant")</f>
        <v>933000</v>
      </c>
      <c r="AV164" s="85"/>
      <c r="AW164" s="37"/>
      <c r="AX164" s="37">
        <f>SUMIFS('Federal Data'!AC2:AC501,'Federal Data'!$H2:$H501,"Child Care Assistance",'Federal Data'!$D2:$D501,"Grant")</f>
        <v>933000</v>
      </c>
      <c r="AY164" s="85"/>
      <c r="AZ164" s="37"/>
      <c r="BA164" s="37">
        <f>SUMIFS('Federal Data'!AD2:AD501,'Federal Data'!$H2:$H501,"Child Care Assistance",'Federal Data'!$D2:$D501,"Grant")</f>
        <v>2307000</v>
      </c>
      <c r="BB164" s="85"/>
      <c r="BC164" s="37"/>
      <c r="BD164" s="37">
        <f>SUMIFS('Federal Data'!AE2:AE501,'Federal Data'!$H2:$H501,"Child Care Assistance",'Federal Data'!$D2:$D501,"Grant")</f>
        <v>3120000</v>
      </c>
      <c r="BE164" s="85"/>
      <c r="BF164" s="37"/>
      <c r="BG164" s="37">
        <f>SUMIFS('Federal Data'!AF2:AF501,'Federal Data'!$H2:$H501,"Child Care Assistance",'Federal Data'!$D2:$D501,"Grant")</f>
        <v>3283000</v>
      </c>
      <c r="BH164" s="85"/>
      <c r="BI164" s="37"/>
      <c r="BJ164" s="37">
        <f>SUMIFS('Federal Data'!AG2:AG501,'Federal Data'!$H2:$H501,"Child Care Assistance",'Federal Data'!$D2:$D501,"Grant")</f>
        <v>3302000</v>
      </c>
      <c r="BK164" s="85"/>
      <c r="BL164" s="37"/>
      <c r="BM164" s="37">
        <f>SUMIFS('Federal Data'!AH2:AH501,'Federal Data'!$H2:$H501,"Child Care Assistance",'Federal Data'!$D2:$D501,"Grant")</f>
        <v>3705000</v>
      </c>
      <c r="BN164" s="85"/>
      <c r="BO164" s="37"/>
      <c r="BP164" s="37">
        <f>SUMIFS('Federal Data'!AI2:AI501,'Federal Data'!$H2:$H501,"Child Care Assistance",'Federal Data'!$D2:$D501,"Grant")</f>
        <v>4525000</v>
      </c>
      <c r="BQ164" s="85"/>
      <c r="BR164" s="37"/>
      <c r="BS164" s="37">
        <f>SUMIFS('Federal Data'!AJ2:AJ501,'Federal Data'!$H2:$H501,"Child Care Assistance",'Federal Data'!$D2:$D501,"Grant")</f>
        <v>5189000</v>
      </c>
      <c r="BT164" s="85"/>
      <c r="BU164" s="37"/>
      <c r="BV164" s="37">
        <f>SUMIFS('Federal Data'!AK2:AK501,'Federal Data'!$H2:$H501,"Child Care Assistance",'Federal Data'!$D2:$D501,"Grant")</f>
        <v>4826000</v>
      </c>
      <c r="BW164" s="85"/>
      <c r="BX164" s="37"/>
      <c r="BY164" s="37">
        <f>SUMIFS('Federal Data'!AL2:AL501,'Federal Data'!$H2:$H501,"Child Care Assistance",'Federal Data'!$D2:$D501,"Grant")</f>
        <v>4894000</v>
      </c>
      <c r="BZ164" s="85"/>
      <c r="CA164" s="37"/>
      <c r="CB164" s="37">
        <f>SUMIFS('Federal Data'!AM2:AM501,'Federal Data'!$H2:$H501,"Child Care Assistance",'Federal Data'!$D2:$D501,"Grant")</f>
        <v>5245000</v>
      </c>
      <c r="CC164" s="85"/>
      <c r="CD164" s="37"/>
      <c r="CE164" s="37">
        <f>SUMIFS('Federal Data'!AN2:AN501,'Federal Data'!$H2:$H501,"Child Care Assistance",'Federal Data'!$D2:$D501,"Grant")</f>
        <v>5122000</v>
      </c>
      <c r="CF164" s="85"/>
      <c r="CG164" s="37"/>
      <c r="CH164" s="37">
        <f>SUMIFS('Federal Data'!AO2:AO501,'Federal Data'!$H2:$H501,"Child Care Assistance",'Federal Data'!$D2:$D501,"Grant")</f>
        <v>4977000</v>
      </c>
      <c r="CI164" s="85"/>
      <c r="CJ164" s="37"/>
      <c r="CK164" s="37">
        <f>SUMIFS('Federal Data'!AP2:AP501,'Federal Data'!$H2:$H501,"Child Care Assistance",'Federal Data'!$D2:$D501,"Grant")</f>
        <v>5298000</v>
      </c>
      <c r="CL164" s="85"/>
      <c r="CM164" s="37"/>
      <c r="CN164" s="37">
        <f>SUMIFS('Federal Data'!AQ2:AQ501,'Federal Data'!$H2:$H501,"Child Care Assistance",'Federal Data'!$D2:$D501,"Grant")</f>
        <v>5852000</v>
      </c>
      <c r="CO164" s="85"/>
      <c r="CP164" s="37"/>
      <c r="CQ164" s="37">
        <f>SUMIFS('Federal Data'!AR2:AR501,'Federal Data'!$H2:$H501,"Child Care Assistance",'Federal Data'!$D2:$D501,"Grant")</f>
        <v>6075000</v>
      </c>
      <c r="CR164" s="85"/>
      <c r="CS164" s="37"/>
      <c r="CT164" s="37">
        <f>SUMIFS('Federal Data'!AS2:AS501,'Federal Data'!$H2:$H501,"Child Care Assistance",'Federal Data'!$D2:$D501,"Grant")</f>
        <v>5019000</v>
      </c>
      <c r="CU164" s="85"/>
      <c r="CV164" s="37"/>
      <c r="CW164" s="37">
        <f>SUMIFS('Federal Data'!AT2:AT501,'Federal Data'!$H2:$H501,"Child Care Assistance",'Federal Data'!$D2:$D501,"Grant")</f>
        <v>5040000</v>
      </c>
      <c r="CX164" s="85"/>
      <c r="CY164" s="37"/>
      <c r="CZ164" s="37">
        <f>SUMIFS('Federal Data'!AU2:AU501,'Federal Data'!$H2:$H501,"Child Care Assistance",'Federal Data'!$D2:$D501,"Grant")</f>
        <v>5055000</v>
      </c>
      <c r="DA164" s="85"/>
      <c r="DB164" s="37"/>
      <c r="DC164" s="37">
        <f>SUMIFS('Federal Data'!AV2:AV501,'Federal Data'!$H2:$H501,"Child Care Assistance",'Federal Data'!$D2:$D501,"Grant")</f>
        <v>5122000</v>
      </c>
      <c r="DD164" s="85"/>
      <c r="DE164" s="37"/>
    </row>
    <row r="165" spans="1:112" outlineLevel="1">
      <c r="A165" s="28" t="s">
        <v>112</v>
      </c>
      <c r="B165" s="37">
        <f>SUMIFS('Federal Data'!M2:M501,'Federal Data'!$H2:$H501,"Medicaid and CHIP",'Federal Data'!$D2:$D501,"Grant")</f>
        <v>13956700</v>
      </c>
      <c r="C165" s="85"/>
      <c r="D165" s="37"/>
      <c r="E165" s="37">
        <f>SUMIFS('Federal Data'!N2:N501,'Federal Data'!$H2:$H501,"Medicaid and CHIP",'Federal Data'!$D2:$D501,"Grant")</f>
        <v>16833344</v>
      </c>
      <c r="F165" s="85"/>
      <c r="G165" s="37"/>
      <c r="H165" s="37">
        <f>SUMIFS('Federal Data'!O2:O501,'Federal Data'!$H2:$H501,"Medicaid and CHIP",'Federal Data'!$D2:$D501,"Grant")</f>
        <v>17390734</v>
      </c>
      <c r="I165" s="85"/>
      <c r="J165" s="37"/>
      <c r="K165" s="37">
        <f>SUMIFS('Federal Data'!P2:P501,'Federal Data'!$H2:$H501,"Medicaid and CHIP",'Federal Data'!$D2:$D501,"Grant")</f>
        <v>18985244</v>
      </c>
      <c r="L165" s="85"/>
      <c r="M165" s="37"/>
      <c r="N165" s="37">
        <f>SUMIFS('Federal Data'!Q2:Q501,'Federal Data'!$H2:$H501,"Medicaid and CHIP",'Federal Data'!$D2:$D501,"Grant")</f>
        <v>20060943</v>
      </c>
      <c r="O165" s="85"/>
      <c r="P165" s="37"/>
      <c r="Q165" s="37">
        <f>SUMIFS('Federal Data'!R2:R501,'Federal Data'!$H2:$H501,"Medicaid and CHIP",'Federal Data'!$D2:$D501,"Grant")</f>
        <v>22654604</v>
      </c>
      <c r="R165" s="85"/>
      <c r="S165" s="37"/>
      <c r="T165" s="37">
        <f>SUMIFS('Federal Data'!S2:S501,'Federal Data'!$H2:$H501,"Medicaid and CHIP",'Federal Data'!$D2:$D501,"Grant")</f>
        <v>24995451</v>
      </c>
      <c r="U165" s="85"/>
      <c r="V165" s="37"/>
      <c r="W165" s="37">
        <f>SUMIFS('Federal Data'!T2:T501,'Federal Data'!$H2:$H501,"Medicaid and CHIP",'Federal Data'!$D2:$D501,"Grant")</f>
        <v>27435204</v>
      </c>
      <c r="X165" s="85"/>
      <c r="Y165" s="37"/>
      <c r="Z165" s="37">
        <f>SUMIFS('Federal Data'!U2:U501,'Federal Data'!$H2:$H501,"Medicaid and CHIP",'Federal Data'!$D2:$D501,"Grant")</f>
        <v>30461630</v>
      </c>
      <c r="AA165" s="85"/>
      <c r="AB165" s="37"/>
      <c r="AC165" s="37">
        <f>SUMIFS('Federal Data'!V2:V501,'Federal Data'!$H2:$H501,"Medicaid and CHIP",'Federal Data'!$D2:$D501,"Grant")</f>
        <v>34603976</v>
      </c>
      <c r="AD165" s="85"/>
      <c r="AE165" s="37"/>
      <c r="AF165" s="37">
        <f>SUMIFS('Federal Data'!W2:W501,'Federal Data'!$H2:$H501,"Medicaid and CHIP",'Federal Data'!$D2:$D501,"Grant")</f>
        <v>41103202</v>
      </c>
      <c r="AG165" s="85"/>
      <c r="AH165" s="37"/>
      <c r="AI165" s="37">
        <f>SUMIFS('Federal Data'!X2:X501,'Federal Data'!$H2:$H501,"Medicaid and CHIP",'Federal Data'!$D2:$D501,"Grant")</f>
        <v>52532714</v>
      </c>
      <c r="AJ165" s="85"/>
      <c r="AK165" s="37"/>
      <c r="AL165" s="37">
        <f>SUMIFS('Federal Data'!Y2:Y501,'Federal Data'!$H2:$H501,"Medicaid and CHIP",'Federal Data'!$D2:$D501,"Grant")</f>
        <v>67827253</v>
      </c>
      <c r="AM165" s="85"/>
      <c r="AN165" s="37"/>
      <c r="AO165" s="37">
        <f>SUMIFS('Federal Data'!Z2:Z501,'Federal Data'!$H2:$H501,"Medicaid and CHIP",'Federal Data'!$D2:$D501,"Grant")</f>
        <v>75774060</v>
      </c>
      <c r="AP165" s="85"/>
      <c r="AQ165" s="37"/>
      <c r="AR165" s="37">
        <f>SUMIFS('Federal Data'!AA2:AA501,'Federal Data'!$H2:$H501,"Medicaid and CHIP",'Federal Data'!$D2:$D501,"Grant")</f>
        <v>82033658</v>
      </c>
      <c r="AS165" s="85"/>
      <c r="AT165" s="37"/>
      <c r="AU165" s="37">
        <f>SUMIFS('Federal Data'!AB2:AB501,'Federal Data'!$H2:$H501,"Medicaid and CHIP",'Federal Data'!$D2:$D501,"Grant")</f>
        <v>89070000</v>
      </c>
      <c r="AV165" s="85"/>
      <c r="AW165" s="37"/>
      <c r="AX165" s="37">
        <f>SUMIFS('Federal Data'!AC2:AC501,'Federal Data'!$H2:$H501,"Medicaid and CHIP",'Federal Data'!$D2:$D501,"Grant")</f>
        <v>91990000</v>
      </c>
      <c r="AY165" s="85"/>
      <c r="AZ165" s="37"/>
      <c r="BA165" s="37">
        <f>SUMIFS('Federal Data'!AD2:AD501,'Federal Data'!$H2:$H501,"Medicaid and CHIP",'Federal Data'!$D2:$D501,"Grant")</f>
        <v>95552000</v>
      </c>
      <c r="BB165" s="85"/>
      <c r="BC165" s="37"/>
      <c r="BD165" s="37">
        <f>SUMIFS('Federal Data'!AE2:AE501,'Federal Data'!$H2:$H501,"Medicaid and CHIP",'Federal Data'!$D2:$D501,"Grant")</f>
        <v>101239000</v>
      </c>
      <c r="BE165" s="85"/>
      <c r="BF165" s="37"/>
      <c r="BG165" s="37">
        <f>SUMIFS('Federal Data'!AF2:AF501,'Federal Data'!$H2:$H501,"Medicaid and CHIP",'Federal Data'!$D2:$D501,"Grant")</f>
        <v>108607000</v>
      </c>
      <c r="BH165" s="85"/>
      <c r="BI165" s="37"/>
      <c r="BJ165" s="37">
        <f>SUMIFS('Federal Data'!AG2:AG501,'Federal Data'!$H2:$H501,"Medicaid and CHIP",'Federal Data'!$D2:$D501,"Grant")</f>
        <v>119141000</v>
      </c>
      <c r="BK165" s="85"/>
      <c r="BL165" s="37"/>
      <c r="BM165" s="37">
        <f>SUMIFS('Federal Data'!AH2:AH501,'Federal Data'!$H2:$H501,"Medicaid and CHIP",'Federal Data'!$D2:$D501,"Grant")</f>
        <v>133135000</v>
      </c>
      <c r="BN165" s="85"/>
      <c r="BO165" s="37"/>
      <c r="BP165" s="37">
        <f>SUMIFS('Federal Data'!AI2:AI501,'Federal Data'!$H2:$H501,"Medicaid and CHIP",'Federal Data'!$D2:$D501,"Grant")</f>
        <v>151342000</v>
      </c>
      <c r="BQ165" s="85"/>
      <c r="BR165" s="37"/>
      <c r="BS165" s="37">
        <f>SUMIFS('Federal Data'!AJ2:AJ501,'Federal Data'!$H2:$H501,"Medicaid and CHIP",'Federal Data'!$D2:$D501,"Grant")</f>
        <v>165175000</v>
      </c>
      <c r="BT165" s="85"/>
      <c r="BU165" s="37"/>
      <c r="BV165" s="37">
        <f>SUMIFS('Federal Data'!AK2:AK501,'Federal Data'!$H2:$H501,"Medicaid and CHIP",'Federal Data'!$D2:$D501,"Grant")</f>
        <v>180886000</v>
      </c>
      <c r="BW165" s="85"/>
      <c r="BX165" s="37"/>
      <c r="BY165" s="37">
        <f>SUMIFS('Federal Data'!AL2:AL501,'Federal Data'!$H2:$H501,"Medicaid and CHIP",'Federal Data'!$D2:$D501,"Grant")</f>
        <v>186933000</v>
      </c>
      <c r="BZ165" s="85"/>
      <c r="CA165" s="37"/>
      <c r="CB165" s="37">
        <f>SUMIFS('Federal Data'!AM2:AM501,'Federal Data'!$H2:$H501,"Medicaid and CHIP",'Federal Data'!$D2:$D501,"Grant")</f>
        <v>187345000</v>
      </c>
      <c r="CC165" s="85"/>
      <c r="CD165" s="37"/>
      <c r="CE165" s="37">
        <f>SUMIFS('Federal Data'!AN2:AN501,'Federal Data'!$H2:$H501,"Medicaid and CHIP",'Federal Data'!$D2:$D501,"Grant")</f>
        <v>197899000</v>
      </c>
      <c r="CF165" s="85"/>
      <c r="CG165" s="37"/>
      <c r="CH165" s="37">
        <f>SUMIFS('Federal Data'!AO2:AO501,'Federal Data'!$H2:$H501,"Medicaid and CHIP",'Federal Data'!$D2:$D501,"Grant")</f>
        <v>208753000</v>
      </c>
      <c r="CI165" s="85"/>
      <c r="CJ165" s="37"/>
      <c r="CK165" s="37">
        <f>SUMIFS('Federal Data'!AP2:AP501,'Federal Data'!$H2:$H501,"Medicaid and CHIP",'Federal Data'!$D2:$D501,"Grant")</f>
        <v>258969000</v>
      </c>
      <c r="CL165" s="85"/>
      <c r="CM165" s="37"/>
      <c r="CN165" s="37">
        <f>SUMIFS('Federal Data'!AQ2:AQ501,'Federal Data'!$H2:$H501,"Medicaid and CHIP",'Federal Data'!$D2:$D501,"Grant")</f>
        <v>281189000</v>
      </c>
      <c r="CO165" s="85"/>
      <c r="CP165" s="37"/>
      <c r="CQ165" s="37">
        <f>SUMIFS('Federal Data'!AR2:AR501,'Federal Data'!$H2:$H501,"Medicaid and CHIP",'Federal Data'!$D2:$D501,"Grant")</f>
        <v>284159000</v>
      </c>
      <c r="CR165" s="85"/>
      <c r="CS165" s="37"/>
      <c r="CT165" s="37">
        <f>SUMIFS('Federal Data'!AS2:AS501,'Federal Data'!$H2:$H501,"Medicaid and CHIP",'Federal Data'!$D2:$D501,"Grant")</f>
        <v>260076000</v>
      </c>
      <c r="CU165" s="85"/>
      <c r="CV165" s="37"/>
      <c r="CW165" s="37">
        <f>SUMIFS('Federal Data'!AT2:AT501,'Federal Data'!$H2:$H501,"Medicaid and CHIP",'Federal Data'!$D2:$D501,"Grant")</f>
        <v>275392000</v>
      </c>
      <c r="CX165" s="85"/>
      <c r="CY165" s="37"/>
      <c r="CZ165" s="37">
        <f>SUMIFS('Federal Data'!AU2:AU501,'Federal Data'!$H2:$H501,"Medicaid and CHIP",'Federal Data'!$D2:$D501,"Grant")</f>
        <v>311297000</v>
      </c>
      <c r="DA165" s="85"/>
      <c r="DB165" s="37"/>
      <c r="DC165" s="37">
        <f>SUMIFS('Federal Data'!AV2:AV501,'Federal Data'!$H2:$H501,"Medicaid and CHIP",'Federal Data'!$D2:$D501,"Grant")</f>
        <v>359572000</v>
      </c>
      <c r="DD165" s="85"/>
      <c r="DE165" s="37"/>
    </row>
    <row r="166" spans="1:112" outlineLevel="1">
      <c r="A166" s="28" t="s">
        <v>111</v>
      </c>
      <c r="B166" s="37">
        <f>SUMIFS('Federal Data'!M2:M501,'Federal Data'!$H2:$H501,"Housing Assistance",'Federal Data'!$D2:$D501,"Grant")</f>
        <v>3452878</v>
      </c>
      <c r="C166" s="85"/>
      <c r="D166" s="37"/>
      <c r="E166" s="37">
        <f>SUMIFS('Federal Data'!N2:N501,'Federal Data'!$H2:$H501,"Housing Assistance",'Federal Data'!$D2:$D501,"Grant")</f>
        <v>4058580</v>
      </c>
      <c r="F166" s="85"/>
      <c r="G166" s="37"/>
      <c r="H166" s="37">
        <f>SUMIFS('Federal Data'!O2:O501,'Federal Data'!$H2:$H501,"Housing Assistance",'Federal Data'!$D2:$D501,"Grant")</f>
        <v>4921918</v>
      </c>
      <c r="I166" s="85"/>
      <c r="J166" s="37"/>
      <c r="K166" s="37">
        <f>SUMIFS('Federal Data'!P2:P501,'Federal Data'!$H2:$H501,"Housing Assistance",'Federal Data'!$D2:$D501,"Grant")</f>
        <v>5718110</v>
      </c>
      <c r="L166" s="85"/>
      <c r="M166" s="37"/>
      <c r="N166" s="37">
        <f>SUMIFS('Federal Data'!Q2:Q501,'Federal Data'!$H2:$H501,"Housing Assistance",'Federal Data'!$D2:$D501,"Grant")</f>
        <v>5768935</v>
      </c>
      <c r="O166" s="85"/>
      <c r="P166" s="37"/>
      <c r="Q166" s="37">
        <f>SUMIFS('Federal Data'!R2:R501,'Federal Data'!$H2:$H501,"Housing Assistance",'Federal Data'!$D2:$D501,"Grant")</f>
        <v>6417011</v>
      </c>
      <c r="R166" s="85"/>
      <c r="S166" s="37"/>
      <c r="T166" s="37">
        <f>SUMIFS('Federal Data'!S2:S501,'Federal Data'!$H2:$H501,"Housing Assistance",'Federal Data'!$D2:$D501,"Grant")</f>
        <v>7442787</v>
      </c>
      <c r="U166" s="85"/>
      <c r="V166" s="37"/>
      <c r="W166" s="37">
        <f>SUMIFS('Federal Data'!T2:T501,'Federal Data'!$H2:$H501,"Housing Assistance",'Federal Data'!$D2:$D501,"Grant")</f>
        <v>7400093</v>
      </c>
      <c r="X166" s="85"/>
      <c r="Y166" s="37"/>
      <c r="Z166" s="37">
        <f>SUMIFS('Federal Data'!U2:U501,'Federal Data'!$H2:$H501,"Housing Assistance",'Federal Data'!$D2:$D501,"Grant")</f>
        <v>8650829</v>
      </c>
      <c r="AA166" s="85"/>
      <c r="AB166" s="37"/>
      <c r="AC166" s="37">
        <f>SUMIFS('Federal Data'!V2:V501,'Federal Data'!$H2:$H501,"Housing Assistance",'Federal Data'!$D2:$D501,"Grant")</f>
        <v>8553124</v>
      </c>
      <c r="AD166" s="85"/>
      <c r="AE166" s="37"/>
      <c r="AF166" s="37">
        <f>SUMIFS('Federal Data'!W2:W501,'Federal Data'!$H2:$H501,"Housing Assistance",'Federal Data'!$D2:$D501,"Grant")</f>
        <v>9552419</v>
      </c>
      <c r="AG166" s="85"/>
      <c r="AH166" s="37"/>
      <c r="AI166" s="37">
        <f>SUMIFS('Federal Data'!X2:X501,'Federal Data'!$H2:$H501,"Housing Assistance",'Federal Data'!$D2:$D501,"Grant")</f>
        <v>10466473</v>
      </c>
      <c r="AJ166" s="85"/>
      <c r="AK166" s="37"/>
      <c r="AL166" s="37">
        <f>SUMIFS('Federal Data'!Y2:Y501,'Federal Data'!$H2:$H501,"Housing Assistance",'Federal Data'!$D2:$D501,"Grant")</f>
        <v>12289667</v>
      </c>
      <c r="AM166" s="85"/>
      <c r="AN166" s="37"/>
      <c r="AO166" s="37">
        <f>SUMIFS('Federal Data'!Z2:Z501,'Federal Data'!$H2:$H501,"Housing Assistance",'Federal Data'!$D2:$D501,"Grant")</f>
        <v>14125598</v>
      </c>
      <c r="AP166" s="85"/>
      <c r="AQ166" s="37"/>
      <c r="AR166" s="37">
        <f>SUMIFS('Federal Data'!AA2:AA501,'Federal Data'!$H2:$H501,"Housing Assistance",'Federal Data'!$D2:$D501,"Grant")</f>
        <v>15809694</v>
      </c>
      <c r="AS166" s="85"/>
      <c r="AT166" s="37"/>
      <c r="AU166" s="37">
        <f>SUMIFS('Federal Data'!AB2:AB501,'Federal Data'!$H2:$H501,"Housing Assistance",'Federal Data'!$D2:$D501,"Grant")</f>
        <v>18434000</v>
      </c>
      <c r="AV166" s="85"/>
      <c r="AW166" s="37"/>
      <c r="AX166" s="37">
        <f>SUMIFS('Federal Data'!AC2:AC501,'Federal Data'!$H2:$H501,"Housing Assistance",'Federal Data'!$D2:$D501,"Grant")</f>
        <v>16789000</v>
      </c>
      <c r="AY166" s="85"/>
      <c r="AZ166" s="37"/>
      <c r="BA166" s="37">
        <f>SUMIFS('Federal Data'!AD2:AD501,'Federal Data'!$H2:$H501,"Housing Assistance",'Federal Data'!$D2:$D501,"Grant")</f>
        <v>17717000</v>
      </c>
      <c r="BB166" s="85"/>
      <c r="BC166" s="37"/>
      <c r="BD166" s="37">
        <f>SUMIFS('Federal Data'!AE2:AE501,'Federal Data'!$H2:$H501,"Housing Assistance",'Federal Data'!$D2:$D501,"Grant")</f>
        <v>19668000</v>
      </c>
      <c r="BE166" s="85"/>
      <c r="BF166" s="37"/>
      <c r="BG166" s="37">
        <f>SUMIFS('Federal Data'!AF2:AF501,'Federal Data'!$H2:$H501,"Housing Assistance",'Federal Data'!$D2:$D501,"Grant")</f>
        <v>22830000</v>
      </c>
      <c r="BH166" s="85"/>
      <c r="BI166" s="37"/>
      <c r="BJ166" s="37">
        <f>SUMIFS('Federal Data'!AG2:AG501,'Federal Data'!$H2:$H501,"Housing Assistance",'Federal Data'!$D2:$D501,"Grant")</f>
        <v>19974000</v>
      </c>
      <c r="BK166" s="85"/>
      <c r="BL166" s="37"/>
      <c r="BM166" s="37">
        <f>SUMIFS('Federal Data'!AH2:AH501,'Federal Data'!$H2:$H501,"Housing Assistance",'Federal Data'!$D2:$D501,"Grant")</f>
        <v>21139000</v>
      </c>
      <c r="BN166" s="85"/>
      <c r="BO166" s="37"/>
      <c r="BP166" s="37">
        <f>SUMIFS('Federal Data'!AI2:AI501,'Federal Data'!$H2:$H501,"Housing Assistance",'Federal Data'!$D2:$D501,"Grant")</f>
        <v>23661000</v>
      </c>
      <c r="BQ166" s="85"/>
      <c r="BR166" s="37"/>
      <c r="BS166" s="37">
        <f>SUMIFS('Federal Data'!AJ2:AJ501,'Federal Data'!$H2:$H501,"Housing Assistance",'Federal Data'!$D2:$D501,"Grant")</f>
        <v>25975000</v>
      </c>
      <c r="BT166" s="85"/>
      <c r="BU166" s="37"/>
      <c r="BV166" s="37">
        <f>SUMIFS('Federal Data'!AK2:AK501,'Federal Data'!$H2:$H501,"Housing Assistance",'Federal Data'!$D2:$D501,"Grant")</f>
        <v>27038000</v>
      </c>
      <c r="BW166" s="85"/>
      <c r="BX166" s="37"/>
      <c r="BY166" s="37">
        <f>SUMIFS('Federal Data'!AL2:AL501,'Federal Data'!$H2:$H501,"Housing Assistance",'Federal Data'!$D2:$D501,"Grant")</f>
        <v>30203000</v>
      </c>
      <c r="BZ166" s="85"/>
      <c r="CA166" s="37"/>
      <c r="CB166" s="37">
        <f>SUMIFS('Federal Data'!AM2:AM501,'Federal Data'!$H2:$H501,"Housing Assistance",'Federal Data'!$D2:$D501,"Grant")</f>
        <v>27957000</v>
      </c>
      <c r="CC166" s="85"/>
      <c r="CD166" s="37"/>
      <c r="CE166" s="37">
        <f>SUMIFS('Federal Data'!AN2:AN501,'Federal Data'!$H2:$H501,"Housing Assistance",'Federal Data'!$D2:$D501,"Grant")</f>
        <v>28883000</v>
      </c>
      <c r="CF166" s="85"/>
      <c r="CG166" s="37"/>
      <c r="CH166" s="37">
        <f>SUMIFS('Federal Data'!AO2:AO501,'Federal Data'!$H2:$H501,"Housing Assistance",'Federal Data'!$D2:$D501,"Grant")</f>
        <v>29184000</v>
      </c>
      <c r="CI166" s="85"/>
      <c r="CJ166" s="37"/>
      <c r="CK166" s="37">
        <f>SUMIFS('Federal Data'!AP2:AP501,'Federal Data'!$H2:$H501,"Housing Assistance",'Federal Data'!$D2:$D501,"Grant")</f>
        <v>29965000</v>
      </c>
      <c r="CL166" s="85"/>
      <c r="CM166" s="37"/>
      <c r="CN166" s="37">
        <f>SUMIFS('Federal Data'!AQ2:AQ501,'Federal Data'!$H2:$H501,"Housing Assistance",'Federal Data'!$D2:$D501,"Grant")</f>
        <v>37505000</v>
      </c>
      <c r="CO166" s="85"/>
      <c r="CP166" s="37"/>
      <c r="CQ166" s="37">
        <f>SUMIFS('Federal Data'!AR2:AR501,'Federal Data'!$H2:$H501,"Housing Assistance",'Federal Data'!$D2:$D501,"Grant")</f>
        <v>35850000</v>
      </c>
      <c r="CR166" s="85"/>
      <c r="CS166" s="37"/>
      <c r="CT166" s="37">
        <f>SUMIFS('Federal Data'!AS2:AS501,'Federal Data'!$H2:$H501,"Housing Assistance",'Federal Data'!$D2:$D501,"Grant")</f>
        <v>29875000</v>
      </c>
      <c r="CU166" s="85"/>
      <c r="CV166" s="37"/>
      <c r="CW166" s="37">
        <f>SUMIFS('Federal Data'!AT2:AT501,'Federal Data'!$H2:$H501,"Housing Assistance",'Federal Data'!$D2:$D501,"Grant")</f>
        <v>27941000</v>
      </c>
      <c r="CX166" s="85"/>
      <c r="CY166" s="37"/>
      <c r="CZ166" s="37">
        <f>SUMIFS('Federal Data'!AU2:AU501,'Federal Data'!$H2:$H501,"Housing Assistance",'Federal Data'!$D2:$D501,"Grant")</f>
        <v>28474000</v>
      </c>
      <c r="DA166" s="85"/>
      <c r="DB166" s="37"/>
      <c r="DC166" s="37">
        <f>SUMIFS('Federal Data'!AV2:AV501,'Federal Data'!$H2:$H501,"Housing Assistance",'Federal Data'!$D2:$D501,"Grant")</f>
        <v>28561000</v>
      </c>
      <c r="DD166" s="85"/>
      <c r="DE166" s="37"/>
    </row>
    <row r="167" spans="1:112" outlineLevel="1">
      <c r="A167" s="27" t="s">
        <v>45</v>
      </c>
      <c r="B167" s="37">
        <f>SUMIFS('Federal Data'!M2:M501,'Federal Data'!$G2:$G501,"Elementary and Secondary Education",'Federal Data'!$D2:$D501,"Grant")</f>
        <v>5591633</v>
      </c>
      <c r="C167" s="85"/>
      <c r="D167" s="37"/>
      <c r="E167" s="37">
        <f>SUMIFS('Federal Data'!N2:N501,'Federal Data'!$G2:$G501,"Elementary and Secondary Education",'Federal Data'!$D2:$D501,"Grant")</f>
        <v>5909697</v>
      </c>
      <c r="F167" s="85"/>
      <c r="G167" s="37"/>
      <c r="H167" s="37">
        <f>SUMIFS('Federal Data'!O2:O501,'Federal Data'!$G2:$G501,"Elementary and Secondary Education",'Federal Data'!$D2:$D501,"Grant")</f>
        <v>5447226</v>
      </c>
      <c r="I167" s="85"/>
      <c r="J167" s="37"/>
      <c r="K167" s="37">
        <f>SUMIFS('Federal Data'!P2:P501,'Federal Data'!$G2:$G501,"Elementary and Secondary Education",'Federal Data'!$D2:$D501,"Grant")</f>
        <v>4994838</v>
      </c>
      <c r="L167" s="85"/>
      <c r="M167" s="37"/>
      <c r="N167" s="37">
        <f>SUMIFS('Federal Data'!Q2:Q501,'Federal Data'!$G2:$G501,"Elementary and Secondary Education",'Federal Data'!$D2:$D501,"Grant")</f>
        <v>5182428</v>
      </c>
      <c r="O167" s="85"/>
      <c r="P167" s="37"/>
      <c r="Q167" s="37">
        <f>SUMIFS('Federal Data'!R2:R501,'Federal Data'!$G2:$G501,"Elementary and Secondary Education",'Federal Data'!$D2:$D501,"Grant")</f>
        <v>6426913</v>
      </c>
      <c r="R167" s="85"/>
      <c r="S167" s="37"/>
      <c r="T167" s="37">
        <f>SUMIFS('Federal Data'!S2:S501,'Federal Data'!$G2:$G501,"Elementary and Secondary Education",'Federal Data'!$D2:$D501,"Grant")</f>
        <v>6423797</v>
      </c>
      <c r="U167" s="85"/>
      <c r="V167" s="37"/>
      <c r="W167" s="37">
        <f>SUMIFS('Federal Data'!T2:T501,'Federal Data'!$G2:$G501,"Elementary and Secondary Education",'Federal Data'!$D2:$D501,"Grant")</f>
        <v>6007311</v>
      </c>
      <c r="X167" s="85"/>
      <c r="Y167" s="37"/>
      <c r="Z167" s="37">
        <f>SUMIFS('Federal Data'!U2:U501,'Federal Data'!$G2:$G501,"Elementary and Secondary Education",'Federal Data'!$D2:$D501,"Grant")</f>
        <v>6600524</v>
      </c>
      <c r="AA167" s="85"/>
      <c r="AB167" s="37"/>
      <c r="AC167" s="37">
        <f>SUMIFS('Federal Data'!V2:V501,'Federal Data'!$G2:$G501,"Elementary and Secondary Education",'Federal Data'!$D2:$D501,"Grant")</f>
        <v>7722918</v>
      </c>
      <c r="AD167" s="85"/>
      <c r="AE167" s="37"/>
      <c r="AF167" s="37">
        <f>SUMIFS('Federal Data'!W2:W501,'Federal Data'!$G2:$G501,"Elementary and Secondary Education",'Federal Data'!$D2:$D501,"Grant")</f>
        <v>8031494</v>
      </c>
      <c r="AG167" s="85"/>
      <c r="AH167" s="37"/>
      <c r="AI167" s="37">
        <f>SUMIFS('Federal Data'!X2:X501,'Federal Data'!$G2:$G501,"Elementary and Secondary Education",'Federal Data'!$D2:$D501,"Grant")</f>
        <v>9415196</v>
      </c>
      <c r="AJ167" s="85"/>
      <c r="AK167" s="37"/>
      <c r="AL167" s="37">
        <f>SUMIFS('Federal Data'!Y2:Y501,'Federal Data'!$G2:$G501,"Elementary and Secondary Education",'Federal Data'!$D2:$D501,"Grant")</f>
        <v>10624501</v>
      </c>
      <c r="AM167" s="85"/>
      <c r="AN167" s="37"/>
      <c r="AO167" s="37">
        <f>SUMIFS('Federal Data'!Z2:Z501,'Federal Data'!$G2:$G501,"Elementary and Secondary Education",'Federal Data'!$D2:$D501,"Grant")</f>
        <v>11568137</v>
      </c>
      <c r="AP167" s="85"/>
      <c r="AQ167" s="37"/>
      <c r="AR167" s="37">
        <f>SUMIFS('Federal Data'!AA2:AA501,'Federal Data'!$G2:$G501,"Elementary and Secondary Education",'Federal Data'!$D2:$D501,"Grant")</f>
        <v>12074714</v>
      </c>
      <c r="AS167" s="85"/>
      <c r="AT167" s="37"/>
      <c r="AU167" s="37">
        <f>SUMIFS('Federal Data'!AB2:AB501,'Federal Data'!$G2:$G501,"Elementary and Secondary Education",'Federal Data'!$D2:$D501,"Grant")</f>
        <v>12233000</v>
      </c>
      <c r="AV167" s="85"/>
      <c r="AW167" s="37"/>
      <c r="AX167" s="37">
        <f>SUMIFS('Federal Data'!AC2:AC501,'Federal Data'!$G2:$G501,"Elementary and Secondary Education",'Federal Data'!$D2:$D501,"Grant")</f>
        <v>12684000</v>
      </c>
      <c r="AY167" s="85"/>
      <c r="AZ167" s="37"/>
      <c r="BA167" s="37">
        <f>SUMIFS('Federal Data'!AD2:AD501,'Federal Data'!$G2:$G501,"Elementary and Secondary Education",'Federal Data'!$D2:$D501,"Grant")</f>
        <v>12838000</v>
      </c>
      <c r="BB167" s="85"/>
      <c r="BC167" s="37"/>
      <c r="BD167" s="37">
        <f>SUMIFS('Federal Data'!AE2:AE501,'Federal Data'!$G2:$G501,"Elementary and Secondary Education",'Federal Data'!$D2:$D501,"Grant")</f>
        <v>14296000</v>
      </c>
      <c r="BE167" s="85"/>
      <c r="BF167" s="37"/>
      <c r="BG167" s="37">
        <f>SUMIFS('Federal Data'!AF2:AF501,'Federal Data'!$G2:$G501,"Elementary and Secondary Education",'Federal Data'!$D2:$D501,"Grant")</f>
        <v>15350000</v>
      </c>
      <c r="BH167" s="85"/>
      <c r="BI167" s="37"/>
      <c r="BJ167" s="37">
        <f>SUMIFS('Federal Data'!AG2:AG501,'Federal Data'!$G2:$G501,"Elementary and Secondary Education",'Federal Data'!$D2:$D501,"Grant")</f>
        <v>17912000</v>
      </c>
      <c r="BK167" s="85"/>
      <c r="BL167" s="37"/>
      <c r="BM167" s="37">
        <f>SUMIFS('Federal Data'!AH2:AH501,'Federal Data'!$G2:$G501,"Elementary and Secondary Education",'Federal Data'!$D2:$D501,"Grant")</f>
        <v>19682000</v>
      </c>
      <c r="BN167" s="85"/>
      <c r="BO167" s="37"/>
      <c r="BP167" s="37">
        <f>SUMIFS('Federal Data'!AI2:AI501,'Federal Data'!$G2:$G501,"Elementary and Secondary Education",'Federal Data'!$D2:$D501,"Grant")</f>
        <v>21935000</v>
      </c>
      <c r="BQ167" s="85"/>
      <c r="BR167" s="37"/>
      <c r="BS167" s="37">
        <f>SUMIFS('Federal Data'!AJ2:AJ501,'Federal Data'!$G2:$G501,"Elementary and Secondary Education",'Federal Data'!$D2:$D501,"Grant")</f>
        <v>27669000</v>
      </c>
      <c r="BT167" s="85"/>
      <c r="BU167" s="37"/>
      <c r="BV167" s="37">
        <f>SUMIFS('Federal Data'!AK2:AK501,'Federal Data'!$G2:$G501,"Elementary and Secondary Education",'Federal Data'!$D2:$D501,"Grant")</f>
        <v>30691000</v>
      </c>
      <c r="BW167" s="85"/>
      <c r="BX167" s="37"/>
      <c r="BY167" s="37">
        <f>SUMIFS('Federal Data'!AL2:AL501,'Federal Data'!$G2:$G501,"Elementary and Secondary Education",'Federal Data'!$D2:$D501,"Grant")</f>
        <v>34557000</v>
      </c>
      <c r="BZ167" s="85"/>
      <c r="CA167" s="37"/>
      <c r="CB167" s="37">
        <f>SUMIFS('Federal Data'!AM2:AM501,'Federal Data'!$G2:$G501,"Elementary and Secondary Education",'Federal Data'!$D2:$D501,"Grant")</f>
        <v>36075000</v>
      </c>
      <c r="CC167" s="85"/>
      <c r="CD167" s="37"/>
      <c r="CE167" s="37">
        <f>SUMIFS('Federal Data'!AN2:AN501,'Federal Data'!$G2:$G501,"Elementary and Secondary Education",'Federal Data'!$D2:$D501,"Grant")</f>
        <v>35016000</v>
      </c>
      <c r="CF167" s="85"/>
      <c r="CG167" s="37"/>
      <c r="CH167" s="37">
        <f>SUMIFS('Federal Data'!AO2:AO501,'Federal Data'!$G2:$G501,"Elementary and Secondary Education",'Federal Data'!$D2:$D501,"Grant")</f>
        <v>35591000</v>
      </c>
      <c r="CI167" s="85"/>
      <c r="CJ167" s="37"/>
      <c r="CK167" s="37">
        <f>SUMIFS('Federal Data'!AP2:AP501,'Federal Data'!$G2:$G501,"Elementary and Secondary Education",'Federal Data'!$D2:$D501,"Grant")</f>
        <v>49645000</v>
      </c>
      <c r="CL167" s="85"/>
      <c r="CM167" s="37"/>
      <c r="CN167" s="37">
        <f>SUMIFS('Federal Data'!AQ2:AQ501,'Federal Data'!$G2:$G501,"Elementary and Secondary Education",'Federal Data'!$D2:$D501,"Grant")</f>
        <v>69746000</v>
      </c>
      <c r="CO167" s="85"/>
      <c r="CP167" s="37"/>
      <c r="CQ167" s="37">
        <f>SUMIFS('Federal Data'!AR2:AR501,'Federal Data'!$G2:$G501,"Elementary and Secondary Education",'Federal Data'!$D2:$D501,"Grant")</f>
        <v>62618000</v>
      </c>
      <c r="CR167" s="85"/>
      <c r="CS167" s="37"/>
      <c r="CT167" s="37">
        <f>SUMIFS('Federal Data'!AS2:AS501,'Federal Data'!$G2:$G501,"Elementary and Secondary Education",'Federal Data'!$D2:$D501,"Grant")</f>
        <v>43661000</v>
      </c>
      <c r="CU167" s="85"/>
      <c r="CV167" s="37"/>
      <c r="CW167" s="37">
        <f>SUMIFS('Federal Data'!AT2:AT501,'Federal Data'!$G2:$G501,"Elementary and Secondary Education",'Federal Data'!$D2:$D501,"Grant")</f>
        <v>38498000</v>
      </c>
      <c r="CX167" s="85"/>
      <c r="CY167" s="37"/>
      <c r="CZ167" s="37">
        <f>SUMIFS('Federal Data'!AU2:AU501,'Federal Data'!$G2:$G501,"Elementary and Secondary Education",'Federal Data'!$D2:$D501,"Grant")</f>
        <v>37261000</v>
      </c>
      <c r="DA167" s="85"/>
      <c r="DB167" s="37"/>
      <c r="DC167" s="37">
        <f>SUMIFS('Federal Data'!AV2:AV501,'Federal Data'!$G2:$G501,"Elementary and Secondary Education",'Federal Data'!$D2:$D501,"Grant")</f>
        <v>36395000</v>
      </c>
      <c r="DD167" s="85"/>
      <c r="DE167" s="37"/>
    </row>
    <row r="168" spans="1:112" outlineLevel="1">
      <c r="A168" s="27" t="s">
        <v>47</v>
      </c>
      <c r="B168" s="37">
        <f>SUMIFS('Federal Data'!M2:M501,'Federal Data'!$G2:$G501,"Vocational Education",'Federal Data'!$D2:$D501,"Grant")</f>
        <v>854115</v>
      </c>
      <c r="C168" s="85"/>
      <c r="D168" s="37"/>
      <c r="E168" s="37">
        <f>SUMIFS('Federal Data'!N2:N501,'Federal Data'!$G2:$G501,"Vocational Education",'Federal Data'!$D2:$D501,"Grant")</f>
        <v>722908</v>
      </c>
      <c r="F168" s="85"/>
      <c r="G168" s="37"/>
      <c r="H168" s="37">
        <f>SUMIFS('Federal Data'!O2:O501,'Federal Data'!$G2:$G501,"Vocational Education",'Federal Data'!$D2:$D501,"Grant")</f>
        <v>801905</v>
      </c>
      <c r="I168" s="85"/>
      <c r="J168" s="37"/>
      <c r="K168" s="37">
        <f>SUMIFS('Federal Data'!P2:P501,'Federal Data'!$G2:$G501,"Vocational Education",'Federal Data'!$D2:$D501,"Grant")</f>
        <v>705018</v>
      </c>
      <c r="L168" s="85"/>
      <c r="M168" s="37"/>
      <c r="N168" s="37">
        <f>SUMIFS('Federal Data'!Q2:Q501,'Federal Data'!$G2:$G501,"Vocational Education",'Federal Data'!$D2:$D501,"Grant")</f>
        <v>718696</v>
      </c>
      <c r="O168" s="85"/>
      <c r="P168" s="37"/>
      <c r="Q168" s="37">
        <f>SUMIFS('Federal Data'!R2:R501,'Federal Data'!$G2:$G501,"Vocational Education",'Federal Data'!$D2:$D501,"Grant")</f>
        <v>633144</v>
      </c>
      <c r="R168" s="85"/>
      <c r="S168" s="37"/>
      <c r="T168" s="37">
        <f>SUMIFS('Federal Data'!S2:S501,'Federal Data'!$G2:$G501,"Vocational Education",'Federal Data'!$D2:$D501,"Grant")</f>
        <v>1007771</v>
      </c>
      <c r="U168" s="85"/>
      <c r="V168" s="37"/>
      <c r="W168" s="37">
        <f>SUMIFS('Federal Data'!T2:T501,'Federal Data'!$G2:$G501,"Vocational Education",'Federal Data'!$D2:$D501,"Grant")</f>
        <v>1224966</v>
      </c>
      <c r="X168" s="85"/>
      <c r="Y168" s="37"/>
      <c r="Z168" s="37">
        <f>SUMIFS('Federal Data'!U2:U501,'Federal Data'!$G2:$G501,"Vocational Education",'Federal Data'!$D2:$D501,"Grant")</f>
        <v>1261076</v>
      </c>
      <c r="AA168" s="85"/>
      <c r="AB168" s="37"/>
      <c r="AC168" s="37">
        <f>SUMIFS('Federal Data'!V2:V501,'Federal Data'!$G2:$G501,"Vocational Education",'Federal Data'!$D2:$D501,"Grant")</f>
        <v>824083</v>
      </c>
      <c r="AD168" s="85"/>
      <c r="AE168" s="37"/>
      <c r="AF168" s="37">
        <f>SUMIFS('Federal Data'!W2:W501,'Federal Data'!$G2:$G501,"Vocational Education",'Federal Data'!$D2:$D501,"Grant")</f>
        <v>1287089</v>
      </c>
      <c r="AG168" s="85"/>
      <c r="AH168" s="37"/>
      <c r="AI168" s="37">
        <f>SUMIFS('Federal Data'!X2:X501,'Federal Data'!$G2:$G501,"Vocational Education",'Federal Data'!$D2:$D501,"Grant")</f>
        <v>1037506</v>
      </c>
      <c r="AJ168" s="85"/>
      <c r="AK168" s="37"/>
      <c r="AL168" s="37">
        <f>SUMIFS('Federal Data'!Y2:Y501,'Federal Data'!$G2:$G501,"Vocational Education",'Federal Data'!$D2:$D501,"Grant")</f>
        <v>1019814</v>
      </c>
      <c r="AM168" s="85"/>
      <c r="AN168" s="37"/>
      <c r="AO168" s="37">
        <f>SUMIFS('Federal Data'!Z2:Z501,'Federal Data'!$G2:$G501,"Vocational Education",'Federal Data'!$D2:$D501,"Grant")</f>
        <v>1133120</v>
      </c>
      <c r="AP168" s="85"/>
      <c r="AQ168" s="37"/>
      <c r="AR168" s="37">
        <f>SUMIFS('Federal Data'!AA2:AA501,'Federal Data'!$G2:$G501,"Vocational Education",'Federal Data'!$D2:$D501,"Grant")</f>
        <v>1292212</v>
      </c>
      <c r="AS168" s="85"/>
      <c r="AT168" s="37"/>
      <c r="AU168" s="37">
        <f>SUMIFS('Federal Data'!AB2:AB501,'Federal Data'!$G2:$G501,"Vocational Education",'Federal Data'!$D2:$D501,"Grant")</f>
        <v>1449000</v>
      </c>
      <c r="AV168" s="85"/>
      <c r="AW168" s="37"/>
      <c r="AX168" s="37">
        <f>SUMIFS('Federal Data'!AC2:AC501,'Federal Data'!$G2:$G501,"Vocational Education",'Federal Data'!$D2:$D501,"Grant")</f>
        <v>1323000</v>
      </c>
      <c r="AY168" s="85"/>
      <c r="AZ168" s="37"/>
      <c r="BA168" s="37">
        <f>SUMIFS('Federal Data'!AD2:AD501,'Federal Data'!$G2:$G501,"Vocational Education",'Federal Data'!$D2:$D501,"Grant")</f>
        <v>1382000</v>
      </c>
      <c r="BB168" s="85"/>
      <c r="BC168" s="37"/>
      <c r="BD168" s="37">
        <f>SUMIFS('Federal Data'!AE2:AE501,'Federal Data'!$G2:$G501,"Vocational Education",'Federal Data'!$D2:$D501,"Grant")</f>
        <v>1425000</v>
      </c>
      <c r="BE168" s="85"/>
      <c r="BF168" s="37"/>
      <c r="BG168" s="37">
        <f>SUMIFS('Federal Data'!AF2:AF501,'Federal Data'!$G2:$G501,"Vocational Education",'Federal Data'!$D2:$D501,"Grant")</f>
        <v>1338000</v>
      </c>
      <c r="BH168" s="85"/>
      <c r="BI168" s="37"/>
      <c r="BJ168" s="37">
        <f>SUMIFS('Federal Data'!AG2:AG501,'Federal Data'!$G2:$G501,"Vocational Education",'Federal Data'!$D2:$D501,"Grant")</f>
        <v>1448000</v>
      </c>
      <c r="BK168" s="85"/>
      <c r="BL168" s="37"/>
      <c r="BM168" s="37">
        <f>SUMIFS('Federal Data'!AH2:AH501,'Federal Data'!$G2:$G501,"Vocational Education",'Federal Data'!$D2:$D501,"Grant")</f>
        <v>1651000</v>
      </c>
      <c r="BN168" s="85"/>
      <c r="BO168" s="37"/>
      <c r="BP168" s="37">
        <f>SUMIFS('Federal Data'!AI2:AI501,'Federal Data'!$G2:$G501,"Vocational Education",'Federal Data'!$D2:$D501,"Grant")</f>
        <v>1742000</v>
      </c>
      <c r="BQ168" s="85"/>
      <c r="BR168" s="37"/>
      <c r="BS168" s="37">
        <f>SUMIFS('Federal Data'!AJ2:AJ501,'Federal Data'!$G2:$G501,"Vocational Education",'Federal Data'!$D2:$D501,"Grant")</f>
        <v>1908000</v>
      </c>
      <c r="BT168" s="85"/>
      <c r="BU168" s="37"/>
      <c r="BV168" s="37">
        <f>SUMIFS('Federal Data'!AK2:AK501,'Federal Data'!$G2:$G501,"Vocational Education",'Federal Data'!$D2:$D501,"Grant")</f>
        <v>1909000</v>
      </c>
      <c r="BW168" s="85"/>
      <c r="BX168" s="37"/>
      <c r="BY168" s="37">
        <f>SUMIFS('Federal Data'!AL2:AL501,'Federal Data'!$G2:$G501,"Vocational Education",'Federal Data'!$D2:$D501,"Grant")</f>
        <v>1930000</v>
      </c>
      <c r="BZ168" s="85"/>
      <c r="CA168" s="37"/>
      <c r="CB168" s="37">
        <f>SUMIFS('Federal Data'!AM2:AM501,'Federal Data'!$G2:$G501,"Vocational Education",'Federal Data'!$D2:$D501,"Grant")</f>
        <v>1958000</v>
      </c>
      <c r="CC168" s="85"/>
      <c r="CD168" s="37"/>
      <c r="CE168" s="37">
        <f>SUMIFS('Federal Data'!AN2:AN501,'Federal Data'!$G2:$G501,"Vocational Education",'Federal Data'!$D2:$D501,"Grant")</f>
        <v>1927000</v>
      </c>
      <c r="CF168" s="85"/>
      <c r="CG168" s="37"/>
      <c r="CH168" s="37">
        <f>SUMIFS('Federal Data'!AO2:AO501,'Federal Data'!$G2:$G501,"Vocational Education",'Federal Data'!$D2:$D501,"Grant")</f>
        <v>1871000</v>
      </c>
      <c r="CI168" s="85"/>
      <c r="CJ168" s="37"/>
      <c r="CK168" s="37">
        <f>SUMIFS('Federal Data'!AP2:AP501,'Federal Data'!$G2:$G501,"Vocational Education",'Federal Data'!$D2:$D501,"Grant")</f>
        <v>2005000</v>
      </c>
      <c r="CL168" s="85"/>
      <c r="CM168" s="37"/>
      <c r="CN168" s="37">
        <f>SUMIFS('Federal Data'!AQ2:AQ501,'Federal Data'!$G2:$G501,"Vocational Education",'Federal Data'!$D2:$D501,"Grant")</f>
        <v>1989000</v>
      </c>
      <c r="CO168" s="85"/>
      <c r="CP168" s="37"/>
      <c r="CQ168" s="37">
        <f>SUMIFS('Federal Data'!AR2:AR501,'Federal Data'!$G2:$G501,"Vocational Education",'Federal Data'!$D2:$D501,"Grant")</f>
        <v>1946000</v>
      </c>
      <c r="CR168" s="85"/>
      <c r="CS168" s="37"/>
      <c r="CT168" s="37">
        <f>SUMIFS('Federal Data'!AS2:AS501,'Federal Data'!$G2:$G501,"Vocational Education",'Federal Data'!$D2:$D501,"Grant")</f>
        <v>1846000</v>
      </c>
      <c r="CU168" s="85"/>
      <c r="CV168" s="37"/>
      <c r="CW168" s="37">
        <f>SUMIFS('Federal Data'!AT2:AT501,'Federal Data'!$G2:$G501,"Vocational Education",'Federal Data'!$D2:$D501,"Grant")</f>
        <v>1768000</v>
      </c>
      <c r="CX168" s="85"/>
      <c r="CY168" s="37"/>
      <c r="CZ168" s="37">
        <f>SUMIFS('Federal Data'!AU2:AU501,'Federal Data'!$G2:$G501,"Vocational Education",'Federal Data'!$D2:$D501,"Grant")</f>
        <v>1665000</v>
      </c>
      <c r="DA168" s="85"/>
      <c r="DB168" s="37"/>
      <c r="DC168" s="37">
        <f>SUMIFS('Federal Data'!AV2:AV501,'Federal Data'!$G2:$G501,"Vocational Education",'Federal Data'!$D2:$D501,"Grant")</f>
        <v>1637000</v>
      </c>
      <c r="DD168" s="85"/>
      <c r="DE168" s="37"/>
    </row>
    <row r="169" spans="1:112" outlineLevel="1">
      <c r="A169" s="27"/>
      <c r="B169" s="37"/>
      <c r="C169" s="85"/>
      <c r="D169" s="37"/>
      <c r="E169" s="37"/>
      <c r="F169" s="85"/>
      <c r="G169" s="37"/>
      <c r="H169" s="37"/>
      <c r="I169" s="85"/>
      <c r="J169" s="37"/>
      <c r="K169" s="37"/>
      <c r="L169" s="85"/>
      <c r="M169" s="37"/>
      <c r="N169" s="37"/>
      <c r="O169" s="85"/>
      <c r="P169" s="37"/>
      <c r="Q169" s="37"/>
      <c r="R169" s="85"/>
      <c r="S169" s="37"/>
      <c r="T169" s="37"/>
      <c r="U169" s="85"/>
      <c r="V169" s="37"/>
      <c r="W169" s="37"/>
      <c r="X169" s="85"/>
      <c r="Y169" s="37"/>
      <c r="Z169" s="37"/>
      <c r="AA169" s="85"/>
      <c r="AB169" s="37"/>
      <c r="AC169" s="37"/>
      <c r="AD169" s="85"/>
      <c r="AE169" s="37"/>
      <c r="AF169" s="37"/>
      <c r="AG169" s="85"/>
      <c r="AH169" s="37"/>
      <c r="AI169" s="37"/>
      <c r="AJ169" s="85"/>
      <c r="AK169" s="37"/>
      <c r="AL169" s="37"/>
      <c r="AM169" s="85"/>
      <c r="AN169" s="37"/>
      <c r="AO169" s="37"/>
      <c r="AP169" s="85"/>
      <c r="AQ169" s="37"/>
      <c r="AR169" s="37"/>
      <c r="AS169" s="85"/>
      <c r="AT169" s="37"/>
      <c r="AU169" s="37"/>
      <c r="AV169" s="85"/>
      <c r="AW169" s="37"/>
      <c r="AX169" s="37"/>
      <c r="AY169" s="85"/>
      <c r="AZ169" s="37"/>
      <c r="BA169" s="37"/>
      <c r="BB169" s="85"/>
      <c r="BC169" s="37"/>
      <c r="BD169" s="37"/>
      <c r="BE169" s="85"/>
      <c r="BF169" s="37"/>
      <c r="BG169" s="37"/>
      <c r="BH169" s="85"/>
      <c r="BI169" s="37"/>
      <c r="BJ169" s="37"/>
      <c r="BK169" s="85"/>
      <c r="BL169" s="37"/>
      <c r="BM169" s="37"/>
      <c r="BN169" s="85"/>
      <c r="BO169" s="37"/>
      <c r="BP169" s="37"/>
      <c r="BQ169" s="85"/>
      <c r="BR169" s="37"/>
      <c r="BS169" s="37"/>
      <c r="BT169" s="85"/>
      <c r="BU169" s="37"/>
      <c r="BV169" s="37"/>
      <c r="BW169" s="85"/>
      <c r="BX169" s="37"/>
      <c r="BY169" s="37"/>
      <c r="BZ169" s="85"/>
      <c r="CA169" s="37"/>
      <c r="CB169" s="37"/>
      <c r="CC169" s="85"/>
      <c r="CD169" s="37"/>
      <c r="CE169" s="37"/>
      <c r="CF169" s="85"/>
      <c r="CG169" s="37"/>
      <c r="CH169" s="37"/>
      <c r="CI169" s="85"/>
      <c r="CJ169" s="37"/>
      <c r="CK169" s="37"/>
      <c r="CL169" s="85"/>
      <c r="CM169" s="37"/>
      <c r="CN169" s="37"/>
      <c r="CO169" s="85"/>
      <c r="CP169" s="37"/>
      <c r="CQ169" s="37"/>
      <c r="CR169" s="85"/>
      <c r="CS169" s="37"/>
      <c r="CT169" s="37"/>
      <c r="CU169" s="85"/>
      <c r="CV169" s="37"/>
      <c r="CW169" s="37"/>
      <c r="CX169" s="85"/>
      <c r="CY169" s="37"/>
      <c r="CZ169" s="37"/>
      <c r="DA169" s="85"/>
      <c r="DB169" s="37"/>
      <c r="DC169" s="37"/>
      <c r="DD169" s="85"/>
      <c r="DE169" s="37"/>
    </row>
    <row r="170" spans="1:112" outlineLevel="1">
      <c r="A170" s="27"/>
      <c r="B170" s="37"/>
      <c r="C170" s="85"/>
      <c r="D170" s="37"/>
      <c r="E170" s="37"/>
      <c r="F170" s="85"/>
      <c r="G170" s="37"/>
      <c r="H170" s="37"/>
      <c r="I170" s="85"/>
      <c r="J170" s="37"/>
      <c r="K170" s="37"/>
      <c r="L170" s="85"/>
      <c r="M170" s="37"/>
      <c r="N170" s="37"/>
      <c r="O170" s="85"/>
      <c r="P170" s="37"/>
      <c r="Q170" s="37"/>
      <c r="R170" s="85"/>
      <c r="S170" s="37"/>
      <c r="T170" s="37"/>
      <c r="U170" s="85"/>
      <c r="V170" s="37"/>
      <c r="W170" s="37"/>
      <c r="X170" s="85"/>
      <c r="Y170" s="37"/>
      <c r="Z170" s="37"/>
      <c r="AA170" s="85"/>
      <c r="AB170" s="37"/>
      <c r="AC170" s="37"/>
      <c r="AD170" s="85"/>
      <c r="AE170" s="37"/>
      <c r="AF170" s="37"/>
      <c r="AG170" s="85"/>
      <c r="AH170" s="37"/>
      <c r="AI170" s="37"/>
      <c r="AJ170" s="85"/>
      <c r="AK170" s="37"/>
      <c r="AL170" s="37"/>
      <c r="AM170" s="85"/>
      <c r="AN170" s="37"/>
      <c r="AO170" s="37"/>
      <c r="AP170" s="85"/>
      <c r="AQ170" s="37"/>
      <c r="AR170" s="37"/>
      <c r="AS170" s="85"/>
      <c r="AT170" s="37"/>
      <c r="AU170" s="37"/>
      <c r="AV170" s="37"/>
      <c r="AW170" s="37"/>
      <c r="AX170" s="85"/>
      <c r="AY170" s="37"/>
      <c r="AZ170" s="37"/>
      <c r="BA170" s="85"/>
      <c r="BB170" s="37"/>
      <c r="BC170" s="37"/>
      <c r="BD170" s="85"/>
      <c r="BE170" s="37"/>
      <c r="BF170" s="37"/>
      <c r="BG170" s="85"/>
      <c r="BH170" s="37"/>
      <c r="BI170" s="37"/>
      <c r="BJ170" s="85"/>
      <c r="BK170" s="37"/>
      <c r="BL170" s="37"/>
      <c r="BM170" s="85"/>
      <c r="BN170" s="37"/>
      <c r="BO170" s="37"/>
      <c r="BP170" s="85"/>
      <c r="BQ170" s="37"/>
      <c r="BR170" s="37"/>
      <c r="BS170" s="85"/>
      <c r="BT170" s="37"/>
      <c r="BU170" s="37"/>
      <c r="BV170" s="85"/>
      <c r="BW170" s="37"/>
      <c r="BX170" s="37"/>
      <c r="BY170" s="85"/>
      <c r="BZ170" s="37"/>
      <c r="CA170" s="37"/>
      <c r="CB170" s="85"/>
      <c r="CC170" s="37"/>
      <c r="CD170" s="37"/>
      <c r="CE170" s="85"/>
      <c r="CF170" s="37"/>
      <c r="CG170" s="37"/>
      <c r="CH170" s="85"/>
      <c r="CI170" s="37"/>
      <c r="CJ170" s="37"/>
      <c r="CK170" s="85"/>
      <c r="CL170" s="37"/>
      <c r="CM170" s="37"/>
      <c r="CN170" s="85"/>
      <c r="CO170" s="37"/>
      <c r="CP170" s="37"/>
      <c r="CQ170" s="85"/>
      <c r="CR170" s="37"/>
      <c r="CS170" s="37"/>
      <c r="CT170" s="85"/>
      <c r="CU170" s="37"/>
      <c r="CV170" s="37"/>
      <c r="CW170" s="85"/>
      <c r="CX170" s="37"/>
      <c r="CY170" s="37"/>
      <c r="CZ170" s="85"/>
      <c r="DA170" s="37"/>
      <c r="DB170" s="37"/>
      <c r="DC170" s="85"/>
      <c r="DD170" s="37"/>
      <c r="DE170" s="37"/>
      <c r="DF170" s="85"/>
      <c r="DG170" s="37"/>
    </row>
    <row r="171" spans="1:112">
      <c r="A171" s="34" t="s">
        <v>321</v>
      </c>
      <c r="B171" s="94">
        <f>SUM(B172:B174)</f>
        <v>537979</v>
      </c>
      <c r="C171" s="94"/>
      <c r="D171" s="94"/>
      <c r="E171" s="94">
        <f>SUM(E172:E174)</f>
        <v>431681</v>
      </c>
      <c r="F171" s="94"/>
      <c r="G171" s="94"/>
      <c r="H171" s="94">
        <f>SUM(H172:H174)</f>
        <v>394369</v>
      </c>
      <c r="I171" s="94"/>
      <c r="J171" s="94"/>
      <c r="K171" s="94">
        <f>SUM(K172:K174)</f>
        <v>409163</v>
      </c>
      <c r="L171" s="94"/>
      <c r="M171" s="94"/>
      <c r="N171" s="94">
        <f>SUM(N172:N174)</f>
        <v>525761</v>
      </c>
      <c r="O171" s="94"/>
      <c r="P171" s="94"/>
      <c r="Q171" s="94">
        <f>SUM(Q172:Q174)</f>
        <v>416300</v>
      </c>
      <c r="R171" s="94"/>
      <c r="S171" s="94"/>
      <c r="T171" s="94">
        <f>SUM(T172:T174)</f>
        <v>428984</v>
      </c>
      <c r="U171" s="94"/>
      <c r="V171" s="94"/>
      <c r="W171" s="94">
        <f>SUM(W172:W174)</f>
        <v>442474</v>
      </c>
      <c r="X171" s="94"/>
      <c r="Y171" s="94"/>
      <c r="Z171" s="94">
        <f>SUM(Z172:Z174)</f>
        <v>592384</v>
      </c>
      <c r="AA171" s="94"/>
      <c r="AB171" s="94"/>
      <c r="AC171" s="94">
        <f>SUM(AC172:AC174)</f>
        <v>459928</v>
      </c>
      <c r="AD171" s="94"/>
      <c r="AE171" s="94"/>
      <c r="AF171" s="94">
        <f>SUM(AF172:AF174)</f>
        <v>457800</v>
      </c>
      <c r="AG171" s="94"/>
      <c r="AH171" s="94"/>
      <c r="AI171" s="94">
        <f>SUM(AI172:AI174)</f>
        <v>527544</v>
      </c>
      <c r="AJ171" s="94"/>
      <c r="AK171" s="94"/>
      <c r="AL171" s="94">
        <f>SUM(AL172:AL174)</f>
        <v>688709</v>
      </c>
      <c r="AM171" s="94"/>
      <c r="AN171" s="94"/>
      <c r="AO171" s="94">
        <f>SUM(AO172:AO174)</f>
        <v>579614</v>
      </c>
      <c r="AP171" s="94"/>
      <c r="AQ171" s="94"/>
      <c r="AR171" s="94">
        <f>SUM(AR172:AR174)</f>
        <v>664856</v>
      </c>
      <c r="AS171" s="94"/>
      <c r="AT171" s="94"/>
      <c r="AU171" s="94">
        <f>SUM(AU172:AU174)</f>
        <v>869000</v>
      </c>
      <c r="AV171" s="94"/>
      <c r="AW171" s="94"/>
      <c r="AX171" s="94">
        <f>SUM(AX172:AX174)</f>
        <v>1097000</v>
      </c>
      <c r="AY171" s="94"/>
      <c r="AZ171" s="94"/>
      <c r="BA171" s="94">
        <f>SUM(BA172:BA174)</f>
        <v>954000</v>
      </c>
      <c r="BB171" s="94"/>
      <c r="BC171" s="94"/>
      <c r="BD171" s="94">
        <f>SUM(BD172:BD174)</f>
        <v>978000</v>
      </c>
      <c r="BE171" s="94"/>
      <c r="BF171" s="94"/>
      <c r="BG171" s="94">
        <f>SUM(BG172:BG174)</f>
        <v>1063000</v>
      </c>
      <c r="BH171" s="94"/>
      <c r="BI171" s="94"/>
      <c r="BJ171" s="94">
        <f>SUM(BJ172:BJ174)</f>
        <v>1375000</v>
      </c>
      <c r="BK171" s="94"/>
      <c r="BL171" s="94"/>
      <c r="BM171" s="94">
        <f>SUM(BM172:BM174)</f>
        <v>1248000</v>
      </c>
      <c r="BN171" s="94"/>
      <c r="BO171" s="94"/>
      <c r="BP171" s="94">
        <f>SUM(BP172:BP174)</f>
        <v>1327000</v>
      </c>
      <c r="BQ171" s="94"/>
      <c r="BR171" s="94"/>
      <c r="BS171" s="94">
        <f>SUM(BS172:BS174)</f>
        <v>2073000</v>
      </c>
      <c r="BT171" s="94"/>
      <c r="BU171" s="94"/>
      <c r="BV171" s="94">
        <f>SUM(BV172:BV174)</f>
        <v>2797000</v>
      </c>
      <c r="BW171" s="94"/>
      <c r="BX171" s="94"/>
      <c r="BY171" s="94">
        <f>SUM(BY172:BY174)</f>
        <v>2354000</v>
      </c>
      <c r="BZ171" s="94"/>
      <c r="CA171" s="94"/>
      <c r="CB171" s="94">
        <f>SUM(CB172:CB174)</f>
        <v>1488000</v>
      </c>
      <c r="CC171" s="94"/>
      <c r="CD171" s="94"/>
      <c r="CE171" s="94">
        <f>SUM(CE172:CE174)</f>
        <v>1545000</v>
      </c>
      <c r="CF171" s="94"/>
      <c r="CG171" s="94"/>
      <c r="CH171" s="94">
        <f>SUM(CH172:CH174)</f>
        <v>1689000</v>
      </c>
      <c r="CI171" s="94"/>
      <c r="CJ171" s="94"/>
      <c r="CK171" s="94">
        <f>SUM(CK172:CK174)</f>
        <v>1707000</v>
      </c>
      <c r="CL171" s="94"/>
      <c r="CM171" s="94"/>
      <c r="CN171" s="94">
        <f>SUM(CN172:CN174)</f>
        <v>1861000</v>
      </c>
      <c r="CO171" s="94"/>
      <c r="CP171" s="94"/>
      <c r="CQ171" s="94">
        <f>SUM(CQ172:CQ174)</f>
        <v>1957000</v>
      </c>
      <c r="CR171" s="94"/>
      <c r="CS171" s="94"/>
      <c r="CT171" s="94">
        <f>SUM(CT172:CT174)</f>
        <v>1762000</v>
      </c>
      <c r="CU171" s="94"/>
      <c r="CV171" s="94"/>
      <c r="CW171" s="94">
        <f>SUM(CW172:CW174)</f>
        <v>1737000</v>
      </c>
      <c r="CX171" s="94"/>
      <c r="CY171" s="94"/>
      <c r="CZ171" s="94">
        <f>SUM(CZ172:CZ174)</f>
        <v>1745000</v>
      </c>
      <c r="DA171" s="94"/>
      <c r="DB171" s="94"/>
      <c r="DC171" s="94">
        <f>SUM(DC172:DC174)</f>
        <v>1733000</v>
      </c>
      <c r="DD171" s="22"/>
    </row>
    <row r="172" spans="1:112">
      <c r="A172" s="28" t="s">
        <v>322</v>
      </c>
      <c r="B172" s="94">
        <v>242650</v>
      </c>
      <c r="C172" s="94"/>
      <c r="D172" s="94"/>
      <c r="E172" s="94">
        <v>240347</v>
      </c>
      <c r="F172" s="94"/>
      <c r="G172" s="94"/>
      <c r="H172" s="94">
        <v>243321</v>
      </c>
      <c r="I172" s="94"/>
      <c r="J172" s="94"/>
      <c r="K172" s="94">
        <v>261640</v>
      </c>
      <c r="L172" s="94"/>
      <c r="M172" s="94"/>
      <c r="N172" s="94">
        <v>264308</v>
      </c>
      <c r="O172" s="94"/>
      <c r="P172" s="94"/>
      <c r="Q172" s="94">
        <v>272555</v>
      </c>
      <c r="R172" s="94"/>
      <c r="S172" s="94"/>
      <c r="T172" s="94">
        <v>261907</v>
      </c>
      <c r="U172" s="94"/>
      <c r="V172" s="94"/>
      <c r="W172" s="94">
        <v>253838</v>
      </c>
      <c r="X172" s="94"/>
      <c r="Y172" s="94"/>
      <c r="Z172" s="94">
        <v>268175</v>
      </c>
      <c r="AA172" s="94"/>
      <c r="AB172" s="94"/>
      <c r="AC172" s="94">
        <v>278093</v>
      </c>
      <c r="AD172" s="94"/>
      <c r="AE172" s="94"/>
      <c r="AF172" s="94">
        <v>273169</v>
      </c>
      <c r="AG172" s="94"/>
      <c r="AH172" s="94"/>
      <c r="AI172" s="94">
        <v>293276</v>
      </c>
      <c r="AJ172" s="94"/>
      <c r="AK172" s="94"/>
      <c r="AL172" s="94">
        <v>320003</v>
      </c>
      <c r="AM172" s="94"/>
      <c r="AN172" s="94"/>
      <c r="AO172" s="94">
        <v>329288</v>
      </c>
      <c r="AP172" s="94"/>
      <c r="AQ172" s="94"/>
      <c r="AR172" s="94">
        <v>342820</v>
      </c>
      <c r="AS172" s="94"/>
      <c r="AT172" s="94"/>
      <c r="AU172" s="94">
        <v>368000</v>
      </c>
      <c r="AV172" s="94"/>
      <c r="AW172" s="94"/>
      <c r="AX172" s="94">
        <v>380000</v>
      </c>
      <c r="AY172" s="94"/>
      <c r="AZ172" s="94"/>
      <c r="BA172" s="94">
        <v>361000</v>
      </c>
      <c r="BB172" s="94"/>
      <c r="BC172" s="94"/>
      <c r="BD172" s="94">
        <v>357000</v>
      </c>
      <c r="BE172" s="94"/>
      <c r="BF172" s="94"/>
      <c r="BG172" s="94">
        <v>395000</v>
      </c>
      <c r="BH172" s="94"/>
      <c r="BI172" s="94"/>
      <c r="BJ172" s="94">
        <v>437000</v>
      </c>
      <c r="BK172" s="94"/>
      <c r="BL172" s="94"/>
      <c r="BM172" s="94">
        <v>449000</v>
      </c>
      <c r="BN172" s="94"/>
      <c r="BO172" s="94"/>
      <c r="BP172" s="94">
        <v>492000</v>
      </c>
      <c r="BQ172" s="94"/>
      <c r="BR172" s="94"/>
      <c r="BS172" s="94">
        <v>494000</v>
      </c>
      <c r="BT172" s="94"/>
      <c r="BU172" s="94"/>
      <c r="BV172" s="94">
        <v>518000</v>
      </c>
      <c r="BW172" s="94"/>
      <c r="BX172" s="94"/>
      <c r="BY172" s="94">
        <v>516000</v>
      </c>
      <c r="BZ172" s="94"/>
      <c r="CA172" s="94"/>
      <c r="CB172" s="94">
        <v>521000</v>
      </c>
      <c r="CC172" s="94"/>
      <c r="CD172" s="94"/>
      <c r="CE172" s="94">
        <v>548000</v>
      </c>
      <c r="CF172" s="94"/>
      <c r="CG172" s="94"/>
      <c r="CH172" s="94">
        <v>618000</v>
      </c>
      <c r="CI172" s="94"/>
      <c r="CJ172" s="94"/>
      <c r="CK172" s="94">
        <v>633000</v>
      </c>
      <c r="CL172" s="94"/>
      <c r="CM172" s="94"/>
      <c r="CN172" s="94">
        <v>659000</v>
      </c>
      <c r="CO172" s="94"/>
      <c r="CP172" s="94"/>
      <c r="CQ172" s="94">
        <v>708000</v>
      </c>
      <c r="CR172" s="94"/>
      <c r="CS172" s="94"/>
      <c r="CT172" s="94">
        <v>708000</v>
      </c>
      <c r="CU172" s="94"/>
      <c r="CV172" s="94"/>
      <c r="CW172" s="94">
        <v>682000</v>
      </c>
      <c r="CX172" s="94"/>
      <c r="CY172" s="94"/>
      <c r="CZ172" s="94">
        <v>673000</v>
      </c>
      <c r="DA172" s="94"/>
      <c r="DB172" s="94"/>
      <c r="DC172" s="94">
        <v>699000</v>
      </c>
      <c r="DD172" s="22"/>
    </row>
    <row r="173" spans="1:112">
      <c r="A173" s="28" t="s">
        <v>323</v>
      </c>
      <c r="B173" s="37">
        <v>106586</v>
      </c>
      <c r="C173" s="37"/>
      <c r="D173" s="37"/>
      <c r="E173" s="37">
        <v>13330</v>
      </c>
      <c r="F173" s="37"/>
      <c r="G173" s="37"/>
      <c r="H173" s="37">
        <v>9174</v>
      </c>
      <c r="I173" s="37"/>
      <c r="J173" s="37"/>
      <c r="K173" s="37">
        <v>21167</v>
      </c>
      <c r="L173" s="37"/>
      <c r="M173" s="37"/>
      <c r="N173" s="37">
        <v>128296</v>
      </c>
      <c r="O173" s="37"/>
      <c r="P173" s="37"/>
      <c r="Q173" s="37">
        <v>14952</v>
      </c>
      <c r="R173" s="37"/>
      <c r="S173" s="37"/>
      <c r="T173" s="37">
        <v>12670</v>
      </c>
      <c r="U173" s="37"/>
      <c r="V173" s="37"/>
      <c r="W173" s="37">
        <v>30106</v>
      </c>
      <c r="X173" s="37"/>
      <c r="Y173" s="37"/>
      <c r="Z173" s="37">
        <v>170864</v>
      </c>
      <c r="AA173" s="37"/>
      <c r="AB173" s="37"/>
      <c r="AC173" s="37">
        <v>18931</v>
      </c>
      <c r="AD173" s="37"/>
      <c r="AE173" s="37"/>
      <c r="AF173" s="37">
        <v>15194</v>
      </c>
      <c r="AG173" s="37"/>
      <c r="AH173" s="37"/>
      <c r="AI173" s="37">
        <v>37391</v>
      </c>
      <c r="AJ173" s="37"/>
      <c r="AK173" s="37"/>
      <c r="AL173" s="37">
        <v>167048</v>
      </c>
      <c r="AM173" s="37"/>
      <c r="AN173" s="37"/>
      <c r="AO173" s="37">
        <v>26028</v>
      </c>
      <c r="AP173" s="37"/>
      <c r="AQ173" s="37"/>
      <c r="AR173" s="37">
        <v>23661</v>
      </c>
      <c r="AS173" s="37"/>
      <c r="AT173" s="37"/>
      <c r="AU173" s="37">
        <v>48000</v>
      </c>
      <c r="AV173" s="37"/>
      <c r="AW173" s="37"/>
      <c r="AX173" s="37">
        <v>235000</v>
      </c>
      <c r="AY173" s="37"/>
      <c r="AZ173" s="37"/>
      <c r="BA173" s="37">
        <v>28000</v>
      </c>
      <c r="BB173" s="37"/>
      <c r="BC173" s="37"/>
      <c r="BD173" s="37">
        <v>30000</v>
      </c>
      <c r="BE173" s="37"/>
      <c r="BF173" s="37"/>
      <c r="BG173" s="37">
        <v>59000</v>
      </c>
      <c r="BH173" s="37"/>
      <c r="BI173" s="37"/>
      <c r="BJ173" s="37">
        <v>249000</v>
      </c>
      <c r="BK173" s="37"/>
      <c r="BL173" s="37"/>
      <c r="BM173" s="37">
        <v>43000</v>
      </c>
      <c r="BN173" s="37"/>
      <c r="BO173" s="37"/>
      <c r="BP173" s="37">
        <v>43000</v>
      </c>
      <c r="BQ173" s="37"/>
      <c r="BR173" s="37"/>
      <c r="BS173" s="37">
        <v>740000</v>
      </c>
      <c r="BT173" s="37"/>
      <c r="BU173" s="37"/>
      <c r="BV173" s="37">
        <v>1515000</v>
      </c>
      <c r="BW173" s="37"/>
      <c r="BX173" s="37"/>
      <c r="BY173" s="37">
        <v>1042000</v>
      </c>
      <c r="BZ173" s="37"/>
      <c r="CA173" s="37"/>
      <c r="CB173" s="37">
        <v>124000</v>
      </c>
      <c r="CC173" s="37"/>
      <c r="CD173" s="37"/>
      <c r="CE173" s="37">
        <v>97000</v>
      </c>
      <c r="CF173" s="37"/>
      <c r="CG173" s="37"/>
      <c r="CH173" s="37">
        <v>180000</v>
      </c>
      <c r="CI173" s="37"/>
      <c r="CJ173" s="37"/>
      <c r="CK173" s="37">
        <v>158000</v>
      </c>
      <c r="CL173" s="37"/>
      <c r="CM173" s="37"/>
      <c r="CN173" s="37">
        <v>169000</v>
      </c>
      <c r="CO173" s="37"/>
      <c r="CP173" s="37"/>
      <c r="CQ173" s="37">
        <v>205000</v>
      </c>
      <c r="CR173" s="37"/>
      <c r="CS173" s="37"/>
      <c r="CT173" s="37">
        <v>80000</v>
      </c>
      <c r="CU173" s="37"/>
      <c r="CV173" s="37"/>
      <c r="CW173" s="37">
        <v>80000</v>
      </c>
      <c r="CX173" s="37"/>
      <c r="CY173" s="37"/>
      <c r="CZ173" s="37">
        <v>115000</v>
      </c>
      <c r="DA173" s="37"/>
      <c r="DB173" s="37"/>
      <c r="DC173" s="37">
        <v>74000</v>
      </c>
      <c r="DD173" s="22"/>
    </row>
    <row r="174" spans="1:112">
      <c r="A174" s="28" t="s">
        <v>324</v>
      </c>
      <c r="B174" s="37">
        <v>188743</v>
      </c>
      <c r="C174" s="37"/>
      <c r="D174" s="37"/>
      <c r="E174" s="37">
        <v>178004</v>
      </c>
      <c r="F174" s="37"/>
      <c r="G174" s="37"/>
      <c r="H174" s="37">
        <v>141874</v>
      </c>
      <c r="I174" s="37"/>
      <c r="J174" s="37"/>
      <c r="K174" s="37">
        <v>126356</v>
      </c>
      <c r="L174" s="37"/>
      <c r="M174" s="37"/>
      <c r="N174" s="37">
        <v>133157</v>
      </c>
      <c r="O174" s="37"/>
      <c r="P174" s="37"/>
      <c r="Q174" s="37">
        <v>128793</v>
      </c>
      <c r="R174" s="37"/>
      <c r="S174" s="37"/>
      <c r="T174" s="37">
        <v>154407</v>
      </c>
      <c r="U174" s="37"/>
      <c r="V174" s="37"/>
      <c r="W174" s="37">
        <v>158530</v>
      </c>
      <c r="X174" s="37"/>
      <c r="Y174" s="37"/>
      <c r="Z174" s="37">
        <v>153345</v>
      </c>
      <c r="AA174" s="37"/>
      <c r="AB174" s="37"/>
      <c r="AC174" s="37">
        <v>162904</v>
      </c>
      <c r="AD174" s="37"/>
      <c r="AE174" s="37"/>
      <c r="AF174" s="37">
        <v>169437</v>
      </c>
      <c r="AG174" s="37"/>
      <c r="AH174" s="37"/>
      <c r="AI174" s="37">
        <v>196877</v>
      </c>
      <c r="AJ174" s="37"/>
      <c r="AK174" s="37"/>
      <c r="AL174" s="37">
        <v>201658</v>
      </c>
      <c r="AM174" s="37"/>
      <c r="AN174" s="37"/>
      <c r="AO174" s="37">
        <v>224298</v>
      </c>
      <c r="AP174" s="37"/>
      <c r="AQ174" s="37"/>
      <c r="AR174" s="37">
        <v>298375</v>
      </c>
      <c r="AS174" s="37"/>
      <c r="AT174" s="37"/>
      <c r="AU174" s="37">
        <v>453000</v>
      </c>
      <c r="AV174" s="37"/>
      <c r="AW174" s="37"/>
      <c r="AX174" s="37">
        <v>482000</v>
      </c>
      <c r="AY174" s="37"/>
      <c r="AZ174" s="37"/>
      <c r="BA174" s="37">
        <v>565000</v>
      </c>
      <c r="BB174" s="37"/>
      <c r="BC174" s="37"/>
      <c r="BD174" s="37">
        <v>591000</v>
      </c>
      <c r="BE174" s="37"/>
      <c r="BF174" s="37"/>
      <c r="BG174" s="37">
        <v>609000</v>
      </c>
      <c r="BH174" s="37"/>
      <c r="BI174" s="37"/>
      <c r="BJ174" s="37">
        <v>689000</v>
      </c>
      <c r="BK174" s="37"/>
      <c r="BL174" s="37"/>
      <c r="BM174" s="37">
        <v>756000</v>
      </c>
      <c r="BN174" s="37"/>
      <c r="BO174" s="37"/>
      <c r="BP174" s="37">
        <v>792000</v>
      </c>
      <c r="BQ174" s="37"/>
      <c r="BR174" s="37"/>
      <c r="BS174" s="37">
        <v>839000</v>
      </c>
      <c r="BT174" s="37"/>
      <c r="BU174" s="37"/>
      <c r="BV174" s="37">
        <v>764000</v>
      </c>
      <c r="BW174" s="37"/>
      <c r="BX174" s="37"/>
      <c r="BY174" s="37">
        <v>796000</v>
      </c>
      <c r="BZ174" s="37"/>
      <c r="CA174" s="37"/>
      <c r="CB174" s="37">
        <v>843000</v>
      </c>
      <c r="CC174" s="37"/>
      <c r="CD174" s="37"/>
      <c r="CE174" s="37">
        <v>900000</v>
      </c>
      <c r="CF174" s="37"/>
      <c r="CG174" s="37"/>
      <c r="CH174" s="37">
        <v>891000</v>
      </c>
      <c r="CI174" s="37"/>
      <c r="CJ174" s="37"/>
      <c r="CK174" s="37">
        <v>916000</v>
      </c>
      <c r="CL174" s="37"/>
      <c r="CM174" s="37"/>
      <c r="CN174" s="37">
        <v>1033000</v>
      </c>
      <c r="CO174" s="37"/>
      <c r="CP174" s="37"/>
      <c r="CQ174" s="37">
        <v>1044000</v>
      </c>
      <c r="CR174" s="37"/>
      <c r="CS174" s="37"/>
      <c r="CT174" s="37">
        <v>974000</v>
      </c>
      <c r="CU174" s="37"/>
      <c r="CV174" s="37"/>
      <c r="CW174" s="37">
        <v>975000</v>
      </c>
      <c r="CX174" s="37"/>
      <c r="CY174" s="37"/>
      <c r="CZ174" s="37">
        <v>957000</v>
      </c>
      <c r="DA174" s="37"/>
      <c r="DB174" s="37"/>
      <c r="DC174" s="37">
        <v>960000</v>
      </c>
      <c r="DD174" s="22"/>
    </row>
    <row r="175" spans="1:112" outlineLevel="1">
      <c r="A175" s="27"/>
      <c r="B175" s="37"/>
      <c r="C175" s="85"/>
      <c r="D175" s="37"/>
      <c r="E175" s="37"/>
      <c r="F175" s="85"/>
      <c r="G175" s="37"/>
      <c r="H175" s="37"/>
      <c r="I175" s="85"/>
      <c r="J175" s="37"/>
      <c r="K175" s="37"/>
      <c r="L175" s="85"/>
      <c r="M175" s="37"/>
      <c r="N175" s="37"/>
      <c r="O175" s="85"/>
      <c r="P175" s="37"/>
      <c r="Q175" s="37"/>
      <c r="R175" s="85"/>
      <c r="S175" s="37"/>
      <c r="T175" s="37"/>
      <c r="U175" s="85"/>
      <c r="V175" s="37"/>
      <c r="W175" s="37"/>
      <c r="X175" s="85"/>
      <c r="Y175" s="37"/>
      <c r="Z175" s="37"/>
      <c r="AA175" s="85"/>
      <c r="AB175" s="37"/>
      <c r="AC175" s="37"/>
      <c r="AD175" s="85"/>
      <c r="AE175" s="37"/>
      <c r="AF175" s="37"/>
      <c r="AG175" s="85"/>
      <c r="AH175" s="37"/>
      <c r="AI175" s="37"/>
      <c r="AJ175" s="85"/>
      <c r="AK175" s="37"/>
      <c r="AL175" s="37"/>
      <c r="AM175" s="37"/>
      <c r="AN175" s="37"/>
      <c r="AO175" s="37"/>
      <c r="AP175" s="85"/>
      <c r="AQ175" s="37"/>
      <c r="AR175" s="37"/>
      <c r="AS175" s="85"/>
      <c r="AT175" s="37"/>
      <c r="AU175" s="37"/>
      <c r="AV175" s="85"/>
      <c r="AW175" s="37"/>
      <c r="AX175" s="37"/>
      <c r="AY175" s="85"/>
      <c r="AZ175" s="37"/>
      <c r="BA175" s="37"/>
      <c r="BB175" s="85"/>
      <c r="BC175" s="37"/>
      <c r="BD175" s="37"/>
      <c r="BE175" s="85"/>
      <c r="BF175" s="37"/>
      <c r="BG175" s="37"/>
      <c r="BH175" s="85"/>
      <c r="BI175" s="37"/>
      <c r="BJ175" s="37"/>
      <c r="BK175" s="85"/>
      <c r="BL175" s="37"/>
      <c r="BM175" s="37"/>
      <c r="BN175" s="85"/>
      <c r="BO175" s="37"/>
      <c r="BP175" s="37"/>
      <c r="BQ175" s="85"/>
      <c r="BR175" s="37"/>
      <c r="BS175" s="37"/>
      <c r="BT175" s="85"/>
      <c r="BU175" s="37"/>
      <c r="BV175" s="37"/>
      <c r="BW175" s="85"/>
      <c r="BX175" s="37"/>
      <c r="BY175" s="37"/>
      <c r="BZ175" s="85"/>
      <c r="CA175" s="37"/>
      <c r="CB175" s="37"/>
      <c r="CC175" s="85"/>
      <c r="CD175" s="37"/>
      <c r="CE175" s="37"/>
      <c r="CF175" s="85"/>
      <c r="CG175" s="37"/>
      <c r="CH175" s="37"/>
      <c r="CI175" s="85"/>
      <c r="CJ175" s="37"/>
      <c r="CK175" s="37"/>
      <c r="CL175" s="85"/>
      <c r="CM175" s="37"/>
      <c r="CN175" s="37"/>
      <c r="CO175" s="85"/>
      <c r="CP175" s="37"/>
      <c r="CQ175" s="37"/>
      <c r="CR175" s="85"/>
      <c r="CS175" s="37"/>
      <c r="CT175" s="37"/>
      <c r="CU175" s="85"/>
      <c r="CV175" s="37"/>
      <c r="CW175" s="37"/>
      <c r="CX175" s="85"/>
      <c r="CY175" s="37"/>
      <c r="CZ175" s="37"/>
      <c r="DA175" s="85"/>
      <c r="DB175" s="37"/>
      <c r="DC175" s="37"/>
      <c r="DD175" s="85"/>
      <c r="DE175" s="37"/>
      <c r="DF175" s="37"/>
      <c r="DG175" s="85"/>
      <c r="DH175" s="37"/>
    </row>
    <row r="176" spans="1:112" outlineLevel="1">
      <c r="A176" s="27"/>
      <c r="B176" s="37"/>
      <c r="C176" s="85"/>
      <c r="D176" s="37"/>
      <c r="E176" s="37"/>
      <c r="F176" s="85"/>
      <c r="G176" s="37"/>
      <c r="H176" s="37"/>
      <c r="I176" s="85"/>
      <c r="J176" s="37"/>
      <c r="K176" s="37"/>
      <c r="L176" s="85"/>
      <c r="M176" s="37"/>
      <c r="N176" s="37"/>
      <c r="O176" s="85"/>
      <c r="P176" s="37"/>
      <c r="Q176" s="37"/>
      <c r="R176" s="85"/>
      <c r="S176" s="37"/>
      <c r="T176" s="37"/>
      <c r="U176" s="85"/>
      <c r="V176" s="37"/>
      <c r="W176" s="37"/>
      <c r="X176" s="85"/>
      <c r="Y176" s="37"/>
      <c r="Z176" s="37"/>
      <c r="AA176" s="85"/>
      <c r="AB176" s="37"/>
      <c r="AC176" s="37"/>
      <c r="AD176" s="85"/>
      <c r="AE176" s="37"/>
      <c r="AF176" s="37"/>
      <c r="AG176" s="85"/>
      <c r="AH176" s="37"/>
      <c r="AI176" s="37"/>
      <c r="AJ176" s="85"/>
      <c r="AK176" s="37"/>
      <c r="AL176" s="37"/>
      <c r="AM176" s="85"/>
      <c r="AN176" s="37"/>
      <c r="AO176" s="37"/>
      <c r="AP176" s="85"/>
      <c r="AQ176" s="37"/>
      <c r="AR176" s="37"/>
      <c r="AS176" s="85"/>
      <c r="AT176" s="37"/>
      <c r="AU176" s="37"/>
      <c r="AV176" s="85"/>
      <c r="AW176" s="37"/>
      <c r="AX176" s="37"/>
      <c r="AY176" s="85"/>
      <c r="AZ176" s="37"/>
      <c r="BA176" s="37"/>
      <c r="BB176" s="85"/>
      <c r="BC176" s="37"/>
      <c r="BD176" s="37"/>
      <c r="BE176" s="85"/>
      <c r="BF176" s="37"/>
      <c r="BG176" s="37"/>
      <c r="BH176" s="85"/>
      <c r="BI176" s="37"/>
      <c r="BJ176" s="37"/>
      <c r="BK176" s="85"/>
      <c r="BL176" s="37"/>
      <c r="BM176" s="37"/>
      <c r="BN176" s="85"/>
      <c r="BO176" s="37"/>
      <c r="BP176" s="37"/>
      <c r="BQ176" s="85"/>
      <c r="BR176" s="37"/>
      <c r="BS176" s="37"/>
      <c r="BT176" s="85"/>
      <c r="BU176" s="37"/>
      <c r="BV176" s="37"/>
      <c r="BW176" s="85"/>
      <c r="BX176" s="37"/>
      <c r="BY176" s="37"/>
      <c r="BZ176" s="85"/>
      <c r="CA176" s="37"/>
      <c r="CB176" s="37"/>
      <c r="CC176" s="85"/>
      <c r="CD176" s="37"/>
      <c r="CE176" s="37"/>
      <c r="CF176" s="85"/>
      <c r="CG176" s="37"/>
      <c r="CH176" s="37"/>
      <c r="CI176" s="85"/>
      <c r="CJ176" s="37"/>
      <c r="CK176" s="37"/>
      <c r="CL176" s="85"/>
      <c r="CM176" s="37"/>
      <c r="CN176" s="37"/>
      <c r="CO176" s="85"/>
      <c r="CP176" s="37"/>
      <c r="CQ176" s="37"/>
      <c r="CR176" s="85"/>
      <c r="CS176" s="37"/>
      <c r="CT176" s="37"/>
      <c r="CU176" s="85"/>
      <c r="CV176" s="37"/>
      <c r="CW176" s="37"/>
      <c r="CX176" s="85"/>
      <c r="CY176" s="37"/>
      <c r="CZ176" s="37"/>
      <c r="DA176" s="85"/>
      <c r="DB176" s="37"/>
      <c r="DC176" s="37"/>
      <c r="DD176" s="85"/>
      <c r="DE176" s="37"/>
    </row>
    <row r="177" spans="1:109" outlineLevel="1">
      <c r="A177" s="30" t="s">
        <v>137</v>
      </c>
      <c r="B177" s="37"/>
      <c r="C177" s="85"/>
      <c r="D177" s="37"/>
      <c r="E177" s="37"/>
      <c r="F177" s="85"/>
      <c r="G177" s="37"/>
      <c r="H177" s="37"/>
      <c r="I177" s="85"/>
      <c r="J177" s="37"/>
      <c r="K177" s="37"/>
      <c r="L177" s="85"/>
      <c r="M177" s="37"/>
      <c r="N177" s="37"/>
      <c r="O177" s="85"/>
      <c r="P177" s="37"/>
      <c r="Q177" s="37"/>
      <c r="R177" s="85"/>
      <c r="S177" s="37"/>
      <c r="T177" s="37"/>
      <c r="U177" s="85"/>
      <c r="V177" s="37"/>
      <c r="W177" s="37"/>
      <c r="X177" s="85"/>
      <c r="Y177" s="37"/>
      <c r="Z177" s="37"/>
      <c r="AA177" s="85"/>
      <c r="AB177" s="37"/>
      <c r="AC177" s="37"/>
      <c r="AD177" s="85"/>
      <c r="AE177" s="37"/>
      <c r="AF177" s="37"/>
      <c r="AG177" s="85"/>
      <c r="AH177" s="37"/>
      <c r="AI177" s="37"/>
      <c r="AJ177" s="85"/>
      <c r="AK177" s="37"/>
      <c r="AL177" s="37"/>
      <c r="AM177" s="85"/>
      <c r="AN177" s="37"/>
      <c r="AO177" s="37"/>
      <c r="AP177" s="85"/>
      <c r="AQ177" s="37"/>
      <c r="AR177" s="37"/>
      <c r="AS177" s="85"/>
      <c r="AT177" s="37"/>
      <c r="AU177" s="37"/>
      <c r="AV177" s="85"/>
      <c r="AW177" s="37"/>
      <c r="AX177" s="37"/>
      <c r="AY177" s="85"/>
      <c r="AZ177" s="37"/>
      <c r="BA177" s="37"/>
      <c r="BB177" s="85"/>
      <c r="BC177" s="37"/>
      <c r="BD177" s="37"/>
      <c r="BE177" s="85"/>
      <c r="BF177" s="37"/>
      <c r="BG177" s="37"/>
      <c r="BH177" s="85"/>
      <c r="BI177" s="37"/>
      <c r="BJ177" s="37"/>
      <c r="BK177" s="85"/>
      <c r="BL177" s="37"/>
      <c r="BM177" s="37"/>
      <c r="BN177" s="85"/>
      <c r="BO177" s="37"/>
      <c r="BP177" s="37"/>
      <c r="BQ177" s="85"/>
      <c r="BR177" s="37"/>
      <c r="BS177" s="37"/>
      <c r="BT177" s="85"/>
      <c r="BU177" s="37"/>
      <c r="BV177" s="37"/>
      <c r="BW177" s="85"/>
      <c r="BX177" s="37"/>
      <c r="BY177" s="37"/>
      <c r="BZ177" s="85"/>
      <c r="CA177" s="37"/>
      <c r="CB177" s="37"/>
      <c r="CC177" s="85"/>
      <c r="CD177" s="37"/>
      <c r="CE177" s="37"/>
      <c r="CF177" s="85"/>
      <c r="CG177" s="37"/>
      <c r="CH177" s="37"/>
      <c r="CI177" s="85"/>
      <c r="CJ177" s="37"/>
      <c r="CK177" s="37"/>
      <c r="CL177" s="85"/>
      <c r="CM177" s="37"/>
      <c r="CN177" s="37"/>
      <c r="CO177" s="85"/>
      <c r="CP177" s="37"/>
      <c r="CQ177" s="37"/>
      <c r="CR177" s="85"/>
      <c r="CS177" s="37"/>
      <c r="CT177" s="37"/>
      <c r="CU177" s="85"/>
      <c r="CV177" s="37"/>
      <c r="CW177" s="37"/>
      <c r="CX177" s="85"/>
      <c r="CY177" s="37"/>
      <c r="CZ177" s="37"/>
      <c r="DA177" s="85"/>
      <c r="DB177" s="37"/>
      <c r="DC177" s="37"/>
      <c r="DD177" s="85"/>
      <c r="DE177" s="37"/>
    </row>
    <row r="178" spans="1:109" outlineLevel="1">
      <c r="A178" s="35" t="s">
        <v>330</v>
      </c>
      <c r="B178" s="37"/>
      <c r="C178" s="85"/>
      <c r="D178" s="37"/>
      <c r="E178" s="37"/>
      <c r="F178" s="85"/>
      <c r="G178" s="37"/>
      <c r="H178" s="37"/>
      <c r="I178" s="85"/>
      <c r="J178" s="37"/>
      <c r="K178" s="37"/>
      <c r="L178" s="85"/>
      <c r="M178" s="37"/>
      <c r="N178" s="37"/>
      <c r="O178" s="85"/>
      <c r="P178" s="37"/>
      <c r="Q178" s="37"/>
      <c r="R178" s="85"/>
      <c r="S178" s="37"/>
      <c r="T178" s="37"/>
      <c r="U178" s="85"/>
      <c r="V178" s="37"/>
      <c r="W178" s="37"/>
      <c r="X178" s="85"/>
      <c r="Y178" s="37"/>
      <c r="Z178" s="37"/>
      <c r="AA178" s="85"/>
      <c r="AB178" s="37"/>
      <c r="AC178" s="37"/>
      <c r="AD178" s="85"/>
      <c r="AE178" s="37"/>
      <c r="AF178" s="37"/>
      <c r="AG178" s="85"/>
      <c r="AH178" s="37"/>
      <c r="AI178" s="37"/>
      <c r="AJ178" s="85"/>
      <c r="AK178" s="37"/>
      <c r="AL178" s="37"/>
      <c r="AM178" s="85"/>
      <c r="AN178" s="37"/>
      <c r="AO178" s="37"/>
      <c r="AP178" s="85"/>
      <c r="AQ178" s="37"/>
      <c r="AR178" s="37"/>
      <c r="AS178" s="85"/>
      <c r="AT178" s="37"/>
      <c r="AU178" s="37"/>
      <c r="AV178" s="85"/>
      <c r="AW178" s="37"/>
      <c r="AX178" s="37"/>
      <c r="AY178" s="85"/>
      <c r="AZ178" s="37"/>
      <c r="BA178" s="37"/>
      <c r="BB178" s="85"/>
      <c r="BC178" s="37"/>
      <c r="BD178" s="37"/>
      <c r="BE178" s="85"/>
      <c r="BF178" s="37"/>
      <c r="BG178" s="37"/>
      <c r="BH178" s="85"/>
      <c r="BI178" s="37"/>
      <c r="BJ178" s="37"/>
      <c r="BK178" s="85"/>
      <c r="BL178" s="37"/>
      <c r="BM178" s="37"/>
      <c r="BN178" s="85"/>
      <c r="BO178" s="37"/>
      <c r="BP178" s="37"/>
      <c r="BQ178" s="85"/>
      <c r="BR178" s="37"/>
      <c r="BS178" s="37"/>
      <c r="BT178" s="85"/>
      <c r="BU178" s="37"/>
      <c r="BV178" s="37"/>
      <c r="BW178" s="85"/>
      <c r="BX178" s="37"/>
      <c r="BY178" s="37"/>
      <c r="BZ178" s="85"/>
      <c r="CA178" s="37"/>
      <c r="CB178" s="37"/>
      <c r="CC178" s="85"/>
      <c r="CD178" s="37"/>
      <c r="CE178" s="37"/>
      <c r="CF178" s="85"/>
      <c r="CG178" s="37"/>
      <c r="CH178" s="37"/>
      <c r="CI178" s="85"/>
      <c r="CJ178" s="37"/>
      <c r="CK178" s="37"/>
      <c r="CL178" s="85"/>
      <c r="CM178" s="37"/>
      <c r="CN178" s="37"/>
      <c r="CO178" s="85"/>
      <c r="CP178" s="37"/>
      <c r="CQ178" s="37"/>
      <c r="CR178" s="85"/>
      <c r="CS178" s="37"/>
      <c r="CT178" s="37"/>
      <c r="CU178" s="85"/>
      <c r="CV178" s="37"/>
      <c r="CW178" s="37"/>
      <c r="CX178" s="85"/>
      <c r="CY178" s="37"/>
      <c r="CZ178" s="37"/>
      <c r="DA178" s="85"/>
      <c r="DB178" s="37"/>
      <c r="DC178" s="37"/>
      <c r="DD178" s="85"/>
      <c r="DE178" s="37"/>
    </row>
    <row r="179" spans="1:109" outlineLevel="1">
      <c r="A179" s="28" t="s">
        <v>154</v>
      </c>
      <c r="B179" s="37"/>
      <c r="C179" s="85"/>
      <c r="D179" s="37"/>
      <c r="E179" s="37"/>
      <c r="F179" s="85"/>
      <c r="G179" s="37"/>
      <c r="H179" s="37"/>
      <c r="I179" s="85"/>
      <c r="J179" s="37"/>
      <c r="K179" s="37"/>
      <c r="L179" s="85"/>
      <c r="M179" s="37"/>
      <c r="N179" s="37"/>
      <c r="O179" s="85"/>
      <c r="P179" s="37"/>
      <c r="Q179" s="37"/>
      <c r="R179" s="85"/>
      <c r="S179" s="37"/>
      <c r="T179" s="37"/>
      <c r="U179" s="85"/>
      <c r="V179" s="37"/>
      <c r="W179" s="37"/>
      <c r="X179" s="85"/>
      <c r="Y179" s="37"/>
      <c r="Z179" s="37"/>
      <c r="AA179" s="85"/>
      <c r="AB179" s="37"/>
      <c r="AC179" s="37"/>
      <c r="AD179" s="85"/>
      <c r="AE179" s="37"/>
      <c r="AF179" s="37"/>
      <c r="AG179" s="85"/>
      <c r="AH179" s="37"/>
      <c r="AI179" s="37"/>
      <c r="AJ179" s="85"/>
      <c r="AK179" s="37"/>
      <c r="AL179" s="37"/>
      <c r="AM179" s="85"/>
      <c r="AN179" s="37"/>
      <c r="AO179" s="37"/>
      <c r="AP179" s="85"/>
      <c r="AQ179" s="37"/>
      <c r="AR179" s="37"/>
      <c r="AS179" s="85"/>
      <c r="AT179" s="37"/>
      <c r="AU179" s="37"/>
      <c r="AV179" s="85"/>
      <c r="AW179" s="37"/>
      <c r="AX179" s="37"/>
      <c r="AY179" s="85"/>
      <c r="AZ179" s="37"/>
      <c r="BA179" s="37"/>
      <c r="BB179" s="85"/>
      <c r="BC179" s="37"/>
      <c r="BD179" s="37"/>
      <c r="BE179" s="85"/>
      <c r="BF179" s="37"/>
      <c r="BG179" s="37"/>
      <c r="BH179" s="85"/>
      <c r="BI179" s="37"/>
      <c r="BJ179" s="37"/>
      <c r="BK179" s="85"/>
      <c r="BL179" s="37"/>
      <c r="BM179" s="37"/>
      <c r="BN179" s="85"/>
      <c r="BO179" s="37"/>
      <c r="BP179" s="37"/>
      <c r="BQ179" s="85"/>
      <c r="BR179" s="37"/>
      <c r="BS179" s="37"/>
      <c r="BT179" s="85"/>
      <c r="BU179" s="37"/>
      <c r="BV179" s="37"/>
      <c r="BW179" s="85"/>
      <c r="BX179" s="37"/>
      <c r="BY179" s="37"/>
      <c r="BZ179" s="85"/>
      <c r="CA179" s="37"/>
      <c r="CB179" s="37"/>
      <c r="CC179" s="85"/>
      <c r="CD179" s="37"/>
      <c r="CE179" s="37"/>
      <c r="CF179" s="85"/>
      <c r="CG179" s="37"/>
      <c r="CH179" s="37"/>
      <c r="CI179" s="85"/>
      <c r="CJ179" s="37"/>
      <c r="CK179" s="37"/>
      <c r="CL179" s="85"/>
      <c r="CM179" s="37"/>
      <c r="CN179" s="37"/>
      <c r="CO179" s="85"/>
      <c r="CP179" s="37"/>
      <c r="CQ179" s="37"/>
      <c r="CR179" s="85"/>
      <c r="CS179" s="37"/>
      <c r="CT179" s="37"/>
      <c r="CU179" s="85"/>
      <c r="CV179" s="37"/>
      <c r="CW179" s="37"/>
      <c r="CX179" s="85"/>
      <c r="CY179" s="37"/>
      <c r="CZ179" s="37"/>
      <c r="DA179" s="85"/>
      <c r="DB179" s="37"/>
      <c r="DC179" s="37"/>
      <c r="DD179" s="85"/>
      <c r="DE179" s="37"/>
    </row>
    <row r="180" spans="1:109" outlineLevel="1">
      <c r="A180" s="28" t="s">
        <v>155</v>
      </c>
      <c r="B180" s="37"/>
      <c r="C180" s="85"/>
      <c r="D180" s="37"/>
      <c r="E180" s="37"/>
      <c r="F180" s="85"/>
      <c r="G180" s="37"/>
      <c r="H180" s="37"/>
      <c r="I180" s="85"/>
      <c r="J180" s="37"/>
      <c r="K180" s="37"/>
      <c r="L180" s="85"/>
      <c r="M180" s="37"/>
      <c r="N180" s="37"/>
      <c r="O180" s="85"/>
      <c r="P180" s="37"/>
      <c r="Q180" s="37"/>
      <c r="R180" s="85"/>
      <c r="S180" s="37"/>
      <c r="T180" s="37"/>
      <c r="U180" s="85"/>
      <c r="V180" s="37"/>
      <c r="W180" s="37"/>
      <c r="X180" s="85"/>
      <c r="Y180" s="37"/>
      <c r="Z180" s="37"/>
      <c r="AA180" s="85"/>
      <c r="AB180" s="37"/>
      <c r="AC180" s="37"/>
      <c r="AD180" s="85"/>
      <c r="AE180" s="37"/>
      <c r="AF180" s="37"/>
      <c r="AG180" s="85"/>
      <c r="AH180" s="37"/>
      <c r="AI180" s="37"/>
      <c r="AJ180" s="85"/>
      <c r="AK180" s="37"/>
      <c r="AL180" s="37"/>
      <c r="AM180" s="85"/>
      <c r="AN180" s="37"/>
      <c r="AO180" s="37"/>
      <c r="AP180" s="85"/>
      <c r="AQ180" s="37"/>
      <c r="AR180" s="37"/>
      <c r="AS180" s="85"/>
      <c r="AT180" s="37"/>
      <c r="AU180" s="37"/>
      <c r="AV180" s="85"/>
      <c r="AW180" s="37"/>
      <c r="AX180" s="37"/>
      <c r="AY180" s="85"/>
      <c r="AZ180" s="37"/>
      <c r="BA180" s="37"/>
      <c r="BB180" s="85"/>
      <c r="BC180" s="37"/>
      <c r="BD180" s="37"/>
      <c r="BE180" s="85"/>
      <c r="BF180" s="37"/>
      <c r="BG180" s="37"/>
      <c r="BH180" s="85"/>
      <c r="BI180" s="37"/>
      <c r="BJ180" s="37"/>
      <c r="BK180" s="85"/>
      <c r="BL180" s="37"/>
      <c r="BM180" s="37"/>
      <c r="BN180" s="85"/>
      <c r="BO180" s="37"/>
      <c r="BP180" s="37"/>
      <c r="BQ180" s="85"/>
      <c r="BR180" s="37"/>
      <c r="BS180" s="37"/>
      <c r="BT180" s="85"/>
      <c r="BU180" s="37"/>
      <c r="BV180" s="37"/>
      <c r="BW180" s="85"/>
      <c r="BX180" s="37"/>
      <c r="BY180" s="37"/>
      <c r="BZ180" s="85"/>
      <c r="CA180" s="37"/>
      <c r="CB180" s="37"/>
      <c r="CC180" s="85"/>
      <c r="CD180" s="37"/>
      <c r="CE180" s="37"/>
      <c r="CF180" s="85"/>
      <c r="CG180" s="37"/>
      <c r="CH180" s="37"/>
      <c r="CI180" s="85"/>
      <c r="CJ180" s="37"/>
      <c r="CK180" s="37"/>
      <c r="CL180" s="85"/>
      <c r="CM180" s="37"/>
      <c r="CN180" s="37"/>
      <c r="CO180" s="85"/>
      <c r="CP180" s="37"/>
      <c r="CQ180" s="37"/>
      <c r="CR180" s="85"/>
      <c r="CS180" s="37"/>
      <c r="CT180" s="37"/>
      <c r="CU180" s="85"/>
      <c r="CV180" s="37"/>
      <c r="CW180" s="37"/>
      <c r="CX180" s="85"/>
      <c r="CY180" s="37"/>
      <c r="CZ180" s="37"/>
      <c r="DA180" s="85"/>
      <c r="DB180" s="37"/>
      <c r="DC180" s="37"/>
      <c r="DD180" s="85"/>
      <c r="DE180" s="37"/>
    </row>
    <row r="181" spans="1:109" outlineLevel="1">
      <c r="A181" s="28" t="s">
        <v>156</v>
      </c>
      <c r="B181" s="37"/>
      <c r="C181" s="85"/>
      <c r="D181" s="37"/>
      <c r="E181" s="37"/>
      <c r="F181" s="85"/>
      <c r="G181" s="37"/>
      <c r="H181" s="37"/>
      <c r="I181" s="85"/>
      <c r="J181" s="37"/>
      <c r="K181" s="37"/>
      <c r="L181" s="85"/>
      <c r="M181" s="37"/>
      <c r="N181" s="37"/>
      <c r="O181" s="85"/>
      <c r="P181" s="37"/>
      <c r="Q181" s="37"/>
      <c r="R181" s="85"/>
      <c r="S181" s="37"/>
      <c r="T181" s="37"/>
      <c r="U181" s="85"/>
      <c r="V181" s="37"/>
      <c r="W181" s="37"/>
      <c r="X181" s="85"/>
      <c r="Y181" s="37"/>
      <c r="Z181" s="37"/>
      <c r="AA181" s="85"/>
      <c r="AB181" s="37"/>
      <c r="AC181" s="37"/>
      <c r="AD181" s="85"/>
      <c r="AE181" s="37"/>
      <c r="AF181" s="37"/>
      <c r="AG181" s="85"/>
      <c r="AH181" s="37"/>
      <c r="AI181" s="37"/>
      <c r="AJ181" s="85"/>
      <c r="AK181" s="37"/>
      <c r="AL181" s="37"/>
      <c r="AM181" s="85"/>
      <c r="AN181" s="37"/>
      <c r="AO181" s="37"/>
      <c r="AP181" s="85"/>
      <c r="AQ181" s="37"/>
      <c r="AR181" s="37"/>
      <c r="AS181" s="85"/>
      <c r="AT181" s="37"/>
      <c r="AU181" s="37"/>
      <c r="AV181" s="85"/>
      <c r="AW181" s="37"/>
      <c r="AX181" s="37"/>
      <c r="AY181" s="85"/>
      <c r="AZ181" s="37"/>
      <c r="BA181" s="37"/>
      <c r="BB181" s="85"/>
      <c r="BC181" s="37"/>
      <c r="BD181" s="37"/>
      <c r="BE181" s="85"/>
      <c r="BF181" s="37"/>
      <c r="BG181" s="37"/>
      <c r="BH181" s="85"/>
      <c r="BI181" s="37"/>
      <c r="BJ181" s="37"/>
      <c r="BK181" s="85"/>
      <c r="BL181" s="37"/>
      <c r="BM181" s="37"/>
      <c r="BN181" s="85"/>
      <c r="BO181" s="37"/>
      <c r="BP181" s="37"/>
      <c r="BQ181" s="85"/>
      <c r="BR181" s="37"/>
      <c r="BS181" s="37"/>
      <c r="BT181" s="85"/>
      <c r="BU181" s="37"/>
      <c r="BV181" s="37"/>
      <c r="BW181" s="85"/>
      <c r="BX181" s="37"/>
      <c r="BY181" s="37"/>
      <c r="BZ181" s="85"/>
      <c r="CA181" s="37"/>
      <c r="CB181" s="37"/>
      <c r="CC181" s="85"/>
      <c r="CD181" s="37"/>
      <c r="CE181" s="37"/>
      <c r="CF181" s="85"/>
      <c r="CG181" s="37"/>
      <c r="CH181" s="37"/>
      <c r="CI181" s="85"/>
      <c r="CJ181" s="37"/>
      <c r="CK181" s="37"/>
      <c r="CL181" s="85"/>
      <c r="CM181" s="37"/>
      <c r="CN181" s="37"/>
      <c r="CO181" s="85"/>
      <c r="CP181" s="37"/>
      <c r="CQ181" s="37"/>
      <c r="CR181" s="85"/>
      <c r="CS181" s="37"/>
      <c r="CT181" s="37"/>
      <c r="CU181" s="85"/>
      <c r="CV181" s="37"/>
      <c r="CW181" s="37"/>
      <c r="CX181" s="85"/>
      <c r="CY181" s="37"/>
      <c r="CZ181" s="37"/>
      <c r="DA181" s="85"/>
      <c r="DB181" s="37"/>
      <c r="DC181" s="37"/>
      <c r="DD181" s="85"/>
      <c r="DE181" s="37"/>
    </row>
    <row r="182" spans="1:109" outlineLevel="1">
      <c r="A182" s="35" t="s">
        <v>331</v>
      </c>
      <c r="B182" s="37"/>
      <c r="C182" s="85"/>
      <c r="D182" s="37"/>
      <c r="E182" s="37"/>
      <c r="F182" s="85"/>
      <c r="G182" s="37"/>
      <c r="H182" s="37"/>
      <c r="I182" s="85"/>
      <c r="J182" s="37"/>
      <c r="K182" s="37"/>
      <c r="L182" s="85"/>
      <c r="M182" s="37"/>
      <c r="N182" s="37"/>
      <c r="O182" s="85"/>
      <c r="P182" s="37"/>
      <c r="Q182" s="37"/>
      <c r="R182" s="85"/>
      <c r="S182" s="37"/>
      <c r="T182" s="37"/>
      <c r="U182" s="85"/>
      <c r="V182" s="37"/>
      <c r="W182" s="37"/>
      <c r="X182" s="85"/>
      <c r="Y182" s="37"/>
      <c r="Z182" s="37"/>
      <c r="AA182" s="85"/>
      <c r="AB182" s="37"/>
      <c r="AC182" s="37"/>
      <c r="AD182" s="85"/>
      <c r="AE182" s="37"/>
      <c r="AF182" s="37"/>
      <c r="AG182" s="85"/>
      <c r="AH182" s="37"/>
      <c r="AI182" s="37"/>
      <c r="AJ182" s="85"/>
      <c r="AK182" s="37"/>
      <c r="AL182" s="37"/>
      <c r="AM182" s="85"/>
      <c r="AN182" s="37"/>
      <c r="AO182" s="37"/>
      <c r="AP182" s="85"/>
      <c r="AQ182" s="37"/>
      <c r="AR182" s="37"/>
      <c r="AS182" s="85"/>
      <c r="AT182" s="37"/>
      <c r="AU182" s="37"/>
      <c r="AV182" s="85"/>
      <c r="AW182" s="37"/>
      <c r="AX182" s="37"/>
      <c r="AY182" s="85"/>
      <c r="AZ182" s="37"/>
      <c r="BA182" s="37"/>
      <c r="BB182" s="85"/>
      <c r="BC182" s="37"/>
      <c r="BD182" s="37"/>
      <c r="BE182" s="85"/>
      <c r="BF182" s="37"/>
      <c r="BG182" s="37"/>
      <c r="BH182" s="85"/>
      <c r="BI182" s="37"/>
      <c r="BJ182" s="37"/>
      <c r="BK182" s="85"/>
      <c r="BL182" s="37"/>
      <c r="BM182" s="37"/>
      <c r="BN182" s="85"/>
      <c r="BO182" s="37"/>
      <c r="BP182" s="37"/>
      <c r="BQ182" s="85"/>
      <c r="BR182" s="37"/>
      <c r="BS182" s="37"/>
      <c r="BT182" s="85"/>
      <c r="BU182" s="37"/>
      <c r="BV182" s="37"/>
      <c r="BW182" s="85"/>
      <c r="BX182" s="37"/>
      <c r="BY182" s="37"/>
      <c r="BZ182" s="85"/>
      <c r="CA182" s="37"/>
      <c r="CB182" s="37"/>
      <c r="CC182" s="85"/>
      <c r="CD182" s="37"/>
      <c r="CE182" s="37"/>
      <c r="CF182" s="85"/>
      <c r="CG182" s="37"/>
      <c r="CH182" s="37"/>
      <c r="CI182" s="85"/>
      <c r="CJ182" s="37"/>
      <c r="CK182" s="37"/>
      <c r="CL182" s="85"/>
      <c r="CM182" s="37"/>
      <c r="CN182" s="37"/>
      <c r="CO182" s="85"/>
      <c r="CP182" s="37"/>
      <c r="CQ182" s="37"/>
      <c r="CR182" s="85"/>
      <c r="CS182" s="37"/>
      <c r="CT182" s="37"/>
      <c r="CU182" s="85"/>
      <c r="CV182" s="37"/>
      <c r="CW182" s="37"/>
      <c r="CX182" s="85"/>
      <c r="CY182" s="37"/>
      <c r="CZ182" s="37"/>
      <c r="DA182" s="85"/>
      <c r="DB182" s="37"/>
      <c r="DC182" s="37"/>
      <c r="DD182" s="85"/>
      <c r="DE182" s="37"/>
    </row>
    <row r="183" spans="1:109" outlineLevel="1">
      <c r="A183" s="28" t="s">
        <v>154</v>
      </c>
      <c r="B183" s="37"/>
      <c r="C183" s="85"/>
      <c r="D183" s="37"/>
      <c r="E183" s="37"/>
      <c r="F183" s="85"/>
      <c r="G183" s="37"/>
      <c r="H183" s="37"/>
      <c r="I183" s="85"/>
      <c r="J183" s="37"/>
      <c r="K183" s="37"/>
      <c r="L183" s="85"/>
      <c r="M183" s="37"/>
      <c r="N183" s="37"/>
      <c r="O183" s="85"/>
      <c r="P183" s="37"/>
      <c r="Q183" s="37"/>
      <c r="R183" s="85"/>
      <c r="S183" s="37"/>
      <c r="T183" s="37"/>
      <c r="U183" s="85"/>
      <c r="V183" s="37"/>
      <c r="W183" s="37"/>
      <c r="X183" s="85"/>
      <c r="Y183" s="37"/>
      <c r="Z183" s="37"/>
      <c r="AA183" s="85"/>
      <c r="AB183" s="37"/>
      <c r="AC183" s="37"/>
      <c r="AD183" s="85"/>
      <c r="AE183" s="37"/>
      <c r="AF183" s="37"/>
      <c r="AG183" s="85"/>
      <c r="AH183" s="37"/>
      <c r="AI183" s="37"/>
      <c r="AJ183" s="85"/>
      <c r="AK183" s="37"/>
      <c r="AL183" s="37"/>
      <c r="AM183" s="85"/>
      <c r="AN183" s="37"/>
      <c r="AO183" s="37"/>
      <c r="AP183" s="85"/>
      <c r="AQ183" s="37"/>
      <c r="AR183" s="37"/>
      <c r="AS183" s="85"/>
      <c r="AT183" s="37"/>
      <c r="AU183" s="37"/>
      <c r="AV183" s="85"/>
      <c r="AW183" s="37"/>
      <c r="AX183" s="37"/>
      <c r="AY183" s="85"/>
      <c r="AZ183" s="37"/>
      <c r="BA183" s="37"/>
      <c r="BB183" s="85"/>
      <c r="BC183" s="37"/>
      <c r="BD183" s="37"/>
      <c r="BE183" s="85"/>
      <c r="BF183" s="37"/>
      <c r="BG183" s="37"/>
      <c r="BH183" s="85"/>
      <c r="BI183" s="37"/>
      <c r="BJ183" s="37"/>
      <c r="BK183" s="85"/>
      <c r="BL183" s="37"/>
      <c r="BM183" s="37"/>
      <c r="BN183" s="85"/>
      <c r="BO183" s="37"/>
      <c r="BP183" s="37"/>
      <c r="BQ183" s="85"/>
      <c r="BR183" s="37"/>
      <c r="BS183" s="37"/>
      <c r="BT183" s="85"/>
      <c r="BU183" s="37"/>
      <c r="BV183" s="37"/>
      <c r="BW183" s="85"/>
      <c r="BX183" s="37"/>
      <c r="BY183" s="37"/>
      <c r="BZ183" s="85"/>
      <c r="CA183" s="37"/>
      <c r="CB183" s="37"/>
      <c r="CC183" s="85"/>
      <c r="CD183" s="37"/>
      <c r="CE183" s="37"/>
      <c r="CF183" s="85"/>
      <c r="CG183" s="37"/>
      <c r="CH183" s="37"/>
      <c r="CI183" s="85"/>
      <c r="CJ183" s="37"/>
      <c r="CK183" s="37"/>
      <c r="CL183" s="85"/>
      <c r="CM183" s="37"/>
      <c r="CN183" s="37"/>
      <c r="CO183" s="85"/>
      <c r="CP183" s="37"/>
      <c r="CQ183" s="37"/>
      <c r="CR183" s="85"/>
      <c r="CS183" s="37"/>
      <c r="CT183" s="37"/>
      <c r="CU183" s="85"/>
      <c r="CV183" s="37"/>
      <c r="CW183" s="37"/>
      <c r="CX183" s="85"/>
      <c r="CY183" s="37"/>
      <c r="CZ183" s="37"/>
      <c r="DA183" s="85"/>
      <c r="DB183" s="37"/>
      <c r="DC183" s="37"/>
      <c r="DD183" s="85"/>
      <c r="DE183" s="37"/>
    </row>
    <row r="184" spans="1:109" outlineLevel="1">
      <c r="A184" s="28" t="s">
        <v>155</v>
      </c>
      <c r="B184" s="37"/>
      <c r="C184" s="85"/>
      <c r="D184" s="37"/>
      <c r="E184" s="37"/>
      <c r="F184" s="85"/>
      <c r="G184" s="37"/>
      <c r="H184" s="37"/>
      <c r="I184" s="85"/>
      <c r="J184" s="37"/>
      <c r="K184" s="37"/>
      <c r="L184" s="85"/>
      <c r="M184" s="37"/>
      <c r="N184" s="37"/>
      <c r="O184" s="85"/>
      <c r="P184" s="37"/>
      <c r="Q184" s="37"/>
      <c r="R184" s="85"/>
      <c r="S184" s="37"/>
      <c r="T184" s="37"/>
      <c r="U184" s="85"/>
      <c r="V184" s="37"/>
      <c r="W184" s="37"/>
      <c r="X184" s="85"/>
      <c r="Y184" s="37"/>
      <c r="Z184" s="37"/>
      <c r="AA184" s="85"/>
      <c r="AB184" s="37"/>
      <c r="AC184" s="37"/>
      <c r="AD184" s="85"/>
      <c r="AE184" s="37"/>
      <c r="AF184" s="37"/>
      <c r="AG184" s="85"/>
      <c r="AH184" s="37"/>
      <c r="AI184" s="37"/>
      <c r="AJ184" s="85"/>
      <c r="AK184" s="37"/>
      <c r="AL184" s="37"/>
      <c r="AM184" s="85"/>
      <c r="AN184" s="37"/>
      <c r="AO184" s="37"/>
      <c r="AP184" s="85"/>
      <c r="AQ184" s="37"/>
      <c r="AR184" s="37"/>
      <c r="AS184" s="85"/>
      <c r="AT184" s="37"/>
      <c r="AU184" s="37"/>
      <c r="AV184" s="85"/>
      <c r="AW184" s="37"/>
      <c r="AX184" s="37"/>
      <c r="AY184" s="85"/>
      <c r="AZ184" s="37"/>
      <c r="BA184" s="37"/>
      <c r="BB184" s="85"/>
      <c r="BC184" s="37"/>
      <c r="BD184" s="37"/>
      <c r="BE184" s="85"/>
      <c r="BF184" s="37"/>
      <c r="BG184" s="37"/>
      <c r="BH184" s="85"/>
      <c r="BI184" s="37"/>
      <c r="BJ184" s="37"/>
      <c r="BK184" s="85"/>
      <c r="BL184" s="37"/>
      <c r="BM184" s="37"/>
      <c r="BN184" s="85"/>
      <c r="BO184" s="37"/>
      <c r="BP184" s="37"/>
      <c r="BQ184" s="85"/>
      <c r="BR184" s="37"/>
      <c r="BS184" s="37"/>
      <c r="BT184" s="85"/>
      <c r="BU184" s="37"/>
      <c r="BV184" s="37"/>
      <c r="BW184" s="85"/>
      <c r="BX184" s="37"/>
      <c r="BY184" s="37"/>
      <c r="BZ184" s="85"/>
      <c r="CA184" s="37"/>
      <c r="CB184" s="37"/>
      <c r="CC184" s="85"/>
      <c r="CD184" s="37"/>
      <c r="CE184" s="37"/>
      <c r="CF184" s="85"/>
      <c r="CG184" s="37"/>
      <c r="CH184" s="37"/>
      <c r="CI184" s="85"/>
      <c r="CJ184" s="37"/>
      <c r="CK184" s="37"/>
      <c r="CL184" s="85"/>
      <c r="CM184" s="37"/>
      <c r="CN184" s="37"/>
      <c r="CO184" s="85"/>
      <c r="CP184" s="37"/>
      <c r="CQ184" s="37"/>
      <c r="CR184" s="85"/>
      <c r="CS184" s="37"/>
      <c r="CT184" s="37"/>
      <c r="CU184" s="85"/>
      <c r="CV184" s="37"/>
      <c r="CW184" s="37"/>
      <c r="CX184" s="85"/>
      <c r="CY184" s="37"/>
      <c r="CZ184" s="37"/>
      <c r="DA184" s="85"/>
      <c r="DB184" s="37"/>
      <c r="DC184" s="37"/>
      <c r="DD184" s="85"/>
      <c r="DE184" s="37"/>
    </row>
    <row r="185" spans="1:109" outlineLevel="1">
      <c r="A185" s="28" t="s">
        <v>156</v>
      </c>
      <c r="B185" s="37"/>
      <c r="C185" s="85"/>
      <c r="D185" s="37"/>
      <c r="E185" s="37"/>
      <c r="F185" s="85"/>
      <c r="G185" s="37"/>
      <c r="H185" s="37"/>
      <c r="I185" s="85"/>
      <c r="J185" s="37"/>
      <c r="K185" s="37"/>
      <c r="L185" s="85"/>
      <c r="M185" s="37"/>
      <c r="N185" s="37"/>
      <c r="O185" s="85"/>
      <c r="P185" s="37"/>
      <c r="Q185" s="37"/>
      <c r="R185" s="85"/>
      <c r="S185" s="37"/>
      <c r="T185" s="37"/>
      <c r="U185" s="85"/>
      <c r="V185" s="37"/>
      <c r="W185" s="37"/>
      <c r="X185" s="85"/>
      <c r="Y185" s="37"/>
      <c r="Z185" s="37"/>
      <c r="AA185" s="85"/>
      <c r="AB185" s="37"/>
      <c r="AC185" s="37"/>
      <c r="AD185" s="85"/>
      <c r="AE185" s="37"/>
      <c r="AF185" s="37"/>
      <c r="AG185" s="85"/>
      <c r="AH185" s="37"/>
      <c r="AI185" s="37"/>
      <c r="AJ185" s="85"/>
      <c r="AK185" s="37"/>
      <c r="AL185" s="37"/>
      <c r="AM185" s="85"/>
      <c r="AN185" s="37"/>
      <c r="AO185" s="37"/>
      <c r="AP185" s="85"/>
      <c r="AQ185" s="37"/>
      <c r="AR185" s="37"/>
      <c r="AS185" s="85"/>
      <c r="AT185" s="37"/>
      <c r="AU185" s="37"/>
      <c r="AV185" s="85"/>
      <c r="AW185" s="37"/>
      <c r="AX185" s="37"/>
      <c r="AY185" s="85"/>
      <c r="AZ185" s="37"/>
      <c r="BA185" s="37"/>
      <c r="BB185" s="85"/>
      <c r="BC185" s="37"/>
      <c r="BD185" s="37"/>
      <c r="BE185" s="85"/>
      <c r="BF185" s="37"/>
      <c r="BG185" s="37"/>
      <c r="BH185" s="85"/>
      <c r="BI185" s="37"/>
      <c r="BJ185" s="37"/>
      <c r="BK185" s="85"/>
      <c r="BL185" s="37"/>
      <c r="BM185" s="37"/>
      <c r="BN185" s="85"/>
      <c r="BO185" s="37"/>
      <c r="BP185" s="37"/>
      <c r="BQ185" s="85"/>
      <c r="BR185" s="37"/>
      <c r="BS185" s="37"/>
      <c r="BT185" s="85"/>
      <c r="BU185" s="37"/>
      <c r="BV185" s="37"/>
      <c r="BW185" s="85"/>
      <c r="BX185" s="37"/>
      <c r="BY185" s="37"/>
      <c r="BZ185" s="85"/>
      <c r="CA185" s="37"/>
      <c r="CB185" s="37"/>
      <c r="CC185" s="85"/>
      <c r="CD185" s="37"/>
      <c r="CE185" s="37"/>
      <c r="CF185" s="85"/>
      <c r="CG185" s="37"/>
      <c r="CH185" s="37"/>
      <c r="CI185" s="85"/>
      <c r="CJ185" s="37"/>
      <c r="CK185" s="37"/>
      <c r="CL185" s="85"/>
      <c r="CM185" s="37"/>
      <c r="CN185" s="37"/>
      <c r="CO185" s="85"/>
      <c r="CP185" s="37"/>
      <c r="CQ185" s="37"/>
      <c r="CR185" s="85"/>
      <c r="CS185" s="37"/>
      <c r="CT185" s="37"/>
      <c r="CU185" s="85"/>
      <c r="CV185" s="37"/>
      <c r="CW185" s="37"/>
      <c r="CX185" s="85"/>
      <c r="CY185" s="37"/>
      <c r="CZ185" s="37"/>
      <c r="DA185" s="85"/>
      <c r="DB185" s="37"/>
      <c r="DC185" s="37"/>
      <c r="DD185" s="85"/>
      <c r="DE185" s="37"/>
    </row>
    <row r="186" spans="1:109" outlineLevel="1">
      <c r="A186" s="35" t="s">
        <v>332</v>
      </c>
      <c r="B186" s="37"/>
      <c r="C186" s="85"/>
      <c r="D186" s="37"/>
      <c r="E186" s="37"/>
      <c r="F186" s="85"/>
      <c r="G186" s="37"/>
      <c r="H186" s="37"/>
      <c r="I186" s="85"/>
      <c r="J186" s="37"/>
      <c r="K186" s="37"/>
      <c r="L186" s="85"/>
      <c r="M186" s="37"/>
      <c r="N186" s="37"/>
      <c r="O186" s="85"/>
      <c r="P186" s="37"/>
      <c r="Q186" s="37"/>
      <c r="R186" s="85"/>
      <c r="S186" s="37"/>
      <c r="T186" s="37"/>
      <c r="U186" s="85"/>
      <c r="V186" s="37"/>
      <c r="W186" s="37"/>
      <c r="X186" s="85"/>
      <c r="Y186" s="37"/>
      <c r="Z186" s="37"/>
      <c r="AA186" s="85"/>
      <c r="AB186" s="37"/>
      <c r="AC186" s="37"/>
      <c r="AD186" s="85"/>
      <c r="AE186" s="37"/>
      <c r="AF186" s="37"/>
      <c r="AG186" s="85"/>
      <c r="AH186" s="37"/>
      <c r="AI186" s="37"/>
      <c r="AJ186" s="85"/>
      <c r="AK186" s="37"/>
      <c r="AL186" s="37"/>
      <c r="AM186" s="85"/>
      <c r="AN186" s="37"/>
      <c r="AO186" s="37"/>
      <c r="AP186" s="85"/>
      <c r="AQ186" s="37"/>
      <c r="AR186" s="37"/>
      <c r="AS186" s="85"/>
      <c r="AT186" s="37"/>
      <c r="AU186" s="37"/>
      <c r="AV186" s="85"/>
      <c r="AW186" s="37"/>
      <c r="AX186" s="37"/>
      <c r="AY186" s="85"/>
      <c r="AZ186" s="37"/>
      <c r="BA186" s="37"/>
      <c r="BB186" s="85"/>
      <c r="BC186" s="37"/>
      <c r="BD186" s="37"/>
      <c r="BE186" s="85"/>
      <c r="BF186" s="37"/>
      <c r="BG186" s="37"/>
      <c r="BH186" s="85"/>
      <c r="BI186" s="37"/>
      <c r="BJ186" s="37"/>
      <c r="BK186" s="85"/>
      <c r="BL186" s="37"/>
      <c r="BM186" s="37"/>
      <c r="BN186" s="85"/>
      <c r="BO186" s="37"/>
      <c r="BP186" s="37"/>
      <c r="BQ186" s="85"/>
      <c r="BR186" s="37"/>
      <c r="BS186" s="37"/>
      <c r="BT186" s="85"/>
      <c r="BU186" s="37"/>
      <c r="BV186" s="37"/>
      <c r="BW186" s="85"/>
      <c r="BX186" s="37"/>
      <c r="BY186" s="37"/>
      <c r="BZ186" s="85"/>
      <c r="CA186" s="37"/>
      <c r="CB186" s="37"/>
      <c r="CC186" s="85"/>
      <c r="CD186" s="37"/>
      <c r="CE186" s="37"/>
      <c r="CF186" s="85"/>
      <c r="CG186" s="37"/>
      <c r="CH186" s="37"/>
      <c r="CI186" s="85"/>
      <c r="CJ186" s="37"/>
      <c r="CK186" s="37"/>
      <c r="CL186" s="85"/>
      <c r="CM186" s="37"/>
      <c r="CN186" s="37"/>
      <c r="CO186" s="85"/>
      <c r="CP186" s="37"/>
      <c r="CQ186" s="37"/>
      <c r="CR186" s="85"/>
      <c r="CS186" s="37"/>
      <c r="CT186" s="37"/>
      <c r="CU186" s="85"/>
      <c r="CV186" s="37"/>
      <c r="CW186" s="37"/>
      <c r="CX186" s="85"/>
      <c r="CY186" s="37"/>
      <c r="CZ186" s="37"/>
      <c r="DA186" s="85"/>
      <c r="DB186" s="37"/>
      <c r="DC186" s="37"/>
      <c r="DD186" s="85"/>
      <c r="DE186" s="37"/>
    </row>
    <row r="187" spans="1:109" outlineLevel="1">
      <c r="A187" s="28" t="s">
        <v>154</v>
      </c>
      <c r="B187" s="37"/>
      <c r="C187" s="85"/>
      <c r="D187" s="37"/>
      <c r="E187" s="37"/>
      <c r="F187" s="85"/>
      <c r="G187" s="37"/>
      <c r="H187" s="37"/>
      <c r="I187" s="85"/>
      <c r="J187" s="37"/>
      <c r="K187" s="37"/>
      <c r="L187" s="85"/>
      <c r="M187" s="37"/>
      <c r="N187" s="37"/>
      <c r="O187" s="85"/>
      <c r="P187" s="37"/>
      <c r="Q187" s="37"/>
      <c r="R187" s="85"/>
      <c r="S187" s="37"/>
      <c r="T187" s="37"/>
      <c r="U187" s="85"/>
      <c r="V187" s="37"/>
      <c r="W187" s="37"/>
      <c r="X187" s="85"/>
      <c r="Y187" s="37"/>
      <c r="Z187" s="37"/>
      <c r="AA187" s="85"/>
      <c r="AB187" s="37"/>
      <c r="AC187" s="37"/>
      <c r="AD187" s="85"/>
      <c r="AE187" s="37"/>
      <c r="AF187" s="37"/>
      <c r="AG187" s="85"/>
      <c r="AH187" s="37"/>
      <c r="AI187" s="37"/>
      <c r="AJ187" s="85"/>
      <c r="AK187" s="37"/>
      <c r="AL187" s="37"/>
      <c r="AM187" s="85"/>
      <c r="AN187" s="37"/>
      <c r="AO187" s="37"/>
      <c r="AP187" s="85"/>
      <c r="AQ187" s="37"/>
      <c r="AR187" s="37"/>
      <c r="AS187" s="85"/>
      <c r="AT187" s="37"/>
      <c r="AU187" s="37"/>
      <c r="AV187" s="85"/>
      <c r="AW187" s="37"/>
      <c r="AX187" s="37"/>
      <c r="AY187" s="85"/>
      <c r="AZ187" s="37"/>
      <c r="BA187" s="37"/>
      <c r="BB187" s="85"/>
      <c r="BC187" s="37"/>
      <c r="BD187" s="37"/>
      <c r="BE187" s="85"/>
      <c r="BF187" s="37"/>
      <c r="BG187" s="37"/>
      <c r="BH187" s="85"/>
      <c r="BI187" s="37"/>
      <c r="BJ187" s="37"/>
      <c r="BK187" s="85"/>
      <c r="BL187" s="37"/>
      <c r="BM187" s="37"/>
      <c r="BN187" s="85"/>
      <c r="BO187" s="37"/>
      <c r="BP187" s="37"/>
      <c r="BQ187" s="85"/>
      <c r="BR187" s="37"/>
      <c r="BS187" s="37"/>
      <c r="BT187" s="85"/>
      <c r="BU187" s="37"/>
      <c r="BV187" s="37"/>
      <c r="BW187" s="85"/>
      <c r="BX187" s="37"/>
      <c r="BY187" s="37"/>
      <c r="BZ187" s="85"/>
      <c r="CA187" s="37"/>
      <c r="CB187" s="37"/>
      <c r="CC187" s="85"/>
      <c r="CD187" s="37"/>
      <c r="CE187" s="37"/>
      <c r="CF187" s="85"/>
      <c r="CG187" s="37"/>
      <c r="CH187" s="37"/>
      <c r="CI187" s="85"/>
      <c r="CJ187" s="37"/>
      <c r="CK187" s="37"/>
      <c r="CL187" s="85"/>
      <c r="CM187" s="37"/>
      <c r="CN187" s="37"/>
      <c r="CO187" s="85"/>
      <c r="CP187" s="37"/>
      <c r="CQ187" s="37"/>
      <c r="CR187" s="85"/>
      <c r="CS187" s="37"/>
      <c r="CT187" s="37"/>
      <c r="CU187" s="85"/>
      <c r="CV187" s="37"/>
      <c r="CW187" s="37"/>
      <c r="CX187" s="85"/>
      <c r="CY187" s="37"/>
      <c r="CZ187" s="37"/>
      <c r="DA187" s="85"/>
      <c r="DB187" s="37"/>
      <c r="DC187" s="37"/>
      <c r="DD187" s="85"/>
      <c r="DE187" s="37"/>
    </row>
    <row r="188" spans="1:109" outlineLevel="1">
      <c r="A188" s="28" t="s">
        <v>155</v>
      </c>
      <c r="B188" s="37"/>
      <c r="C188" s="85"/>
      <c r="D188" s="37"/>
      <c r="E188" s="37"/>
      <c r="F188" s="85"/>
      <c r="G188" s="37"/>
      <c r="H188" s="37"/>
      <c r="I188" s="85"/>
      <c r="J188" s="37"/>
      <c r="K188" s="37"/>
      <c r="L188" s="85"/>
      <c r="M188" s="37"/>
      <c r="N188" s="37"/>
      <c r="O188" s="85"/>
      <c r="P188" s="37"/>
      <c r="Q188" s="37"/>
      <c r="R188" s="85"/>
      <c r="S188" s="37"/>
      <c r="T188" s="37"/>
      <c r="U188" s="85"/>
      <c r="V188" s="37"/>
      <c r="W188" s="37"/>
      <c r="X188" s="85"/>
      <c r="Y188" s="37"/>
      <c r="Z188" s="37"/>
      <c r="AA188" s="85"/>
      <c r="AB188" s="37"/>
      <c r="AC188" s="37"/>
      <c r="AD188" s="85"/>
      <c r="AE188" s="37"/>
      <c r="AF188" s="37"/>
      <c r="AG188" s="85"/>
      <c r="AH188" s="37"/>
      <c r="AI188" s="37"/>
      <c r="AJ188" s="85"/>
      <c r="AK188" s="37"/>
      <c r="AL188" s="37"/>
      <c r="AM188" s="85"/>
      <c r="AN188" s="37"/>
      <c r="AO188" s="37"/>
      <c r="AP188" s="85"/>
      <c r="AQ188" s="37"/>
      <c r="AR188" s="37"/>
      <c r="AS188" s="85"/>
      <c r="AT188" s="37"/>
      <c r="AU188" s="37"/>
      <c r="AV188" s="85"/>
      <c r="AW188" s="37"/>
      <c r="AX188" s="37"/>
      <c r="AY188" s="85"/>
      <c r="AZ188" s="37"/>
      <c r="BA188" s="37"/>
      <c r="BB188" s="85"/>
      <c r="BC188" s="37"/>
      <c r="BD188" s="37"/>
      <c r="BE188" s="85"/>
      <c r="BF188" s="37"/>
      <c r="BG188" s="37"/>
      <c r="BH188" s="85"/>
      <c r="BI188" s="37"/>
      <c r="BJ188" s="37"/>
      <c r="BK188" s="85"/>
      <c r="BL188" s="37"/>
      <c r="BM188" s="37"/>
      <c r="BN188" s="85"/>
      <c r="BO188" s="37"/>
      <c r="BP188" s="37"/>
      <c r="BQ188" s="85"/>
      <c r="BR188" s="37"/>
      <c r="BS188" s="37"/>
      <c r="BT188" s="85"/>
      <c r="BU188" s="37"/>
      <c r="BV188" s="37"/>
      <c r="BW188" s="85"/>
      <c r="BX188" s="37"/>
      <c r="BY188" s="37"/>
      <c r="BZ188" s="85"/>
      <c r="CA188" s="37"/>
      <c r="CB188" s="37"/>
      <c r="CC188" s="85"/>
      <c r="CD188" s="37"/>
      <c r="CE188" s="37"/>
      <c r="CF188" s="85"/>
      <c r="CG188" s="37"/>
      <c r="CH188" s="37"/>
      <c r="CI188" s="85"/>
      <c r="CJ188" s="37"/>
      <c r="CK188" s="37"/>
      <c r="CL188" s="85"/>
      <c r="CM188" s="37"/>
      <c r="CN188" s="37"/>
      <c r="CO188" s="85"/>
      <c r="CP188" s="37"/>
      <c r="CQ188" s="37"/>
      <c r="CR188" s="85"/>
      <c r="CS188" s="37"/>
      <c r="CT188" s="37"/>
      <c r="CU188" s="85"/>
      <c r="CV188" s="37"/>
      <c r="CW188" s="37"/>
      <c r="CX188" s="85"/>
      <c r="CY188" s="37"/>
      <c r="CZ188" s="37"/>
      <c r="DA188" s="85"/>
      <c r="DB188" s="37"/>
      <c r="DC188" s="37"/>
      <c r="DD188" s="85"/>
      <c r="DE188" s="37"/>
    </row>
    <row r="189" spans="1:109" outlineLevel="1">
      <c r="A189" s="28" t="s">
        <v>156</v>
      </c>
      <c r="B189" s="37"/>
      <c r="C189" s="85"/>
      <c r="D189" s="37"/>
      <c r="E189" s="37"/>
      <c r="F189" s="85"/>
      <c r="G189" s="37"/>
      <c r="H189" s="37"/>
      <c r="I189" s="85"/>
      <c r="J189" s="37"/>
      <c r="K189" s="37"/>
      <c r="L189" s="85"/>
      <c r="M189" s="37"/>
      <c r="N189" s="37"/>
      <c r="O189" s="85"/>
      <c r="P189" s="37"/>
      <c r="Q189" s="37"/>
      <c r="R189" s="85"/>
      <c r="S189" s="37"/>
      <c r="T189" s="37"/>
      <c r="U189" s="85"/>
      <c r="V189" s="37"/>
      <c r="W189" s="37"/>
      <c r="X189" s="85"/>
      <c r="Y189" s="37"/>
      <c r="Z189" s="37"/>
      <c r="AA189" s="85"/>
      <c r="AB189" s="37"/>
      <c r="AC189" s="37"/>
      <c r="AD189" s="85"/>
      <c r="AE189" s="37"/>
      <c r="AF189" s="37"/>
      <c r="AG189" s="85"/>
      <c r="AH189" s="37"/>
      <c r="AI189" s="37"/>
      <c r="AJ189" s="85"/>
      <c r="AK189" s="37"/>
      <c r="AL189" s="37"/>
      <c r="AM189" s="85"/>
      <c r="AN189" s="37"/>
      <c r="AO189" s="37"/>
      <c r="AP189" s="85"/>
      <c r="AQ189" s="37"/>
      <c r="AR189" s="37"/>
      <c r="AS189" s="85"/>
      <c r="AT189" s="37"/>
      <c r="AU189" s="37"/>
      <c r="AV189" s="85"/>
      <c r="AW189" s="37"/>
      <c r="AX189" s="37"/>
      <c r="AY189" s="85"/>
      <c r="AZ189" s="37"/>
      <c r="BA189" s="37"/>
      <c r="BB189" s="85"/>
      <c r="BC189" s="37"/>
      <c r="BD189" s="37"/>
      <c r="BE189" s="85"/>
      <c r="BF189" s="37"/>
      <c r="BG189" s="37"/>
      <c r="BH189" s="85"/>
      <c r="BI189" s="37"/>
      <c r="BJ189" s="37"/>
      <c r="BK189" s="85"/>
      <c r="BL189" s="37"/>
      <c r="BM189" s="37"/>
      <c r="BN189" s="85"/>
      <c r="BO189" s="37"/>
      <c r="BP189" s="37"/>
      <c r="BQ189" s="85"/>
      <c r="BR189" s="37"/>
      <c r="BS189" s="37"/>
      <c r="BT189" s="85"/>
      <c r="BU189" s="37"/>
      <c r="BV189" s="37"/>
      <c r="BW189" s="85"/>
      <c r="BX189" s="37"/>
      <c r="BY189" s="37"/>
      <c r="BZ189" s="85"/>
      <c r="CA189" s="37"/>
      <c r="CB189" s="37"/>
      <c r="CC189" s="85"/>
      <c r="CD189" s="37"/>
      <c r="CE189" s="37"/>
      <c r="CF189" s="85"/>
      <c r="CG189" s="37"/>
      <c r="CH189" s="37"/>
      <c r="CI189" s="85"/>
      <c r="CJ189" s="37"/>
      <c r="CK189" s="37"/>
      <c r="CL189" s="85"/>
      <c r="CM189" s="37"/>
      <c r="CN189" s="37"/>
      <c r="CO189" s="85"/>
      <c r="CP189" s="37"/>
      <c r="CQ189" s="37"/>
      <c r="CR189" s="85"/>
      <c r="CS189" s="37"/>
      <c r="CT189" s="37"/>
      <c r="CU189" s="85"/>
      <c r="CV189" s="37"/>
      <c r="CW189" s="37"/>
      <c r="CX189" s="85"/>
      <c r="CY189" s="37"/>
      <c r="CZ189" s="37"/>
      <c r="DA189" s="85"/>
      <c r="DB189" s="37"/>
      <c r="DC189" s="37"/>
      <c r="DD189" s="85"/>
      <c r="DE189" s="37"/>
    </row>
    <row r="190" spans="1:109" outlineLevel="1">
      <c r="A190" s="35" t="s">
        <v>333</v>
      </c>
      <c r="B190" s="37"/>
      <c r="C190" s="85"/>
      <c r="D190" s="37"/>
      <c r="E190" s="37"/>
      <c r="F190" s="85"/>
      <c r="G190" s="37"/>
      <c r="H190" s="37"/>
      <c r="I190" s="85"/>
      <c r="J190" s="37"/>
      <c r="K190" s="37"/>
      <c r="L190" s="85"/>
      <c r="M190" s="37"/>
      <c r="N190" s="37"/>
      <c r="O190" s="85"/>
      <c r="P190" s="37"/>
      <c r="Q190" s="37"/>
      <c r="R190" s="85"/>
      <c r="S190" s="37"/>
      <c r="T190" s="37"/>
      <c r="U190" s="85"/>
      <c r="V190" s="37"/>
      <c r="W190" s="37"/>
      <c r="X190" s="85"/>
      <c r="Y190" s="37"/>
      <c r="Z190" s="37"/>
      <c r="AA190" s="85"/>
      <c r="AB190" s="37"/>
      <c r="AC190" s="37"/>
      <c r="AD190" s="85"/>
      <c r="AE190" s="37"/>
      <c r="AF190" s="37"/>
      <c r="AG190" s="85"/>
      <c r="AH190" s="37"/>
      <c r="AI190" s="37"/>
      <c r="AJ190" s="85"/>
      <c r="AK190" s="37"/>
      <c r="AL190" s="37"/>
      <c r="AM190" s="85"/>
      <c r="AN190" s="37"/>
      <c r="AO190" s="37"/>
      <c r="AP190" s="85"/>
      <c r="AQ190" s="37"/>
      <c r="AR190" s="37"/>
      <c r="AS190" s="85"/>
      <c r="AT190" s="37"/>
      <c r="AU190" s="37"/>
      <c r="AV190" s="85"/>
      <c r="AW190" s="37"/>
      <c r="AX190" s="37"/>
      <c r="AY190" s="85"/>
      <c r="AZ190" s="37"/>
      <c r="BA190" s="37"/>
      <c r="BB190" s="85"/>
      <c r="BC190" s="37"/>
      <c r="BD190" s="37"/>
      <c r="BE190" s="85"/>
      <c r="BF190" s="37"/>
      <c r="BG190" s="37"/>
      <c r="BH190" s="85"/>
      <c r="BI190" s="37"/>
      <c r="BJ190" s="37"/>
      <c r="BK190" s="85"/>
      <c r="BL190" s="37"/>
      <c r="BM190" s="37"/>
      <c r="BN190" s="85"/>
      <c r="BO190" s="37"/>
      <c r="BP190" s="37"/>
      <c r="BQ190" s="85"/>
      <c r="BR190" s="37"/>
      <c r="BS190" s="37"/>
      <c r="BT190" s="85"/>
      <c r="BU190" s="37"/>
      <c r="BV190" s="37"/>
      <c r="BW190" s="85"/>
      <c r="BX190" s="37"/>
      <c r="BY190" s="37"/>
      <c r="BZ190" s="85"/>
      <c r="CA190" s="37"/>
      <c r="CB190" s="37"/>
      <c r="CC190" s="85"/>
      <c r="CD190" s="37"/>
      <c r="CE190" s="37"/>
      <c r="CF190" s="85"/>
      <c r="CG190" s="37"/>
      <c r="CH190" s="37"/>
      <c r="CI190" s="85"/>
      <c r="CJ190" s="37"/>
      <c r="CK190" s="37"/>
      <c r="CL190" s="85"/>
      <c r="CM190" s="37"/>
      <c r="CN190" s="37"/>
      <c r="CO190" s="85"/>
      <c r="CP190" s="37"/>
      <c r="CQ190" s="37"/>
      <c r="CR190" s="85"/>
      <c r="CS190" s="37"/>
      <c r="CT190" s="37"/>
      <c r="CU190" s="85"/>
      <c r="CV190" s="37"/>
      <c r="CW190" s="37"/>
      <c r="CX190" s="85"/>
      <c r="CY190" s="37"/>
      <c r="CZ190" s="37"/>
      <c r="DA190" s="85"/>
      <c r="DB190" s="37"/>
      <c r="DC190" s="37"/>
      <c r="DD190" s="85"/>
      <c r="DE190" s="37"/>
    </row>
    <row r="191" spans="1:109" outlineLevel="1">
      <c r="A191" s="28" t="s">
        <v>154</v>
      </c>
      <c r="B191" s="37"/>
      <c r="C191" s="85"/>
      <c r="D191" s="37"/>
      <c r="E191" s="37"/>
      <c r="F191" s="85"/>
      <c r="G191" s="37"/>
      <c r="H191" s="37"/>
      <c r="I191" s="85"/>
      <c r="J191" s="37"/>
      <c r="K191" s="37"/>
      <c r="L191" s="85"/>
      <c r="M191" s="37"/>
      <c r="N191" s="37"/>
      <c r="O191" s="85"/>
      <c r="P191" s="37"/>
      <c r="Q191" s="37"/>
      <c r="R191" s="85"/>
      <c r="S191" s="37"/>
      <c r="T191" s="37"/>
      <c r="U191" s="85"/>
      <c r="V191" s="37"/>
      <c r="W191" s="37"/>
      <c r="X191" s="85"/>
      <c r="Y191" s="37"/>
      <c r="Z191" s="37"/>
      <c r="AA191" s="85"/>
      <c r="AB191" s="37"/>
      <c r="AC191" s="37"/>
      <c r="AD191" s="85"/>
      <c r="AE191" s="37"/>
      <c r="AF191" s="37"/>
      <c r="AG191" s="85"/>
      <c r="AH191" s="37"/>
      <c r="AI191" s="37"/>
      <c r="AJ191" s="85"/>
      <c r="AK191" s="37"/>
      <c r="AL191" s="37"/>
      <c r="AM191" s="85"/>
      <c r="AN191" s="37"/>
      <c r="AO191" s="37"/>
      <c r="AP191" s="85"/>
      <c r="AQ191" s="37"/>
      <c r="AR191" s="37"/>
      <c r="AS191" s="85"/>
      <c r="AT191" s="37"/>
      <c r="AU191" s="37"/>
      <c r="AV191" s="85"/>
      <c r="AW191" s="37"/>
      <c r="AX191" s="37"/>
      <c r="AY191" s="85"/>
      <c r="AZ191" s="37"/>
      <c r="BA191" s="37"/>
      <c r="BB191" s="85"/>
      <c r="BC191" s="37"/>
      <c r="BD191" s="37"/>
      <c r="BE191" s="85"/>
      <c r="BF191" s="37"/>
      <c r="BG191" s="37"/>
      <c r="BH191" s="85"/>
      <c r="BI191" s="37"/>
      <c r="BJ191" s="37"/>
      <c r="BK191" s="85"/>
      <c r="BL191" s="37"/>
      <c r="BM191" s="37"/>
      <c r="BN191" s="85"/>
      <c r="BO191" s="37"/>
      <c r="BP191" s="37"/>
      <c r="BQ191" s="85"/>
      <c r="BR191" s="37"/>
      <c r="BS191" s="37"/>
      <c r="BT191" s="85"/>
      <c r="BU191" s="37"/>
      <c r="BV191" s="37"/>
      <c r="BW191" s="85"/>
      <c r="BX191" s="37"/>
      <c r="BY191" s="37"/>
      <c r="BZ191" s="85"/>
      <c r="CA191" s="37"/>
      <c r="CB191" s="37"/>
      <c r="CC191" s="85"/>
      <c r="CD191" s="37"/>
      <c r="CE191" s="37"/>
      <c r="CF191" s="85"/>
      <c r="CG191" s="37"/>
      <c r="CH191" s="37"/>
      <c r="CI191" s="85"/>
      <c r="CJ191" s="37"/>
      <c r="CK191" s="37"/>
      <c r="CL191" s="85"/>
      <c r="CM191" s="37"/>
      <c r="CN191" s="37"/>
      <c r="CO191" s="85"/>
      <c r="CP191" s="37"/>
      <c r="CQ191" s="37"/>
      <c r="CR191" s="85"/>
      <c r="CS191" s="37"/>
      <c r="CT191" s="37"/>
      <c r="CU191" s="85"/>
      <c r="CV191" s="37"/>
      <c r="CW191" s="37"/>
      <c r="CX191" s="85"/>
      <c r="CY191" s="37"/>
      <c r="CZ191" s="37"/>
      <c r="DA191" s="85"/>
      <c r="DB191" s="37"/>
      <c r="DC191" s="37"/>
      <c r="DD191" s="85"/>
      <c r="DE191" s="37"/>
    </row>
    <row r="192" spans="1:109" outlineLevel="1">
      <c r="A192" s="28" t="s">
        <v>155</v>
      </c>
      <c r="B192" s="37"/>
      <c r="C192" s="85"/>
      <c r="D192" s="37"/>
      <c r="E192" s="37"/>
      <c r="F192" s="85"/>
      <c r="G192" s="37"/>
      <c r="H192" s="37"/>
      <c r="I192" s="85"/>
      <c r="J192" s="37"/>
      <c r="K192" s="37"/>
      <c r="L192" s="85"/>
      <c r="M192" s="37"/>
      <c r="N192" s="37"/>
      <c r="O192" s="85"/>
      <c r="P192" s="37"/>
      <c r="Q192" s="37"/>
      <c r="R192" s="85"/>
      <c r="S192" s="37"/>
      <c r="T192" s="37"/>
      <c r="U192" s="85"/>
      <c r="V192" s="37"/>
      <c r="W192" s="37"/>
      <c r="X192" s="85"/>
      <c r="Y192" s="37"/>
      <c r="Z192" s="37"/>
      <c r="AA192" s="85"/>
      <c r="AB192" s="37"/>
      <c r="AC192" s="37"/>
      <c r="AD192" s="85"/>
      <c r="AE192" s="37"/>
      <c r="AF192" s="37"/>
      <c r="AG192" s="85"/>
      <c r="AH192" s="37"/>
      <c r="AI192" s="37"/>
      <c r="AJ192" s="85"/>
      <c r="AK192" s="37"/>
      <c r="AL192" s="37"/>
      <c r="AM192" s="85"/>
      <c r="AN192" s="37"/>
      <c r="AO192" s="37"/>
      <c r="AP192" s="85"/>
      <c r="AQ192" s="37"/>
      <c r="AR192" s="37"/>
      <c r="AS192" s="85"/>
      <c r="AT192" s="37"/>
      <c r="AU192" s="37"/>
      <c r="AV192" s="85"/>
      <c r="AW192" s="37"/>
      <c r="AX192" s="37"/>
      <c r="AY192" s="85"/>
      <c r="AZ192" s="37"/>
      <c r="BA192" s="37"/>
      <c r="BB192" s="85"/>
      <c r="BC192" s="37"/>
      <c r="BD192" s="37"/>
      <c r="BE192" s="85"/>
      <c r="BF192" s="37"/>
      <c r="BG192" s="37"/>
      <c r="BH192" s="85"/>
      <c r="BI192" s="37"/>
      <c r="BJ192" s="37"/>
      <c r="BK192" s="85"/>
      <c r="BL192" s="37"/>
      <c r="BM192" s="37"/>
      <c r="BN192" s="85"/>
      <c r="BO192" s="37"/>
      <c r="BP192" s="37"/>
      <c r="BQ192" s="85"/>
      <c r="BR192" s="37"/>
      <c r="BS192" s="37"/>
      <c r="BT192" s="85"/>
      <c r="BU192" s="37"/>
      <c r="BV192" s="37"/>
      <c r="BW192" s="85"/>
      <c r="BX192" s="37"/>
      <c r="BY192" s="37"/>
      <c r="BZ192" s="85"/>
      <c r="CA192" s="37"/>
      <c r="CB192" s="37"/>
      <c r="CC192" s="85"/>
      <c r="CD192" s="37"/>
      <c r="CE192" s="37"/>
      <c r="CF192" s="85"/>
      <c r="CG192" s="37"/>
      <c r="CH192" s="37"/>
      <c r="CI192" s="85"/>
      <c r="CJ192" s="37"/>
      <c r="CK192" s="37"/>
      <c r="CL192" s="85"/>
      <c r="CM192" s="37"/>
      <c r="CN192" s="37"/>
      <c r="CO192" s="85"/>
      <c r="CP192" s="37"/>
      <c r="CQ192" s="37"/>
      <c r="CR192" s="85"/>
      <c r="CS192" s="37"/>
      <c r="CT192" s="37"/>
      <c r="CU192" s="85"/>
      <c r="CV192" s="37"/>
      <c r="CW192" s="37"/>
      <c r="CX192" s="85"/>
      <c r="CY192" s="37"/>
      <c r="CZ192" s="37"/>
      <c r="DA192" s="85"/>
      <c r="DB192" s="37"/>
      <c r="DC192" s="37"/>
      <c r="DD192" s="85"/>
      <c r="DE192" s="37"/>
    </row>
    <row r="193" spans="1:109" outlineLevel="1">
      <c r="A193" s="28" t="s">
        <v>156</v>
      </c>
      <c r="B193" s="37"/>
      <c r="C193" s="85"/>
      <c r="D193" s="37"/>
      <c r="E193" s="37"/>
      <c r="F193" s="85"/>
      <c r="G193" s="37"/>
      <c r="H193" s="37"/>
      <c r="I193" s="85"/>
      <c r="J193" s="37"/>
      <c r="K193" s="37"/>
      <c r="L193" s="85"/>
      <c r="M193" s="37"/>
      <c r="N193" s="37"/>
      <c r="O193" s="85"/>
      <c r="P193" s="37"/>
      <c r="Q193" s="37"/>
      <c r="R193" s="85"/>
      <c r="S193" s="37"/>
      <c r="T193" s="37"/>
      <c r="U193" s="85"/>
      <c r="V193" s="37"/>
      <c r="W193" s="37"/>
      <c r="X193" s="85"/>
      <c r="Y193" s="37"/>
      <c r="Z193" s="37"/>
      <c r="AA193" s="85"/>
      <c r="AB193" s="37"/>
      <c r="AC193" s="37"/>
      <c r="AD193" s="85"/>
      <c r="AE193" s="37"/>
      <c r="AF193" s="37"/>
      <c r="AG193" s="85"/>
      <c r="AH193" s="37"/>
      <c r="AI193" s="37"/>
      <c r="AJ193" s="85"/>
      <c r="AK193" s="37"/>
      <c r="AL193" s="37"/>
      <c r="AM193" s="85"/>
      <c r="AN193" s="37"/>
      <c r="AO193" s="37"/>
      <c r="AP193" s="85"/>
      <c r="AQ193" s="37"/>
      <c r="AR193" s="37"/>
      <c r="AS193" s="85"/>
      <c r="AT193" s="37"/>
      <c r="AU193" s="37"/>
      <c r="AV193" s="85"/>
      <c r="AW193" s="37"/>
      <c r="AX193" s="37"/>
      <c r="AY193" s="85"/>
      <c r="AZ193" s="37"/>
      <c r="BA193" s="37"/>
      <c r="BB193" s="85"/>
      <c r="BC193" s="37"/>
      <c r="BD193" s="37"/>
      <c r="BE193" s="85"/>
      <c r="BF193" s="37"/>
      <c r="BG193" s="37"/>
      <c r="BH193" s="85"/>
      <c r="BI193" s="37"/>
      <c r="BJ193" s="37"/>
      <c r="BK193" s="85"/>
      <c r="BL193" s="37"/>
      <c r="BM193" s="37"/>
      <c r="BN193" s="85"/>
      <c r="BO193" s="37"/>
      <c r="BP193" s="37"/>
      <c r="BQ193" s="85"/>
      <c r="BR193" s="37"/>
      <c r="BS193" s="37"/>
      <c r="BT193" s="85"/>
      <c r="BU193" s="37"/>
      <c r="BV193" s="37"/>
      <c r="BW193" s="85"/>
      <c r="BX193" s="37"/>
      <c r="BY193" s="37"/>
      <c r="BZ193" s="85"/>
      <c r="CA193" s="37"/>
      <c r="CB193" s="37"/>
      <c r="CC193" s="85"/>
      <c r="CD193" s="37"/>
      <c r="CE193" s="37"/>
      <c r="CF193" s="85"/>
      <c r="CG193" s="37"/>
      <c r="CH193" s="37"/>
      <c r="CI193" s="85"/>
      <c r="CJ193" s="37"/>
      <c r="CK193" s="37"/>
      <c r="CL193" s="85"/>
      <c r="CM193" s="37"/>
      <c r="CN193" s="37"/>
      <c r="CO193" s="85"/>
      <c r="CP193" s="37"/>
      <c r="CQ193" s="37"/>
      <c r="CR193" s="85"/>
      <c r="CS193" s="37"/>
      <c r="CT193" s="37"/>
      <c r="CU193" s="85"/>
      <c r="CV193" s="37"/>
      <c r="CW193" s="37"/>
      <c r="CX193" s="85"/>
      <c r="CY193" s="37"/>
      <c r="CZ193" s="37"/>
      <c r="DA193" s="85"/>
      <c r="DB193" s="37"/>
      <c r="DC193" s="37"/>
      <c r="DD193" s="85"/>
      <c r="DE193" s="37"/>
    </row>
    <row r="194" spans="1:109" outlineLevel="1">
      <c r="A194" s="35" t="s">
        <v>334</v>
      </c>
      <c r="B194" s="37"/>
      <c r="C194" s="85"/>
      <c r="D194" s="37"/>
      <c r="E194" s="37"/>
      <c r="F194" s="85"/>
      <c r="G194" s="37"/>
      <c r="H194" s="37"/>
      <c r="I194" s="85"/>
      <c r="J194" s="37"/>
      <c r="K194" s="37"/>
      <c r="L194" s="85"/>
      <c r="M194" s="37"/>
      <c r="N194" s="37"/>
      <c r="O194" s="85"/>
      <c r="P194" s="37"/>
      <c r="Q194" s="37"/>
      <c r="R194" s="85"/>
      <c r="S194" s="37"/>
      <c r="T194" s="37"/>
      <c r="U194" s="85"/>
      <c r="V194" s="37"/>
      <c r="W194" s="37"/>
      <c r="X194" s="85"/>
      <c r="Y194" s="37"/>
      <c r="Z194" s="37"/>
      <c r="AA194" s="85"/>
      <c r="AB194" s="37"/>
      <c r="AC194" s="37"/>
      <c r="AD194" s="85"/>
      <c r="AE194" s="37"/>
      <c r="AF194" s="37"/>
      <c r="AG194" s="85"/>
      <c r="AH194" s="37"/>
      <c r="AI194" s="37"/>
      <c r="AJ194" s="85"/>
      <c r="AK194" s="37"/>
      <c r="AL194" s="37"/>
      <c r="AM194" s="85"/>
      <c r="AN194" s="37"/>
      <c r="AO194" s="37"/>
      <c r="AP194" s="85"/>
      <c r="AQ194" s="37"/>
      <c r="AR194" s="37"/>
      <c r="AS194" s="85"/>
      <c r="AT194" s="37"/>
      <c r="AU194" s="37"/>
      <c r="AV194" s="85"/>
      <c r="AW194" s="37"/>
      <c r="AX194" s="37"/>
      <c r="AY194" s="85"/>
      <c r="AZ194" s="37"/>
      <c r="BA194" s="37"/>
      <c r="BB194" s="85"/>
      <c r="BC194" s="37"/>
      <c r="BD194" s="37"/>
      <c r="BE194" s="85"/>
      <c r="BF194" s="37"/>
      <c r="BG194" s="37"/>
      <c r="BH194" s="85"/>
      <c r="BI194" s="37"/>
      <c r="BJ194" s="37"/>
      <c r="BK194" s="85"/>
      <c r="BL194" s="37"/>
      <c r="BM194" s="37"/>
      <c r="BN194" s="85"/>
      <c r="BO194" s="37"/>
      <c r="BP194" s="37"/>
      <c r="BQ194" s="85"/>
      <c r="BR194" s="37"/>
      <c r="BS194" s="37"/>
      <c r="BT194" s="85"/>
      <c r="BU194" s="37"/>
      <c r="BV194" s="37"/>
      <c r="BW194" s="85"/>
      <c r="BX194" s="37"/>
      <c r="BY194" s="37"/>
      <c r="BZ194" s="85"/>
      <c r="CA194" s="37"/>
      <c r="CB194" s="37"/>
      <c r="CC194" s="85"/>
      <c r="CD194" s="37"/>
      <c r="CE194" s="37"/>
      <c r="CF194" s="85"/>
      <c r="CG194" s="37"/>
      <c r="CH194" s="37"/>
      <c r="CI194" s="85"/>
      <c r="CJ194" s="37"/>
      <c r="CK194" s="37"/>
      <c r="CL194" s="85"/>
      <c r="CM194" s="37"/>
      <c r="CN194" s="37"/>
      <c r="CO194" s="85"/>
      <c r="CP194" s="37"/>
      <c r="CQ194" s="37"/>
      <c r="CR194" s="85"/>
      <c r="CS194" s="37"/>
      <c r="CT194" s="37"/>
      <c r="CU194" s="85"/>
      <c r="CV194" s="37"/>
      <c r="CW194" s="37"/>
      <c r="CX194" s="85"/>
      <c r="CY194" s="37"/>
      <c r="CZ194" s="37"/>
      <c r="DA194" s="85"/>
      <c r="DB194" s="37"/>
      <c r="DC194" s="37"/>
      <c r="DD194" s="85"/>
      <c r="DE194" s="37"/>
    </row>
    <row r="195" spans="1:109" outlineLevel="1">
      <c r="A195" s="28" t="s">
        <v>154</v>
      </c>
      <c r="B195" s="37"/>
      <c r="C195" s="85"/>
      <c r="D195" s="37"/>
      <c r="E195" s="37"/>
      <c r="F195" s="85"/>
      <c r="G195" s="37"/>
      <c r="H195" s="37"/>
      <c r="I195" s="85"/>
      <c r="J195" s="37"/>
      <c r="K195" s="37"/>
      <c r="L195" s="85"/>
      <c r="M195" s="37"/>
      <c r="N195" s="37"/>
      <c r="O195" s="85"/>
      <c r="P195" s="37"/>
      <c r="Q195" s="37"/>
      <c r="R195" s="85"/>
      <c r="S195" s="37"/>
      <c r="T195" s="37"/>
      <c r="U195" s="85"/>
      <c r="V195" s="37"/>
      <c r="W195" s="37"/>
      <c r="X195" s="85"/>
      <c r="Y195" s="37"/>
      <c r="Z195" s="37"/>
      <c r="AA195" s="85"/>
      <c r="AB195" s="37"/>
      <c r="AC195" s="37"/>
      <c r="AD195" s="85"/>
      <c r="AE195" s="37"/>
      <c r="AF195" s="37"/>
      <c r="AG195" s="85"/>
      <c r="AH195" s="37"/>
      <c r="AI195" s="37"/>
      <c r="AJ195" s="85"/>
      <c r="AK195" s="37"/>
      <c r="AL195" s="37"/>
      <c r="AM195" s="85"/>
      <c r="AN195" s="37"/>
      <c r="AO195" s="37"/>
      <c r="AP195" s="85"/>
      <c r="AQ195" s="37"/>
      <c r="AR195" s="37"/>
      <c r="AS195" s="85"/>
      <c r="AT195" s="37"/>
      <c r="AU195" s="37"/>
      <c r="AV195" s="85"/>
      <c r="AW195" s="37"/>
      <c r="AX195" s="37"/>
      <c r="AY195" s="85"/>
      <c r="AZ195" s="37"/>
      <c r="BA195" s="37"/>
      <c r="BB195" s="85"/>
      <c r="BC195" s="37"/>
      <c r="BD195" s="37"/>
      <c r="BE195" s="85"/>
      <c r="BF195" s="37"/>
      <c r="BG195" s="37"/>
      <c r="BH195" s="85"/>
      <c r="BI195" s="37"/>
      <c r="BJ195" s="37"/>
      <c r="BK195" s="85"/>
      <c r="BL195" s="37"/>
      <c r="BM195" s="37"/>
      <c r="BN195" s="85"/>
      <c r="BO195" s="37"/>
      <c r="BP195" s="37"/>
      <c r="BQ195" s="85"/>
      <c r="BR195" s="37"/>
      <c r="BS195" s="37"/>
      <c r="BT195" s="85"/>
      <c r="BU195" s="37"/>
      <c r="BV195" s="37"/>
      <c r="BW195" s="85"/>
      <c r="BX195" s="37"/>
      <c r="BY195" s="37"/>
      <c r="BZ195" s="85"/>
      <c r="CA195" s="37"/>
      <c r="CB195" s="37"/>
      <c r="CC195" s="85"/>
      <c r="CD195" s="37"/>
      <c r="CE195" s="37"/>
      <c r="CF195" s="85"/>
      <c r="CG195" s="37"/>
      <c r="CH195" s="37"/>
      <c r="CI195" s="85"/>
      <c r="CJ195" s="37"/>
      <c r="CK195" s="37"/>
      <c r="CL195" s="85"/>
      <c r="CM195" s="37"/>
      <c r="CN195" s="37"/>
      <c r="CO195" s="85"/>
      <c r="CP195" s="37"/>
      <c r="CQ195" s="37"/>
      <c r="CR195" s="85"/>
      <c r="CS195" s="37"/>
      <c r="CT195" s="37"/>
      <c r="CU195" s="85"/>
      <c r="CV195" s="37"/>
      <c r="CW195" s="37"/>
      <c r="CX195" s="85"/>
      <c r="CY195" s="37"/>
      <c r="CZ195" s="37"/>
      <c r="DA195" s="85"/>
      <c r="DB195" s="37"/>
      <c r="DC195" s="37"/>
      <c r="DD195" s="85"/>
      <c r="DE195" s="37"/>
    </row>
    <row r="196" spans="1:109" outlineLevel="1">
      <c r="A196" s="28" t="s">
        <v>155</v>
      </c>
      <c r="B196" s="37"/>
      <c r="C196" s="85"/>
      <c r="D196" s="37"/>
      <c r="E196" s="37"/>
      <c r="F196" s="85"/>
      <c r="G196" s="37"/>
      <c r="H196" s="37"/>
      <c r="I196" s="85"/>
      <c r="J196" s="37"/>
      <c r="K196" s="37"/>
      <c r="L196" s="85"/>
      <c r="M196" s="37"/>
      <c r="N196" s="37"/>
      <c r="O196" s="85"/>
      <c r="P196" s="37"/>
      <c r="Q196" s="37"/>
      <c r="R196" s="85"/>
      <c r="S196" s="37"/>
      <c r="T196" s="37"/>
      <c r="U196" s="85"/>
      <c r="V196" s="37"/>
      <c r="W196" s="37"/>
      <c r="X196" s="85"/>
      <c r="Y196" s="37"/>
      <c r="Z196" s="37"/>
      <c r="AA196" s="85"/>
      <c r="AB196" s="37"/>
      <c r="AC196" s="37"/>
      <c r="AD196" s="85"/>
      <c r="AE196" s="37"/>
      <c r="AF196" s="37"/>
      <c r="AG196" s="85"/>
      <c r="AH196" s="37"/>
      <c r="AI196" s="37"/>
      <c r="AJ196" s="85"/>
      <c r="AK196" s="37"/>
      <c r="AL196" s="37"/>
      <c r="AM196" s="85"/>
      <c r="AN196" s="37"/>
      <c r="AO196" s="37"/>
      <c r="AP196" s="85"/>
      <c r="AQ196" s="37"/>
      <c r="AR196" s="37"/>
      <c r="AS196" s="85"/>
      <c r="AT196" s="37"/>
      <c r="AU196" s="37"/>
      <c r="AV196" s="85"/>
      <c r="AW196" s="37"/>
      <c r="AX196" s="37"/>
      <c r="AY196" s="85"/>
      <c r="AZ196" s="37"/>
      <c r="BA196" s="37"/>
      <c r="BB196" s="85"/>
      <c r="BC196" s="37"/>
      <c r="BD196" s="37"/>
      <c r="BE196" s="85"/>
      <c r="BF196" s="37"/>
      <c r="BG196" s="37"/>
      <c r="BH196" s="85"/>
      <c r="BI196" s="37"/>
      <c r="BJ196" s="37"/>
      <c r="BK196" s="85"/>
      <c r="BL196" s="37"/>
      <c r="BM196" s="37"/>
      <c r="BN196" s="85"/>
      <c r="BO196" s="37"/>
      <c r="BP196" s="37"/>
      <c r="BQ196" s="85"/>
      <c r="BR196" s="37"/>
      <c r="BS196" s="37"/>
      <c r="BT196" s="85"/>
      <c r="BU196" s="37"/>
      <c r="BV196" s="37"/>
      <c r="BW196" s="85"/>
      <c r="BX196" s="37"/>
      <c r="BY196" s="37"/>
      <c r="BZ196" s="85"/>
      <c r="CA196" s="37"/>
      <c r="CB196" s="37"/>
      <c r="CC196" s="85"/>
      <c r="CD196" s="37"/>
      <c r="CE196" s="37"/>
      <c r="CF196" s="85"/>
      <c r="CG196" s="37"/>
      <c r="CH196" s="37"/>
      <c r="CI196" s="85"/>
      <c r="CJ196" s="37"/>
      <c r="CK196" s="37"/>
      <c r="CL196" s="85"/>
      <c r="CM196" s="37"/>
      <c r="CN196" s="37"/>
      <c r="CO196" s="85"/>
      <c r="CP196" s="37"/>
      <c r="CQ196" s="37"/>
      <c r="CR196" s="85"/>
      <c r="CS196" s="37"/>
      <c r="CT196" s="37"/>
      <c r="CU196" s="85"/>
      <c r="CV196" s="37"/>
      <c r="CW196" s="37"/>
      <c r="CX196" s="85"/>
      <c r="CY196" s="37"/>
      <c r="CZ196" s="37"/>
      <c r="DA196" s="85"/>
      <c r="DB196" s="37"/>
      <c r="DC196" s="37"/>
      <c r="DD196" s="85"/>
      <c r="DE196" s="37"/>
    </row>
    <row r="197" spans="1:109" outlineLevel="1">
      <c r="A197" s="28" t="s">
        <v>156</v>
      </c>
      <c r="B197" s="37"/>
      <c r="C197" s="85"/>
      <c r="D197" s="37"/>
      <c r="E197" s="37"/>
      <c r="F197" s="85"/>
      <c r="G197" s="37"/>
      <c r="H197" s="37"/>
      <c r="I197" s="85"/>
      <c r="J197" s="37"/>
      <c r="K197" s="37"/>
      <c r="L197" s="85"/>
      <c r="M197" s="37"/>
      <c r="N197" s="37"/>
      <c r="O197" s="85"/>
      <c r="P197" s="37"/>
      <c r="Q197" s="37"/>
      <c r="R197" s="85"/>
      <c r="S197" s="37"/>
      <c r="T197" s="37"/>
      <c r="U197" s="85"/>
      <c r="V197" s="37"/>
      <c r="W197" s="37"/>
      <c r="X197" s="85"/>
      <c r="Y197" s="37"/>
      <c r="Z197" s="37"/>
      <c r="AA197" s="85"/>
      <c r="AB197" s="37"/>
      <c r="AC197" s="37"/>
      <c r="AD197" s="85"/>
      <c r="AE197" s="37"/>
      <c r="AF197" s="37"/>
      <c r="AG197" s="85"/>
      <c r="AH197" s="37"/>
      <c r="AI197" s="37"/>
      <c r="AJ197" s="85"/>
      <c r="AK197" s="37"/>
      <c r="AL197" s="37"/>
      <c r="AM197" s="85"/>
      <c r="AN197" s="37"/>
      <c r="AO197" s="37"/>
      <c r="AP197" s="85"/>
      <c r="AQ197" s="37"/>
      <c r="AR197" s="37"/>
      <c r="AS197" s="85"/>
      <c r="AT197" s="37"/>
      <c r="AU197" s="37"/>
      <c r="AV197" s="85"/>
      <c r="AW197" s="37"/>
      <c r="AX197" s="37"/>
      <c r="AY197" s="85"/>
      <c r="AZ197" s="37"/>
      <c r="BA197" s="37"/>
      <c r="BB197" s="85"/>
      <c r="BC197" s="37"/>
      <c r="BD197" s="37"/>
      <c r="BE197" s="85"/>
      <c r="BF197" s="37"/>
      <c r="BG197" s="37"/>
      <c r="BH197" s="85"/>
      <c r="BI197" s="37"/>
      <c r="BJ197" s="37"/>
      <c r="BK197" s="85"/>
      <c r="BL197" s="37"/>
      <c r="BM197" s="37"/>
      <c r="BN197" s="85"/>
      <c r="BO197" s="37"/>
      <c r="BP197" s="37"/>
      <c r="BQ197" s="85"/>
      <c r="BR197" s="37"/>
      <c r="BS197" s="37"/>
      <c r="BT197" s="85"/>
      <c r="BU197" s="37"/>
      <c r="BV197" s="37"/>
      <c r="BW197" s="85"/>
      <c r="BX197" s="37"/>
      <c r="BY197" s="37"/>
      <c r="BZ197" s="85"/>
      <c r="CA197" s="37"/>
      <c r="CB197" s="37"/>
      <c r="CC197" s="85"/>
      <c r="CD197" s="37"/>
      <c r="CE197" s="37"/>
      <c r="CF197" s="85"/>
      <c r="CG197" s="37"/>
      <c r="CH197" s="37"/>
      <c r="CI197" s="85"/>
      <c r="CJ197" s="37"/>
      <c r="CK197" s="37"/>
      <c r="CL197" s="85"/>
      <c r="CM197" s="37"/>
      <c r="CN197" s="37"/>
      <c r="CO197" s="85"/>
      <c r="CP197" s="37"/>
      <c r="CQ197" s="37"/>
      <c r="CR197" s="85"/>
      <c r="CS197" s="37"/>
      <c r="CT197" s="37"/>
      <c r="CU197" s="85"/>
      <c r="CV197" s="37"/>
      <c r="CW197" s="37"/>
      <c r="CX197" s="85"/>
      <c r="CY197" s="37"/>
      <c r="CZ197" s="37"/>
      <c r="DA197" s="85"/>
      <c r="DB197" s="37"/>
      <c r="DC197" s="37"/>
      <c r="DD197" s="85"/>
      <c r="DE197" s="37"/>
    </row>
    <row r="198" spans="1:109" outlineLevel="1">
      <c r="A198" s="35" t="s">
        <v>161</v>
      </c>
      <c r="B198" s="37"/>
      <c r="C198" s="85"/>
      <c r="D198" s="37"/>
      <c r="E198" s="37"/>
      <c r="F198" s="85"/>
      <c r="G198" s="37"/>
      <c r="H198" s="37"/>
      <c r="I198" s="85"/>
      <c r="J198" s="37"/>
      <c r="K198" s="37"/>
      <c r="L198" s="85"/>
      <c r="M198" s="37"/>
      <c r="N198" s="37"/>
      <c r="O198" s="85"/>
      <c r="P198" s="37"/>
      <c r="Q198" s="37"/>
      <c r="R198" s="85"/>
      <c r="S198" s="37"/>
      <c r="T198" s="37"/>
      <c r="U198" s="85"/>
      <c r="V198" s="37"/>
      <c r="W198" s="37"/>
      <c r="X198" s="85"/>
      <c r="Y198" s="37"/>
      <c r="Z198" s="37"/>
      <c r="AA198" s="85"/>
      <c r="AB198" s="37"/>
      <c r="AC198" s="37"/>
      <c r="AD198" s="85"/>
      <c r="AE198" s="37"/>
      <c r="AF198" s="37"/>
      <c r="AG198" s="85"/>
      <c r="AH198" s="37"/>
      <c r="AI198" s="37"/>
      <c r="AJ198" s="85"/>
      <c r="AK198" s="37"/>
      <c r="AL198" s="37"/>
      <c r="AM198" s="85"/>
      <c r="AN198" s="37"/>
      <c r="AO198" s="37"/>
      <c r="AP198" s="85"/>
      <c r="AQ198" s="37"/>
      <c r="AR198" s="37"/>
      <c r="AS198" s="85"/>
      <c r="AT198" s="37"/>
      <c r="AU198" s="37"/>
      <c r="AV198" s="85"/>
      <c r="AW198" s="37"/>
      <c r="AX198" s="37"/>
      <c r="AY198" s="85"/>
      <c r="AZ198" s="37"/>
      <c r="BA198" s="37"/>
      <c r="BB198" s="85"/>
      <c r="BC198" s="37"/>
      <c r="BD198" s="37"/>
      <c r="BE198" s="85"/>
      <c r="BF198" s="37"/>
      <c r="BG198" s="37"/>
      <c r="BH198" s="85"/>
      <c r="BI198" s="37"/>
      <c r="BJ198" s="37"/>
      <c r="BK198" s="85"/>
      <c r="BL198" s="37"/>
      <c r="BM198" s="37"/>
      <c r="BN198" s="85"/>
      <c r="BO198" s="37"/>
      <c r="BP198" s="37"/>
      <c r="BQ198" s="85"/>
      <c r="BR198" s="37"/>
      <c r="BS198" s="37"/>
      <c r="BT198" s="85"/>
      <c r="BU198" s="37"/>
      <c r="BV198" s="37"/>
      <c r="BW198" s="85"/>
      <c r="BX198" s="37"/>
      <c r="BY198" s="37"/>
      <c r="BZ198" s="85"/>
      <c r="CA198" s="37"/>
      <c r="CB198" s="37"/>
      <c r="CC198" s="85"/>
      <c r="CD198" s="37"/>
      <c r="CE198" s="37"/>
      <c r="CF198" s="85"/>
      <c r="CG198" s="37"/>
      <c r="CH198" s="37"/>
      <c r="CI198" s="85"/>
      <c r="CJ198" s="37"/>
      <c r="CK198" s="37"/>
      <c r="CL198" s="85"/>
      <c r="CM198" s="37"/>
      <c r="CN198" s="37"/>
      <c r="CO198" s="85"/>
      <c r="CP198" s="37"/>
      <c r="CQ198" s="37"/>
      <c r="CR198" s="85"/>
      <c r="CS198" s="37"/>
      <c r="CT198" s="37"/>
      <c r="CU198" s="85"/>
      <c r="CV198" s="37"/>
      <c r="CW198" s="37"/>
      <c r="CX198" s="85"/>
      <c r="CY198" s="37"/>
      <c r="CZ198" s="37"/>
      <c r="DA198" s="85"/>
      <c r="DB198" s="37"/>
      <c r="DC198" s="37"/>
      <c r="DD198" s="85"/>
      <c r="DE198" s="37"/>
    </row>
    <row r="199" spans="1:109" outlineLevel="1">
      <c r="A199" s="28" t="s">
        <v>154</v>
      </c>
      <c r="B199" s="37"/>
      <c r="C199" s="85"/>
      <c r="D199" s="37"/>
      <c r="E199" s="37"/>
      <c r="F199" s="85"/>
      <c r="G199" s="37"/>
      <c r="H199" s="37"/>
      <c r="I199" s="85"/>
      <c r="J199" s="37"/>
      <c r="K199" s="37"/>
      <c r="L199" s="85"/>
      <c r="M199" s="37"/>
      <c r="N199" s="37"/>
      <c r="O199" s="85"/>
      <c r="P199" s="37"/>
      <c r="Q199" s="37"/>
      <c r="R199" s="85"/>
      <c r="S199" s="37"/>
      <c r="T199" s="37"/>
      <c r="U199" s="85"/>
      <c r="V199" s="37"/>
      <c r="W199" s="37"/>
      <c r="X199" s="85"/>
      <c r="Y199" s="37"/>
      <c r="Z199" s="37"/>
      <c r="AA199" s="85"/>
      <c r="AB199" s="37"/>
      <c r="AC199" s="37"/>
      <c r="AD199" s="85"/>
      <c r="AE199" s="37"/>
      <c r="AF199" s="37"/>
      <c r="AG199" s="85"/>
      <c r="AH199" s="37"/>
      <c r="AI199" s="37"/>
      <c r="AJ199" s="85"/>
      <c r="AK199" s="37"/>
      <c r="AL199" s="37"/>
      <c r="AM199" s="85"/>
      <c r="AN199" s="37"/>
      <c r="AO199" s="37"/>
      <c r="AP199" s="85"/>
      <c r="AQ199" s="37"/>
      <c r="AR199" s="37"/>
      <c r="AS199" s="85"/>
      <c r="AT199" s="37"/>
      <c r="AU199" s="37"/>
      <c r="AV199" s="85"/>
      <c r="AW199" s="37"/>
      <c r="AX199" s="37"/>
      <c r="AY199" s="85"/>
      <c r="AZ199" s="37"/>
      <c r="BA199" s="37"/>
      <c r="BB199" s="85"/>
      <c r="BC199" s="37"/>
      <c r="BD199" s="37"/>
      <c r="BE199" s="85"/>
      <c r="BF199" s="37"/>
      <c r="BG199" s="37"/>
      <c r="BH199" s="85"/>
      <c r="BI199" s="37"/>
      <c r="BJ199" s="37"/>
      <c r="BK199" s="85"/>
      <c r="BL199" s="37"/>
      <c r="BM199" s="37"/>
      <c r="BN199" s="85"/>
      <c r="BO199" s="37"/>
      <c r="BP199" s="37"/>
      <c r="BQ199" s="85"/>
      <c r="BR199" s="37"/>
      <c r="BS199" s="37"/>
      <c r="BT199" s="85"/>
      <c r="BU199" s="37"/>
      <c r="BV199" s="37"/>
      <c r="BW199" s="85"/>
      <c r="BX199" s="37"/>
      <c r="BY199" s="37"/>
      <c r="BZ199" s="85"/>
      <c r="CA199" s="37"/>
      <c r="CB199" s="37"/>
      <c r="CC199" s="85"/>
      <c r="CD199" s="37"/>
      <c r="CE199" s="37"/>
      <c r="CF199" s="85"/>
      <c r="CG199" s="37"/>
      <c r="CH199" s="37"/>
      <c r="CI199" s="85"/>
      <c r="CJ199" s="37"/>
      <c r="CK199" s="37"/>
      <c r="CL199" s="85"/>
      <c r="CM199" s="37"/>
      <c r="CN199" s="37"/>
      <c r="CO199" s="85"/>
      <c r="CP199" s="37"/>
      <c r="CQ199" s="37"/>
      <c r="CR199" s="85"/>
      <c r="CS199" s="37"/>
      <c r="CT199" s="37"/>
      <c r="CU199" s="85"/>
      <c r="CV199" s="37"/>
      <c r="CW199" s="37"/>
      <c r="CX199" s="85"/>
      <c r="CY199" s="37"/>
      <c r="CZ199" s="37"/>
      <c r="DA199" s="85"/>
      <c r="DB199" s="37"/>
      <c r="DC199" s="37"/>
      <c r="DD199" s="85"/>
      <c r="DE199" s="37"/>
    </row>
    <row r="200" spans="1:109" outlineLevel="1">
      <c r="A200" s="28" t="s">
        <v>155</v>
      </c>
      <c r="B200" s="37"/>
      <c r="C200" s="85"/>
      <c r="D200" s="37"/>
      <c r="E200" s="37"/>
      <c r="F200" s="85"/>
      <c r="G200" s="37"/>
      <c r="H200" s="37"/>
      <c r="I200" s="85"/>
      <c r="J200" s="37"/>
      <c r="K200" s="37"/>
      <c r="L200" s="85"/>
      <c r="M200" s="37"/>
      <c r="N200" s="37"/>
      <c r="O200" s="85"/>
      <c r="P200" s="37"/>
      <c r="Q200" s="37"/>
      <c r="R200" s="85"/>
      <c r="S200" s="37"/>
      <c r="T200" s="37"/>
      <c r="U200" s="85"/>
      <c r="V200" s="37"/>
      <c r="W200" s="37"/>
      <c r="X200" s="85"/>
      <c r="Y200" s="37"/>
      <c r="Z200" s="37"/>
      <c r="AA200" s="85"/>
      <c r="AB200" s="37"/>
      <c r="AC200" s="37"/>
      <c r="AD200" s="85"/>
      <c r="AE200" s="37"/>
      <c r="AF200" s="37"/>
      <c r="AG200" s="85"/>
      <c r="AH200" s="37"/>
      <c r="AI200" s="37"/>
      <c r="AJ200" s="85"/>
      <c r="AK200" s="37"/>
      <c r="AL200" s="37"/>
      <c r="AM200" s="85"/>
      <c r="AN200" s="37"/>
      <c r="AO200" s="37"/>
      <c r="AP200" s="85"/>
      <c r="AQ200" s="37"/>
      <c r="AR200" s="37"/>
      <c r="AS200" s="85"/>
      <c r="AT200" s="37"/>
      <c r="AU200" s="37"/>
      <c r="AV200" s="85"/>
      <c r="AW200" s="37"/>
      <c r="AX200" s="37"/>
      <c r="AY200" s="85"/>
      <c r="AZ200" s="37"/>
      <c r="BA200" s="37"/>
      <c r="BB200" s="85"/>
      <c r="BC200" s="37"/>
      <c r="BD200" s="37"/>
      <c r="BE200" s="85"/>
      <c r="BF200" s="37"/>
      <c r="BG200" s="37"/>
      <c r="BH200" s="85"/>
      <c r="BI200" s="37"/>
      <c r="BJ200" s="37"/>
      <c r="BK200" s="85"/>
      <c r="BL200" s="37"/>
      <c r="BM200" s="37"/>
      <c r="BN200" s="85"/>
      <c r="BO200" s="37"/>
      <c r="BP200" s="37"/>
      <c r="BQ200" s="85"/>
      <c r="BR200" s="37"/>
      <c r="BS200" s="37"/>
      <c r="BT200" s="85"/>
      <c r="BU200" s="37"/>
      <c r="BV200" s="37"/>
      <c r="BW200" s="85"/>
      <c r="BX200" s="37"/>
      <c r="BY200" s="37"/>
      <c r="BZ200" s="85"/>
      <c r="CA200" s="37"/>
      <c r="CB200" s="37"/>
      <c r="CC200" s="85"/>
      <c r="CD200" s="37"/>
      <c r="CE200" s="37"/>
      <c r="CF200" s="85"/>
      <c r="CG200" s="37"/>
      <c r="CH200" s="37"/>
      <c r="CI200" s="85"/>
      <c r="CJ200" s="37"/>
      <c r="CK200" s="37"/>
      <c r="CL200" s="85"/>
      <c r="CM200" s="37"/>
      <c r="CN200" s="37"/>
      <c r="CO200" s="85"/>
      <c r="CP200" s="37"/>
      <c r="CQ200" s="37"/>
      <c r="CR200" s="85"/>
      <c r="CS200" s="37"/>
      <c r="CT200" s="37"/>
      <c r="CU200" s="85"/>
      <c r="CV200" s="37"/>
      <c r="CW200" s="37"/>
      <c r="CX200" s="85"/>
      <c r="CY200" s="37"/>
      <c r="CZ200" s="37"/>
      <c r="DA200" s="85"/>
      <c r="DB200" s="37"/>
      <c r="DC200" s="37"/>
      <c r="DD200" s="85"/>
      <c r="DE200" s="37"/>
    </row>
    <row r="201" spans="1:109" outlineLevel="1">
      <c r="A201" s="28" t="s">
        <v>156</v>
      </c>
      <c r="B201" s="37"/>
      <c r="C201" s="85"/>
      <c r="D201" s="37"/>
      <c r="E201" s="37"/>
      <c r="F201" s="85"/>
      <c r="G201" s="37"/>
      <c r="H201" s="37"/>
      <c r="I201" s="85"/>
      <c r="J201" s="37"/>
      <c r="K201" s="37"/>
      <c r="L201" s="85"/>
      <c r="M201" s="37"/>
      <c r="N201" s="37"/>
      <c r="O201" s="85"/>
      <c r="P201" s="37"/>
      <c r="Q201" s="37"/>
      <c r="R201" s="85"/>
      <c r="S201" s="37"/>
      <c r="T201" s="37"/>
      <c r="U201" s="85"/>
      <c r="V201" s="37"/>
      <c r="W201" s="37"/>
      <c r="X201" s="85"/>
      <c r="Y201" s="37"/>
      <c r="Z201" s="37"/>
      <c r="AA201" s="85"/>
      <c r="AB201" s="37"/>
      <c r="AC201" s="37"/>
      <c r="AD201" s="85"/>
      <c r="AE201" s="37"/>
      <c r="AF201" s="37"/>
      <c r="AG201" s="85"/>
      <c r="AH201" s="37"/>
      <c r="AI201" s="37"/>
      <c r="AJ201" s="85"/>
      <c r="AK201" s="37"/>
      <c r="AL201" s="37"/>
      <c r="AM201" s="85"/>
      <c r="AN201" s="37"/>
      <c r="AO201" s="37"/>
      <c r="AP201" s="85"/>
      <c r="AQ201" s="37"/>
      <c r="AR201" s="37"/>
      <c r="AS201" s="85"/>
      <c r="AT201" s="37"/>
      <c r="AU201" s="37"/>
      <c r="AV201" s="85"/>
      <c r="AW201" s="37"/>
      <c r="AX201" s="37"/>
      <c r="AY201" s="85"/>
      <c r="AZ201" s="37"/>
      <c r="BA201" s="37"/>
      <c r="BB201" s="85"/>
      <c r="BC201" s="37"/>
      <c r="BD201" s="37"/>
      <c r="BE201" s="85"/>
      <c r="BF201" s="37"/>
      <c r="BG201" s="37"/>
      <c r="BH201" s="85"/>
      <c r="BI201" s="37"/>
      <c r="BJ201" s="37"/>
      <c r="BK201" s="85"/>
      <c r="BL201" s="37"/>
      <c r="BM201" s="37"/>
      <c r="BN201" s="85"/>
      <c r="BO201" s="37"/>
      <c r="BP201" s="37"/>
      <c r="BQ201" s="85"/>
      <c r="BR201" s="37"/>
      <c r="BS201" s="37"/>
      <c r="BT201" s="85"/>
      <c r="BU201" s="37"/>
      <c r="BV201" s="37"/>
      <c r="BW201" s="85"/>
      <c r="BX201" s="37"/>
      <c r="BY201" s="37"/>
      <c r="BZ201" s="85"/>
      <c r="CA201" s="37"/>
      <c r="CB201" s="37"/>
      <c r="CC201" s="85"/>
      <c r="CD201" s="37"/>
      <c r="CE201" s="37"/>
      <c r="CF201" s="85"/>
      <c r="CG201" s="37"/>
      <c r="CH201" s="37"/>
      <c r="CI201" s="85"/>
      <c r="CJ201" s="37"/>
      <c r="CK201" s="37"/>
      <c r="CL201" s="85"/>
      <c r="CM201" s="37"/>
      <c r="CN201" s="37"/>
      <c r="CO201" s="85"/>
      <c r="CP201" s="37"/>
      <c r="CQ201" s="37"/>
      <c r="CR201" s="85"/>
      <c r="CS201" s="37"/>
      <c r="CT201" s="37"/>
      <c r="CU201" s="85"/>
      <c r="CV201" s="37"/>
      <c r="CW201" s="37"/>
      <c r="CX201" s="85"/>
      <c r="CY201" s="37"/>
      <c r="CZ201" s="37"/>
      <c r="DA201" s="85"/>
      <c r="DB201" s="37"/>
      <c r="DC201" s="37"/>
      <c r="DD201" s="85"/>
      <c r="DE201" s="37"/>
    </row>
    <row r="202" spans="1:109" outlineLevel="1">
      <c r="A202" s="28"/>
      <c r="B202" s="37"/>
      <c r="C202" s="85"/>
      <c r="D202" s="37"/>
      <c r="E202" s="37"/>
      <c r="F202" s="85"/>
      <c r="G202" s="37"/>
      <c r="H202" s="37"/>
      <c r="I202" s="85"/>
      <c r="J202" s="37"/>
      <c r="K202" s="37"/>
      <c r="L202" s="85"/>
      <c r="M202" s="37"/>
      <c r="N202" s="37"/>
      <c r="O202" s="85"/>
      <c r="P202" s="37"/>
      <c r="Q202" s="37"/>
      <c r="R202" s="85"/>
      <c r="S202" s="37"/>
      <c r="T202" s="37"/>
      <c r="U202" s="85"/>
      <c r="V202" s="37"/>
      <c r="W202" s="37"/>
      <c r="X202" s="85"/>
      <c r="Y202" s="37"/>
      <c r="Z202" s="37"/>
      <c r="AA202" s="85"/>
      <c r="AB202" s="37"/>
      <c r="AC202" s="37"/>
      <c r="AD202" s="85"/>
      <c r="AE202" s="37"/>
      <c r="AF202" s="37"/>
      <c r="AG202" s="85"/>
      <c r="AH202" s="37"/>
      <c r="AI202" s="37"/>
      <c r="AJ202" s="85"/>
      <c r="AK202" s="37"/>
      <c r="AL202" s="37"/>
      <c r="AM202" s="85"/>
      <c r="AN202" s="37"/>
      <c r="AO202" s="37"/>
      <c r="AP202" s="85"/>
      <c r="AQ202" s="37"/>
      <c r="AR202" s="37"/>
      <c r="AS202" s="85"/>
      <c r="AT202" s="37"/>
      <c r="AU202" s="37"/>
      <c r="AV202" s="85"/>
      <c r="AW202" s="37"/>
      <c r="AX202" s="37"/>
      <c r="AY202" s="85"/>
      <c r="AZ202" s="37"/>
      <c r="BA202" s="37"/>
      <c r="BB202" s="85"/>
      <c r="BC202" s="37"/>
      <c r="BD202" s="37"/>
      <c r="BE202" s="85"/>
      <c r="BF202" s="37"/>
      <c r="BG202" s="37"/>
      <c r="BH202" s="85"/>
      <c r="BI202" s="37"/>
      <c r="BJ202" s="37"/>
      <c r="BK202" s="85"/>
      <c r="BL202" s="37"/>
      <c r="BM202" s="37"/>
      <c r="BN202" s="85"/>
      <c r="BO202" s="37"/>
      <c r="BP202" s="37"/>
      <c r="BQ202" s="85"/>
      <c r="BR202" s="37"/>
      <c r="BS202" s="37"/>
      <c r="BT202" s="85"/>
      <c r="BU202" s="37"/>
      <c r="BV202" s="37"/>
      <c r="BW202" s="85"/>
      <c r="BX202" s="37"/>
      <c r="BY202" s="37"/>
      <c r="BZ202" s="85"/>
      <c r="CA202" s="37"/>
      <c r="CB202" s="37"/>
      <c r="CC202" s="85"/>
      <c r="CD202" s="37"/>
      <c r="CE202" s="37"/>
      <c r="CF202" s="85"/>
      <c r="CG202" s="37"/>
      <c r="CH202" s="37"/>
      <c r="CI202" s="85"/>
      <c r="CJ202" s="37"/>
      <c r="CK202" s="37"/>
      <c r="CL202" s="85"/>
      <c r="CM202" s="37"/>
      <c r="CN202" s="37"/>
      <c r="CO202" s="85"/>
      <c r="CP202" s="37"/>
      <c r="CQ202" s="37"/>
      <c r="CR202" s="85"/>
      <c r="CS202" s="37"/>
      <c r="CT202" s="37"/>
      <c r="CU202" s="85"/>
      <c r="CV202" s="37"/>
      <c r="CW202" s="37"/>
      <c r="CX202" s="85"/>
      <c r="CY202" s="37"/>
      <c r="CZ202" s="37"/>
      <c r="DA202" s="85"/>
      <c r="DB202" s="37"/>
      <c r="DC202" s="37"/>
      <c r="DD202" s="85"/>
      <c r="DE202" s="37"/>
    </row>
    <row r="203" spans="1:109" outlineLevel="1">
      <c r="A203" s="30" t="s">
        <v>141</v>
      </c>
      <c r="B203" s="37"/>
      <c r="C203" s="85"/>
      <c r="D203" s="37"/>
      <c r="E203" s="37"/>
      <c r="F203" s="85"/>
      <c r="G203" s="37"/>
      <c r="H203" s="37"/>
      <c r="I203" s="85"/>
      <c r="J203" s="37"/>
      <c r="K203" s="37"/>
      <c r="L203" s="85"/>
      <c r="M203" s="37"/>
      <c r="N203" s="37"/>
      <c r="O203" s="85"/>
      <c r="P203" s="37"/>
      <c r="Q203" s="37"/>
      <c r="R203" s="85"/>
      <c r="S203" s="37"/>
      <c r="T203" s="37"/>
      <c r="U203" s="85"/>
      <c r="V203" s="37"/>
      <c r="W203" s="37"/>
      <c r="X203" s="85"/>
      <c r="Y203" s="37"/>
      <c r="Z203" s="37"/>
      <c r="AA203" s="85"/>
      <c r="AB203" s="37"/>
      <c r="AC203" s="37"/>
      <c r="AD203" s="85"/>
      <c r="AE203" s="37"/>
      <c r="AF203" s="37"/>
      <c r="AG203" s="85"/>
      <c r="AH203" s="37"/>
      <c r="AI203" s="37"/>
      <c r="AJ203" s="85"/>
      <c r="AK203" s="37"/>
      <c r="AL203" s="37"/>
      <c r="AM203" s="85"/>
      <c r="AN203" s="37"/>
      <c r="AO203" s="37"/>
      <c r="AP203" s="85"/>
      <c r="AQ203" s="37"/>
      <c r="AR203" s="37"/>
      <c r="AS203" s="85"/>
      <c r="AT203" s="37"/>
      <c r="AU203" s="37"/>
      <c r="AV203" s="85"/>
      <c r="AW203" s="37"/>
      <c r="AX203" s="37"/>
      <c r="AY203" s="85"/>
      <c r="AZ203" s="37"/>
      <c r="BA203" s="37"/>
      <c r="BB203" s="85"/>
      <c r="BC203" s="37"/>
      <c r="BD203" s="37"/>
      <c r="BE203" s="85"/>
      <c r="BF203" s="37"/>
      <c r="BG203" s="37"/>
      <c r="BH203" s="85"/>
      <c r="BI203" s="37"/>
      <c r="BJ203" s="37"/>
      <c r="BK203" s="85"/>
      <c r="BL203" s="37"/>
      <c r="BM203" s="37"/>
      <c r="BN203" s="85"/>
      <c r="BO203" s="37"/>
      <c r="BP203" s="37"/>
      <c r="BQ203" s="85"/>
      <c r="BR203" s="37"/>
      <c r="BS203" s="37"/>
      <c r="BT203" s="85"/>
      <c r="BU203" s="37"/>
      <c r="BV203" s="37"/>
      <c r="BW203" s="85"/>
      <c r="BX203" s="37"/>
      <c r="BY203" s="37"/>
      <c r="BZ203" s="85"/>
      <c r="CA203" s="37"/>
      <c r="CB203" s="37"/>
      <c r="CC203" s="85"/>
      <c r="CD203" s="37"/>
      <c r="CE203" s="37"/>
      <c r="CF203" s="85"/>
      <c r="CG203" s="37"/>
      <c r="CH203" s="37"/>
      <c r="CI203" s="85"/>
      <c r="CJ203" s="37"/>
      <c r="CK203" s="37"/>
      <c r="CL203" s="85"/>
      <c r="CM203" s="37"/>
      <c r="CN203" s="37"/>
      <c r="CO203" s="85"/>
      <c r="CP203" s="37"/>
      <c r="CQ203" s="37"/>
      <c r="CR203" s="85"/>
      <c r="CS203" s="37"/>
      <c r="CT203" s="37"/>
      <c r="CU203" s="85"/>
      <c r="CV203" s="37"/>
      <c r="CW203" s="37"/>
      <c r="CX203" s="85"/>
      <c r="CY203" s="37"/>
      <c r="CZ203" s="37"/>
      <c r="DA203" s="85"/>
      <c r="DB203" s="37"/>
      <c r="DC203" s="37"/>
      <c r="DD203" s="85"/>
      <c r="DE203" s="37"/>
    </row>
    <row r="204" spans="1:109" outlineLevel="1">
      <c r="A204" s="28"/>
      <c r="B204" s="37"/>
      <c r="C204" s="85"/>
      <c r="D204" s="37"/>
      <c r="E204" s="37"/>
      <c r="F204" s="85"/>
      <c r="G204" s="37"/>
      <c r="H204" s="37"/>
      <c r="I204" s="85"/>
      <c r="J204" s="37"/>
      <c r="K204" s="37"/>
      <c r="L204" s="85"/>
      <c r="M204" s="37"/>
      <c r="N204" s="37"/>
      <c r="O204" s="85"/>
      <c r="P204" s="37"/>
      <c r="Q204" s="37"/>
      <c r="R204" s="85"/>
      <c r="S204" s="37"/>
      <c r="T204" s="37"/>
      <c r="U204" s="85"/>
      <c r="V204" s="37"/>
      <c r="W204" s="37"/>
      <c r="X204" s="85"/>
      <c r="Y204" s="37"/>
      <c r="Z204" s="37"/>
      <c r="AA204" s="85"/>
      <c r="AB204" s="37"/>
      <c r="AC204" s="37"/>
      <c r="AD204" s="85"/>
      <c r="AE204" s="37"/>
      <c r="AF204" s="37"/>
      <c r="AG204" s="85"/>
      <c r="AH204" s="37"/>
      <c r="AI204" s="37"/>
      <c r="AJ204" s="85"/>
      <c r="AK204" s="37"/>
      <c r="AL204" s="37"/>
      <c r="AM204" s="85"/>
      <c r="AN204" s="37"/>
      <c r="AO204" s="37"/>
      <c r="AP204" s="85"/>
      <c r="AQ204" s="37"/>
      <c r="AR204" s="37"/>
      <c r="AS204" s="85"/>
      <c r="AT204" s="37"/>
      <c r="AU204" s="37"/>
      <c r="AV204" s="85"/>
      <c r="AW204" s="37"/>
      <c r="AX204" s="37"/>
      <c r="AY204" s="85"/>
      <c r="AZ204" s="37"/>
      <c r="BA204" s="37"/>
      <c r="BB204" s="85"/>
      <c r="BC204" s="37"/>
      <c r="BD204" s="37"/>
      <c r="BE204" s="85"/>
      <c r="BF204" s="37"/>
      <c r="BG204" s="37"/>
      <c r="BH204" s="85"/>
      <c r="BI204" s="37"/>
      <c r="BJ204" s="37"/>
      <c r="BK204" s="85"/>
      <c r="BL204" s="37"/>
      <c r="BM204" s="37"/>
      <c r="BN204" s="85"/>
      <c r="BO204" s="37"/>
      <c r="BP204" s="37"/>
      <c r="BQ204" s="85"/>
      <c r="BR204" s="37"/>
      <c r="BS204" s="37"/>
      <c r="BT204" s="85"/>
      <c r="BU204" s="37"/>
      <c r="BV204" s="37"/>
      <c r="BW204" s="85"/>
      <c r="BX204" s="37"/>
      <c r="BY204" s="37"/>
      <c r="BZ204" s="85"/>
      <c r="CA204" s="37"/>
      <c r="CB204" s="37"/>
      <c r="CC204" s="85"/>
      <c r="CD204" s="37"/>
      <c r="CE204" s="37"/>
      <c r="CF204" s="85"/>
      <c r="CG204" s="37"/>
      <c r="CH204" s="37"/>
      <c r="CI204" s="85"/>
      <c r="CJ204" s="37"/>
      <c r="CK204" s="37"/>
      <c r="CL204" s="85"/>
      <c r="CM204" s="37"/>
      <c r="CN204" s="37"/>
      <c r="CO204" s="85"/>
      <c r="CP204" s="37"/>
      <c r="CQ204" s="37"/>
      <c r="CR204" s="85"/>
      <c r="CS204" s="37"/>
      <c r="CT204" s="37"/>
      <c r="CU204" s="85"/>
      <c r="CV204" s="37"/>
      <c r="CW204" s="37"/>
      <c r="CX204" s="85"/>
      <c r="CY204" s="37"/>
      <c r="CZ204" s="37"/>
      <c r="DA204" s="85"/>
      <c r="DB204" s="37"/>
      <c r="DC204" s="37"/>
      <c r="DD204" s="85"/>
      <c r="DE204" s="37"/>
    </row>
    <row r="205" spans="1:109" outlineLevel="1">
      <c r="A205" s="27" t="s">
        <v>139</v>
      </c>
      <c r="B205" s="37">
        <v>61772099</v>
      </c>
      <c r="C205" s="85"/>
      <c r="D205" s="37"/>
      <c r="E205" s="37">
        <v>126793870</v>
      </c>
      <c r="F205" s="85"/>
      <c r="G205" s="37"/>
      <c r="H205" s="37">
        <v>137718348</v>
      </c>
      <c r="I205" s="85"/>
      <c r="J205" s="37"/>
      <c r="K205" s="37">
        <v>147536115</v>
      </c>
      <c r="L205" s="85"/>
      <c r="M205" s="37"/>
      <c r="N205" s="37">
        <v>156453716</v>
      </c>
      <c r="O205" s="85"/>
      <c r="P205" s="37"/>
      <c r="Q205" s="37">
        <v>171280143</v>
      </c>
      <c r="R205" s="85"/>
      <c r="S205" s="37"/>
      <c r="T205" s="37">
        <v>181858635</v>
      </c>
      <c r="U205" s="85"/>
      <c r="V205" s="37"/>
      <c r="W205" s="37">
        <v>193010667</v>
      </c>
      <c r="X205" s="85"/>
      <c r="Y205" s="37"/>
      <c r="Z205" s="37">
        <v>207850309</v>
      </c>
      <c r="AA205" s="85"/>
      <c r="AB205" s="37"/>
      <c r="AC205" s="37">
        <v>222755347</v>
      </c>
      <c r="AD205" s="85"/>
      <c r="AE205" s="37"/>
      <c r="AF205" s="37">
        <v>252207212</v>
      </c>
      <c r="AG205" s="85"/>
      <c r="AH205" s="37"/>
      <c r="AI205" s="37">
        <v>276782482</v>
      </c>
      <c r="AJ205" s="85"/>
      <c r="AK205" s="37"/>
      <c r="AL205" s="37">
        <v>317502585</v>
      </c>
      <c r="AM205" s="85"/>
      <c r="AN205" s="37"/>
      <c r="AO205" s="37">
        <v>343899563</v>
      </c>
      <c r="AP205" s="85"/>
      <c r="AQ205" s="37"/>
      <c r="AR205" s="37">
        <v>372604504</v>
      </c>
      <c r="AS205" s="85"/>
      <c r="AT205" s="37"/>
      <c r="AU205" s="37">
        <v>401590000</v>
      </c>
      <c r="AV205" s="85"/>
      <c r="AW205" s="37"/>
      <c r="AX205" s="37">
        <v>419628000</v>
      </c>
      <c r="AY205" s="85"/>
      <c r="AZ205" s="37"/>
      <c r="BA205" s="37">
        <v>448067000</v>
      </c>
      <c r="BB205" s="85"/>
      <c r="BC205" s="37"/>
      <c r="BD205" s="37">
        <v>461001000</v>
      </c>
      <c r="BE205" s="85"/>
      <c r="BF205" s="37"/>
      <c r="BG205" s="37">
        <v>470820000</v>
      </c>
      <c r="BH205" s="85"/>
      <c r="BI205" s="37"/>
      <c r="BJ205" s="37">
        <v>501898000</v>
      </c>
      <c r="BK205" s="85"/>
      <c r="BL205" s="37"/>
      <c r="BM205" s="37">
        <v>553544000</v>
      </c>
      <c r="BN205" s="85"/>
      <c r="BO205" s="37"/>
      <c r="BP205" s="37">
        <v>603951000</v>
      </c>
      <c r="BQ205" s="85"/>
      <c r="BR205" s="37"/>
      <c r="BS205" s="37">
        <v>660982000</v>
      </c>
      <c r="BT205" s="85"/>
      <c r="BU205" s="37"/>
      <c r="BV205" s="37">
        <v>716721000</v>
      </c>
      <c r="BW205" s="85"/>
      <c r="BX205" s="37"/>
      <c r="BY205" s="37">
        <v>770782000</v>
      </c>
      <c r="BZ205" s="85"/>
      <c r="CA205" s="37"/>
      <c r="CB205" s="37">
        <v>838300000</v>
      </c>
      <c r="CC205" s="85"/>
      <c r="CD205" s="37"/>
      <c r="CE205" s="37">
        <v>883963000</v>
      </c>
      <c r="CF205" s="85"/>
      <c r="CG205" s="37"/>
      <c r="CH205" s="37">
        <v>924444000</v>
      </c>
      <c r="CI205" s="85"/>
      <c r="CJ205" s="37"/>
      <c r="CK205" s="37">
        <v>1047688000</v>
      </c>
      <c r="CL205" s="85"/>
      <c r="CM205" s="37"/>
      <c r="CN205" s="37">
        <v>1120514000</v>
      </c>
      <c r="CO205" s="85"/>
      <c r="CP205" s="37"/>
      <c r="CQ205" s="37">
        <v>1165724000</v>
      </c>
      <c r="CR205" s="85"/>
      <c r="CS205" s="37"/>
      <c r="CT205" s="37">
        <v>1122326000</v>
      </c>
      <c r="CU205" s="85"/>
      <c r="CV205" s="37"/>
      <c r="CW205" s="37">
        <v>1182696000</v>
      </c>
      <c r="CX205" s="85"/>
      <c r="CY205" s="37"/>
      <c r="CZ205" s="37">
        <v>1255703000</v>
      </c>
      <c r="DA205" s="85"/>
      <c r="DB205" s="37"/>
      <c r="DC205" s="37">
        <v>1255703001</v>
      </c>
      <c r="DD205" s="85"/>
      <c r="DE205" s="37"/>
    </row>
    <row r="206" spans="1:109" outlineLevel="1">
      <c r="A206" s="27" t="s">
        <v>238</v>
      </c>
      <c r="B206" s="37">
        <v>6723273</v>
      </c>
      <c r="C206" s="85"/>
      <c r="D206" s="37"/>
      <c r="E206" s="37">
        <v>18478408</v>
      </c>
      <c r="F206" s="85"/>
      <c r="G206" s="37"/>
      <c r="H206" s="37">
        <v>15879834</v>
      </c>
      <c r="I206" s="85"/>
      <c r="J206" s="37"/>
      <c r="K206" s="37">
        <v>13460539</v>
      </c>
      <c r="L206" s="85"/>
      <c r="M206" s="37"/>
      <c r="N206" s="37">
        <v>14467551</v>
      </c>
      <c r="O206" s="85"/>
      <c r="P206" s="37"/>
      <c r="Q206" s="37">
        <v>16128236</v>
      </c>
      <c r="R206" s="85"/>
      <c r="S206" s="37"/>
      <c r="T206" s="37">
        <v>15900865</v>
      </c>
      <c r="U206" s="85"/>
      <c r="V206" s="37"/>
      <c r="W206" s="37">
        <v>12497517</v>
      </c>
      <c r="X206" s="85"/>
      <c r="Y206" s="37"/>
      <c r="Z206" s="37">
        <v>14271832</v>
      </c>
      <c r="AA206" s="85"/>
      <c r="AB206" s="37"/>
      <c r="AC206" s="37">
        <v>20010677</v>
      </c>
      <c r="AD206" s="85"/>
      <c r="AE206" s="37"/>
      <c r="AF206" s="37">
        <v>21456890</v>
      </c>
      <c r="AG206" s="85"/>
      <c r="AH206" s="37"/>
      <c r="AI206" s="37">
        <v>23198059</v>
      </c>
      <c r="AJ206" s="85"/>
      <c r="AK206" s="37"/>
      <c r="AL206" s="37">
        <v>19638798</v>
      </c>
      <c r="AM206" s="85"/>
      <c r="AN206" s="37"/>
      <c r="AO206" s="37">
        <v>28036254</v>
      </c>
      <c r="AP206" s="85"/>
      <c r="AQ206" s="37"/>
      <c r="AR206" s="37">
        <v>9358671</v>
      </c>
      <c r="AS206" s="85"/>
      <c r="AT206" s="37"/>
      <c r="AU206" s="37">
        <v>28387000</v>
      </c>
      <c r="AV206" s="85"/>
      <c r="AW206" s="37"/>
      <c r="AX206" s="37">
        <v>22820000</v>
      </c>
      <c r="AY206" s="85"/>
      <c r="AZ206" s="37"/>
      <c r="BA206" s="37">
        <v>22366000</v>
      </c>
      <c r="BB206" s="85"/>
      <c r="BC206" s="37"/>
      <c r="BD206" s="37">
        <v>20303000</v>
      </c>
      <c r="BE206" s="85"/>
      <c r="BF206" s="37"/>
      <c r="BG206" s="37">
        <v>13724000</v>
      </c>
      <c r="BH206" s="85"/>
      <c r="BI206" s="37"/>
      <c r="BJ206" s="37">
        <v>12056000</v>
      </c>
      <c r="BK206" s="85"/>
      <c r="BL206" s="37"/>
      <c r="BM206" s="37">
        <v>8065000</v>
      </c>
      <c r="BN206" s="85"/>
      <c r="BO206" s="37"/>
      <c r="BP206" s="37">
        <v>26027000</v>
      </c>
      <c r="BQ206" s="85"/>
      <c r="BR206" s="37"/>
      <c r="BS206" s="37">
        <v>39572000</v>
      </c>
      <c r="BT206" s="85"/>
      <c r="BU206" s="37"/>
      <c r="BV206" s="37">
        <v>45650000</v>
      </c>
      <c r="BW206" s="85"/>
      <c r="BX206" s="37"/>
      <c r="BY206" s="37">
        <v>63660000</v>
      </c>
      <c r="BZ206" s="85"/>
      <c r="CA206" s="37"/>
      <c r="CB206" s="37">
        <v>121521000</v>
      </c>
      <c r="CC206" s="85"/>
      <c r="CD206" s="37"/>
      <c r="CE206" s="37">
        <v>43613000</v>
      </c>
      <c r="CF206" s="85"/>
      <c r="CG206" s="37"/>
      <c r="CH206" s="37">
        <v>36085000</v>
      </c>
      <c r="CI206" s="85"/>
      <c r="CJ206" s="37"/>
      <c r="CK206" s="37">
        <v>-56566000</v>
      </c>
      <c r="CL206" s="85"/>
      <c r="CM206" s="37"/>
      <c r="CN206" s="37">
        <v>-5631000</v>
      </c>
      <c r="CO206" s="85"/>
      <c r="CP206" s="37"/>
      <c r="CQ206" s="37">
        <v>-72937000</v>
      </c>
      <c r="CR206" s="85"/>
      <c r="CS206" s="37"/>
      <c r="CT206" s="37">
        <v>-34047000</v>
      </c>
      <c r="CU206" s="85"/>
      <c r="CV206" s="37"/>
      <c r="CW206" s="37">
        <v>-70097000</v>
      </c>
      <c r="CX206" s="85"/>
      <c r="CY206" s="37"/>
      <c r="CZ206" s="37">
        <v>-6442000</v>
      </c>
      <c r="DA206" s="85"/>
      <c r="DB206" s="37"/>
      <c r="DC206" s="37">
        <v>-6441999</v>
      </c>
      <c r="DD206" s="85"/>
      <c r="DE206" s="37"/>
    </row>
    <row r="207" spans="1:109" outlineLevel="1">
      <c r="A207" s="27" t="s">
        <v>140</v>
      </c>
      <c r="B207" s="37">
        <v>1669867</v>
      </c>
      <c r="C207" s="85"/>
      <c r="D207" s="37"/>
      <c r="E207" s="37">
        <v>77817445</v>
      </c>
      <c r="F207" s="85"/>
      <c r="G207" s="37"/>
      <c r="H207" s="37">
        <v>80010650</v>
      </c>
      <c r="I207" s="85"/>
      <c r="J207" s="37"/>
      <c r="K207" s="37">
        <v>81128473</v>
      </c>
      <c r="L207" s="85"/>
      <c r="M207" s="37"/>
      <c r="N207" s="37">
        <v>71806829</v>
      </c>
      <c r="O207" s="85"/>
      <c r="P207" s="37"/>
      <c r="Q207" s="37">
        <v>96954571</v>
      </c>
      <c r="R207" s="85"/>
      <c r="S207" s="37"/>
      <c r="T207" s="37">
        <v>88229061</v>
      </c>
      <c r="U207" s="85"/>
      <c r="V207" s="37"/>
      <c r="W207" s="37">
        <v>82316566</v>
      </c>
      <c r="X207" s="85"/>
      <c r="Y207" s="37"/>
      <c r="Z207" s="37">
        <v>82790900</v>
      </c>
      <c r="AA207" s="85"/>
      <c r="AB207" s="37"/>
      <c r="AC207" s="37">
        <v>89947250</v>
      </c>
      <c r="AD207" s="85"/>
      <c r="AE207" s="37"/>
      <c r="AF207" s="37">
        <v>91039856</v>
      </c>
      <c r="AG207" s="85"/>
      <c r="AH207" s="37"/>
      <c r="AI207" s="37">
        <v>102266816</v>
      </c>
      <c r="AJ207" s="85"/>
      <c r="AK207" s="37"/>
      <c r="AL207" s="37">
        <v>113269447</v>
      </c>
      <c r="AM207" s="85"/>
      <c r="AN207" s="37"/>
      <c r="AO207" s="37">
        <v>125690183</v>
      </c>
      <c r="AP207" s="85"/>
      <c r="AQ207" s="37"/>
      <c r="AR207" s="37">
        <v>115629625</v>
      </c>
      <c r="AS207" s="85"/>
      <c r="AT207" s="37"/>
      <c r="AU207" s="37">
        <v>124778000</v>
      </c>
      <c r="AV207" s="85"/>
      <c r="AW207" s="37"/>
      <c r="AX207" s="37">
        <v>114928000</v>
      </c>
      <c r="AY207" s="85"/>
      <c r="AZ207" s="37"/>
      <c r="BA207" s="37">
        <v>119120000</v>
      </c>
      <c r="BB207" s="85"/>
      <c r="BC207" s="37"/>
      <c r="BD207" s="37">
        <v>132415000</v>
      </c>
      <c r="BE207" s="85"/>
      <c r="BF207" s="37"/>
      <c r="BG207" s="37">
        <v>147457000</v>
      </c>
      <c r="BH207" s="85"/>
      <c r="BI207" s="37"/>
      <c r="BJ207" s="37">
        <v>161409000</v>
      </c>
      <c r="BK207" s="85"/>
      <c r="BL207" s="37"/>
      <c r="BM207" s="37">
        <v>159248000</v>
      </c>
      <c r="BN207" s="85"/>
      <c r="BO207" s="37"/>
      <c r="BP207" s="37">
        <v>175904000</v>
      </c>
      <c r="BQ207" s="85"/>
      <c r="BR207" s="37"/>
      <c r="BS207" s="37">
        <v>197304000</v>
      </c>
      <c r="BT207" s="85"/>
      <c r="BU207" s="37"/>
      <c r="BV207" s="37">
        <v>211515000</v>
      </c>
      <c r="BW207" s="85"/>
      <c r="BX207" s="37"/>
      <c r="BY207" s="37">
        <v>225558000</v>
      </c>
      <c r="BZ207" s="85"/>
      <c r="CA207" s="37"/>
      <c r="CB207" s="37">
        <v>251999000</v>
      </c>
      <c r="CC207" s="85"/>
      <c r="CD207" s="37"/>
      <c r="CE207" s="37">
        <v>217357000</v>
      </c>
      <c r="CF207" s="85"/>
      <c r="CG207" s="37"/>
      <c r="CH207" s="37">
        <v>230697000</v>
      </c>
      <c r="CI207" s="85"/>
      <c r="CJ207" s="37"/>
      <c r="CK207" s="37">
        <v>250946000</v>
      </c>
      <c r="CL207" s="85"/>
      <c r="CM207" s="37"/>
      <c r="CN207" s="37">
        <v>308657000</v>
      </c>
      <c r="CO207" s="85"/>
      <c r="CP207" s="37"/>
      <c r="CQ207" s="37">
        <v>274412000</v>
      </c>
      <c r="CR207" s="85"/>
      <c r="CS207" s="37"/>
      <c r="CT207" s="37">
        <v>257958000</v>
      </c>
      <c r="CU207" s="85"/>
      <c r="CV207" s="37"/>
      <c r="CW207" s="37">
        <v>249504000</v>
      </c>
      <c r="CX207" s="85"/>
      <c r="CY207" s="37"/>
      <c r="CZ207" s="37">
        <v>250419000</v>
      </c>
      <c r="DA207" s="85"/>
      <c r="DB207" s="37"/>
      <c r="DC207" s="37">
        <v>250419001</v>
      </c>
      <c r="DD207" s="85"/>
      <c r="DE207" s="37"/>
    </row>
    <row r="208" spans="1:109" outlineLevel="1">
      <c r="A208" s="24"/>
      <c r="B208" s="37"/>
      <c r="C208" s="85"/>
      <c r="D208" s="37"/>
      <c r="E208" s="37"/>
      <c r="F208" s="85"/>
      <c r="G208" s="37"/>
      <c r="H208" s="37"/>
      <c r="I208" s="85"/>
      <c r="J208" s="37"/>
      <c r="K208" s="37"/>
      <c r="L208" s="85"/>
      <c r="M208" s="37"/>
      <c r="N208" s="37"/>
      <c r="O208" s="85"/>
      <c r="P208" s="37"/>
      <c r="Q208" s="37"/>
      <c r="R208" s="85"/>
      <c r="S208" s="37"/>
      <c r="T208" s="37"/>
      <c r="U208" s="85"/>
      <c r="V208" s="37"/>
      <c r="W208" s="37"/>
      <c r="X208" s="85"/>
      <c r="Y208" s="37"/>
      <c r="Z208" s="37"/>
      <c r="AA208" s="85"/>
      <c r="AB208" s="37"/>
      <c r="AC208" s="37"/>
      <c r="AD208" s="85"/>
      <c r="AE208" s="37"/>
      <c r="AF208" s="37"/>
      <c r="AG208" s="85"/>
      <c r="AH208" s="37"/>
      <c r="AI208" s="37"/>
      <c r="AJ208" s="85"/>
      <c r="AK208" s="37"/>
      <c r="AL208" s="37"/>
      <c r="AM208" s="85"/>
      <c r="AN208" s="37"/>
      <c r="AO208" s="37"/>
      <c r="AP208" s="85"/>
      <c r="AQ208" s="37"/>
      <c r="AR208" s="37"/>
      <c r="AS208" s="85"/>
      <c r="AT208" s="37"/>
      <c r="AU208" s="37"/>
      <c r="AV208" s="85"/>
      <c r="AW208" s="37"/>
      <c r="AX208" s="37"/>
      <c r="AY208" s="85"/>
      <c r="AZ208" s="37"/>
      <c r="BA208" s="37"/>
      <c r="BB208" s="85"/>
      <c r="BC208" s="37"/>
      <c r="BD208" s="37"/>
      <c r="BE208" s="85"/>
      <c r="BF208" s="37"/>
      <c r="BG208" s="37"/>
      <c r="BH208" s="85"/>
      <c r="BI208" s="37"/>
      <c r="BJ208" s="37"/>
      <c r="BK208" s="85"/>
      <c r="BL208" s="37"/>
      <c r="BM208" s="37"/>
      <c r="BN208" s="85"/>
      <c r="BO208" s="37"/>
      <c r="BP208" s="37"/>
      <c r="BQ208" s="85"/>
      <c r="BR208" s="37"/>
      <c r="BS208" s="37"/>
      <c r="BT208" s="85"/>
      <c r="BU208" s="37"/>
      <c r="BV208" s="37"/>
      <c r="BW208" s="85"/>
      <c r="BX208" s="37"/>
      <c r="BY208" s="37"/>
      <c r="BZ208" s="85"/>
      <c r="CA208" s="37"/>
      <c r="CB208" s="37"/>
      <c r="CC208" s="85"/>
      <c r="CD208" s="37"/>
      <c r="CE208" s="37"/>
      <c r="CF208" s="85"/>
      <c r="CG208" s="37"/>
      <c r="CH208" s="37"/>
      <c r="CI208" s="85"/>
      <c r="CJ208" s="37"/>
      <c r="CK208" s="37"/>
      <c r="CL208" s="85"/>
      <c r="CM208" s="37"/>
      <c r="CN208" s="37"/>
      <c r="CO208" s="85"/>
      <c r="CP208" s="37"/>
      <c r="CQ208" s="37"/>
      <c r="CR208" s="85"/>
      <c r="CS208" s="37"/>
      <c r="CT208" s="37"/>
      <c r="CU208" s="85"/>
      <c r="CV208" s="37"/>
      <c r="CW208" s="37"/>
      <c r="CX208" s="85"/>
      <c r="CY208" s="37"/>
      <c r="CZ208" s="37"/>
      <c r="DA208" s="85"/>
      <c r="DB208" s="37"/>
      <c r="DC208" s="37"/>
      <c r="DD208" s="85"/>
      <c r="DE208" s="37"/>
    </row>
    <row r="209" spans="1:113" outlineLevel="1">
      <c r="A209" s="30" t="s">
        <v>252</v>
      </c>
      <c r="B209" s="37"/>
      <c r="C209" s="85"/>
      <c r="D209" s="37"/>
      <c r="E209" s="37"/>
      <c r="F209" s="85"/>
      <c r="G209" s="37"/>
      <c r="H209" s="37"/>
      <c r="I209" s="85"/>
      <c r="J209" s="37"/>
      <c r="K209" s="37"/>
      <c r="L209" s="85"/>
      <c r="M209" s="37"/>
      <c r="N209" s="37"/>
      <c r="O209" s="85"/>
      <c r="P209" s="37"/>
      <c r="Q209" s="37"/>
      <c r="R209" s="85"/>
      <c r="S209" s="37"/>
      <c r="T209" s="37"/>
      <c r="U209" s="85"/>
      <c r="V209" s="37"/>
      <c r="W209" s="37"/>
      <c r="X209" s="85"/>
      <c r="Y209" s="37"/>
      <c r="Z209" s="37"/>
      <c r="AA209" s="85"/>
      <c r="AB209" s="37"/>
      <c r="AC209" s="37"/>
      <c r="AD209" s="85"/>
      <c r="AE209" s="37"/>
      <c r="AF209" s="37"/>
      <c r="AG209" s="85"/>
      <c r="AH209" s="37"/>
      <c r="AI209" s="37"/>
      <c r="AJ209" s="85"/>
      <c r="AK209" s="37"/>
      <c r="AL209" s="37"/>
      <c r="AM209" s="85"/>
      <c r="AN209" s="37"/>
      <c r="AO209" s="37"/>
      <c r="AP209" s="85"/>
      <c r="AQ209" s="37"/>
      <c r="AR209" s="37"/>
      <c r="AS209" s="85"/>
      <c r="AT209" s="37"/>
      <c r="AU209" s="37"/>
      <c r="AV209" s="85"/>
      <c r="AW209" s="37"/>
      <c r="AX209" s="37"/>
      <c r="AY209" s="85"/>
      <c r="AZ209" s="37"/>
      <c r="BA209" s="37"/>
      <c r="BB209" s="85"/>
      <c r="BC209" s="37"/>
      <c r="BD209" s="37"/>
      <c r="BE209" s="85"/>
      <c r="BF209" s="37"/>
      <c r="BG209" s="37"/>
      <c r="BH209" s="85"/>
      <c r="BI209" s="37"/>
      <c r="BJ209" s="37"/>
      <c r="BK209" s="85"/>
      <c r="BL209" s="37"/>
      <c r="BM209" s="37"/>
      <c r="BN209" s="85"/>
      <c r="BO209" s="37"/>
      <c r="BP209" s="37"/>
      <c r="BQ209" s="85"/>
      <c r="BR209" s="37"/>
      <c r="BS209" s="37"/>
      <c r="BT209" s="85"/>
      <c r="BU209" s="37"/>
      <c r="BV209" s="37"/>
      <c r="BW209" s="85"/>
      <c r="BX209" s="37"/>
      <c r="BY209" s="37"/>
      <c r="BZ209" s="85"/>
      <c r="CA209" s="37"/>
      <c r="CB209" s="37"/>
      <c r="CC209" s="85"/>
      <c r="CD209" s="37"/>
      <c r="CE209" s="37"/>
      <c r="CF209" s="85"/>
      <c r="CG209" s="37"/>
      <c r="CH209" s="37"/>
      <c r="CI209" s="85"/>
      <c r="CJ209" s="37"/>
      <c r="CK209" s="37"/>
      <c r="CL209" s="85"/>
      <c r="CM209" s="37"/>
      <c r="CN209" s="37"/>
      <c r="CO209" s="85"/>
      <c r="CP209" s="37"/>
      <c r="CQ209" s="37"/>
      <c r="CR209" s="85"/>
      <c r="CS209" s="37"/>
      <c r="CT209" s="37"/>
      <c r="CU209" s="85"/>
      <c r="CV209" s="37"/>
      <c r="CW209" s="37"/>
      <c r="CX209" s="85"/>
      <c r="CY209" s="37"/>
      <c r="CZ209" s="37"/>
      <c r="DA209" s="85"/>
      <c r="DB209" s="37"/>
      <c r="DC209" s="37"/>
      <c r="DD209" s="85"/>
      <c r="DE209" s="37"/>
      <c r="DI209" s="71"/>
    </row>
    <row r="210" spans="1:113" outlineLevel="1">
      <c r="A210" s="27" t="s">
        <v>253</v>
      </c>
      <c r="B210" s="37">
        <f>SUMIFS('Federal Data'!M2:M501,'Federal Data'!$F2:$F501,"Contributions to Government Retirement and Disability Fund",'Federal Data'!$D2:$D501,"Nongrant")</f>
        <v>-14388585</v>
      </c>
      <c r="C210" s="85"/>
      <c r="D210" s="37"/>
      <c r="E210" s="37">
        <f>SUMIFS('Federal Data'!N2:N501,'Federal Data'!$F2:$F501,"Contributions to Government Retirement and Disability Fund",'Federal Data'!$D2:$D501,"Nongrant")</f>
        <v>-16141176</v>
      </c>
      <c r="F210" s="85"/>
      <c r="G210" s="37"/>
      <c r="H210" s="37">
        <f>SUMIFS('Federal Data'!O2:O501,'Federal Data'!$F2:$F501,"Contributions to Government Retirement and Disability Fund",'Federal Data'!$D2:$D501,"Nongrant")</f>
        <v>-17806303</v>
      </c>
      <c r="I210" s="85"/>
      <c r="J210" s="37"/>
      <c r="K210" s="37">
        <f>SUMIFS('Federal Data'!P2:P501,'Federal Data'!$F2:$F501,"Contributions to Government Retirement and Disability Fund",'Federal Data'!$D2:$D501,"Nongrant")</f>
        <v>-20652280</v>
      </c>
      <c r="L210" s="85"/>
      <c r="M210" s="37"/>
      <c r="N210" s="37">
        <f>SUMIFS('Federal Data'!Q2:Q501,'Federal Data'!$F2:$F501,"Contributions to Government Retirement and Disability Fund",'Federal Data'!$D2:$D501,"Nongrant")</f>
        <v>-21913457</v>
      </c>
      <c r="O210" s="85"/>
      <c r="P210" s="37"/>
      <c r="Q210" s="37">
        <f>SUMIFS('Federal Data'!R2:R501,'Federal Data'!$F2:$F501,"Contributions to Government Retirement and Disability Fund",'Federal Data'!$D2:$D501,"Nongrant")</f>
        <v>-23198583</v>
      </c>
      <c r="R210" s="85"/>
      <c r="S210" s="37"/>
      <c r="T210" s="37">
        <f>SUMIFS('Federal Data'!S2:S501,'Federal Data'!$F2:$F501,"Contributions to Government Retirement and Disability Fund",'Federal Data'!$D2:$D501,"Nongrant")</f>
        <v>-23830209</v>
      </c>
      <c r="U210" s="85"/>
      <c r="V210" s="37"/>
      <c r="W210" s="37">
        <f>SUMIFS('Federal Data'!T2:T501,'Federal Data'!$F2:$F501,"Contributions to Government Retirement and Disability Fund",'Federal Data'!$D2:$D501,"Nongrant")</f>
        <v>-25559200</v>
      </c>
      <c r="X210" s="85"/>
      <c r="Y210" s="37"/>
      <c r="Z210" s="37">
        <f>SUMIFS('Federal Data'!U2:U501,'Federal Data'!$F2:$F501,"Contributions to Government Retirement and Disability Fund",'Federal Data'!$D2:$D501,"Nongrant")</f>
        <v>-27543842</v>
      </c>
      <c r="AA210" s="85"/>
      <c r="AB210" s="37"/>
      <c r="AC210" s="37">
        <f>SUMIFS('Federal Data'!V2:V501,'Federal Data'!$F2:$F501,"Contributions to Government Retirement and Disability Fund",'Federal Data'!$D2:$D501,"Nongrant")</f>
        <v>-27838466</v>
      </c>
      <c r="AD210" s="85"/>
      <c r="AE210" s="37"/>
      <c r="AF210" s="37">
        <f>SUMIFS('Federal Data'!W2:W501,'Federal Data'!$F2:$F501,"Contributions to Government Retirement and Disability Fund",'Federal Data'!$D2:$D501,"Nongrant")</f>
        <v>-26498406</v>
      </c>
      <c r="AG210" s="85"/>
      <c r="AH210" s="37"/>
      <c r="AI210" s="37">
        <f>SUMIFS('Federal Data'!X2:X501,'Federal Data'!$F2:$F501,"Contributions to Government Retirement and Disability Fund",'Federal Data'!$D2:$D501,"Nongrant")</f>
        <v>-28679189</v>
      </c>
      <c r="AJ210" s="85"/>
      <c r="AK210" s="37"/>
      <c r="AL210" s="37">
        <f>SUMIFS('Federal Data'!Y2:Y501,'Federal Data'!$F2:$F501,"Contributions to Government Retirement and Disability Fund",'Federal Data'!$D2:$D501,"Nongrant")</f>
        <v>-28804719</v>
      </c>
      <c r="AM210" s="85"/>
      <c r="AN210" s="37"/>
      <c r="AO210" s="37">
        <f>SUMIFS('Federal Data'!Z2:Z501,'Federal Data'!$F2:$F501,"Contributions to Government Retirement and Disability Fund",'Federal Data'!$D2:$D501,"Nongrant")</f>
        <v>-26231465</v>
      </c>
      <c r="AP210" s="85"/>
      <c r="AQ210" s="37"/>
      <c r="AR210" s="37">
        <f>SUMIFS('Federal Data'!AA2:AA501,'Federal Data'!$F2:$F501,"Contributions to Government Retirement and Disability Fund",'Federal Data'!$D2:$D501,"Nongrant")</f>
        <v>-26337981</v>
      </c>
      <c r="AS210" s="85"/>
      <c r="AT210" s="37"/>
      <c r="AU210" s="37">
        <f>SUMIFS('Federal Data'!AB2:AB501,'Federal Data'!$F2:$F501,"Contributions to Government Retirement and Disability Fund",'Federal Data'!$D2:$D501,"Nongrant")</f>
        <v>-25865000</v>
      </c>
      <c r="AV210" s="85"/>
      <c r="AW210" s="37"/>
      <c r="AX210" s="37">
        <f>SUMIFS('Federal Data'!AC2:AC501,'Federal Data'!$F2:$F501,"Contributions to Government Retirement and Disability Fund",'Federal Data'!$D2:$D501,"Nongrant")</f>
        <v>-25260000</v>
      </c>
      <c r="AY210" s="85"/>
      <c r="AZ210" s="37"/>
      <c r="BA210" s="37">
        <f>SUMIFS('Federal Data'!AD2:AD501,'Federal Data'!$F2:$F501,"Contributions to Government Retirement and Disability Fund",'Federal Data'!$D2:$D501,"Nongrant")</f>
        <v>-25678000</v>
      </c>
      <c r="BB210" s="85"/>
      <c r="BC210" s="37"/>
      <c r="BD210" s="37">
        <f>SUMIFS('Federal Data'!AE2:AE501,'Federal Data'!$F2:$F501,"Contributions to Government Retirement and Disability Fund",'Federal Data'!$D2:$D501,"Nongrant")</f>
        <v>-25670000</v>
      </c>
      <c r="BE210" s="85"/>
      <c r="BF210" s="37"/>
      <c r="BG210" s="37">
        <f>SUMIFS('Federal Data'!AF2:AF501,'Federal Data'!$F2:$F501,"Contributions to Government Retirement and Disability Fund",'Federal Data'!$D2:$D501,"Nongrant")</f>
        <v>-25968000</v>
      </c>
      <c r="BH210" s="85"/>
      <c r="BI210" s="37"/>
      <c r="BJ210" s="37">
        <f>SUMIFS('Federal Data'!AG2:AG501,'Federal Data'!$F2:$F501,"Contributions to Government Retirement and Disability Fund",'Federal Data'!$D2:$D501,"Nongrant")</f>
        <v>-27595000</v>
      </c>
      <c r="BK210" s="85"/>
      <c r="BL210" s="37"/>
      <c r="BM210" s="37">
        <f>SUMIFS('Federal Data'!AH2:AH501,'Federal Data'!$F2:$F501,"Contributions to Government Retirement and Disability Fund",'Federal Data'!$D2:$D501,"Nongrant")</f>
        <v>-28190000</v>
      </c>
      <c r="BN210" s="85"/>
      <c r="BO210" s="37"/>
      <c r="BP210" s="37">
        <f>SUMIFS('Federal Data'!AI2:AI501,'Federal Data'!$F2:$F501,"Contributions to Government Retirement and Disability Fund",'Federal Data'!$D2:$D501,"Nongrant")</f>
        <v>-30576000</v>
      </c>
      <c r="BQ210" s="85"/>
      <c r="BR210" s="37"/>
      <c r="BS210" s="37">
        <f>SUMIFS('Federal Data'!AJ2:AJ501,'Federal Data'!$F2:$F501,"Contributions to Government Retirement and Disability Fund",'Federal Data'!$D2:$D501,"Nongrant")</f>
        <v>-36702000</v>
      </c>
      <c r="BT210" s="85"/>
      <c r="BU210" s="37"/>
      <c r="BV210" s="37">
        <f>SUMIFS('Federal Data'!AK2:AK501,'Federal Data'!$F2:$F501,"Contributions to Government Retirement and Disability Fund",'Federal Data'!$D2:$D501,"Nongrant")</f>
        <v>-39580000</v>
      </c>
      <c r="BW210" s="85"/>
      <c r="BX210" s="37"/>
      <c r="BY210" s="37">
        <f>SUMIFS('Federal Data'!AL2:AL501,'Federal Data'!$F2:$F501,"Contributions to Government Retirement and Disability Fund",'Federal Data'!$D2:$D501,"Nongrant")</f>
        <v>-44675000</v>
      </c>
      <c r="BZ210" s="85"/>
      <c r="CA210" s="37"/>
      <c r="CB210" s="37">
        <f>SUMIFS('Federal Data'!AM2:AM501,'Federal Data'!$F2:$F501,"Contributions to Government Retirement and Disability Fund",'Federal Data'!$D2:$D501,"Nongrant")</f>
        <v>-45827000</v>
      </c>
      <c r="CC210" s="85"/>
      <c r="CD210" s="37"/>
      <c r="CE210" s="37">
        <f>SUMIFS('Federal Data'!AN2:AN501,'Federal Data'!$F2:$F501,"Contributions to Government Retirement and Disability Fund",'Federal Data'!$D2:$D501,"Nongrant")</f>
        <v>-54296000</v>
      </c>
      <c r="CF210" s="85"/>
      <c r="CG210" s="37"/>
      <c r="CH210" s="37">
        <f>SUMIFS('Federal Data'!AO2:AO501,'Federal Data'!$F2:$F501,"Contributions to Government Retirement and Disability Fund",'Federal Data'!$D2:$D501,"Nongrant")</f>
        <v>-54931000</v>
      </c>
      <c r="CI210" s="85"/>
      <c r="CJ210" s="37"/>
      <c r="CK210" s="37">
        <f>SUMIFS('Federal Data'!AP2:AP501,'Federal Data'!$F2:$F501,"Contributions to Government Retirement and Disability Fund",'Federal Data'!$D2:$D501,"Nongrant")</f>
        <v>-53896000</v>
      </c>
      <c r="CL210" s="85"/>
      <c r="CM210" s="37"/>
      <c r="CN210" s="37">
        <f>SUMIFS('Federal Data'!AQ2:AQ501,'Federal Data'!$F2:$F501,"Contributions to Government Retirement and Disability Fund",'Federal Data'!$D2:$D501,"Nongrant")</f>
        <v>-63558000</v>
      </c>
      <c r="CO210" s="85"/>
      <c r="CP210" s="37"/>
      <c r="CQ210" s="37">
        <f>SUMIFS('Federal Data'!AR2:AR501,'Federal Data'!$F2:$F501,"Contributions to Government Retirement and Disability Fund",'Federal Data'!$D2:$D501,"Nongrant")</f>
        <v>-60556000</v>
      </c>
      <c r="CR210" s="85"/>
      <c r="CS210" s="37"/>
      <c r="CT210" s="37">
        <f>SUMIFS('Federal Data'!AS2:AS501,'Federal Data'!$F2:$F501,"Contributions to Government Retirement and Disability Fund",'Federal Data'!$D2:$D501,"Nongrant")</f>
        <v>-64254000</v>
      </c>
      <c r="CU210" s="85"/>
      <c r="CV210" s="37"/>
      <c r="CW210" s="37">
        <f>SUMIFS('Federal Data'!AT2:AT501,'Federal Data'!$F2:$F501,"Contributions to Government Retirement and Disability Fund",'Federal Data'!$D2:$D501,"Nongrant")</f>
        <v>-60977000</v>
      </c>
      <c r="CX210" s="85"/>
      <c r="CY210" s="37"/>
      <c r="CZ210" s="37">
        <f>SUMIFS('Federal Data'!AU2:AU501,'Federal Data'!$F2:$F501,"Contributions to Government Retirement and Disability Fund",'Federal Data'!$D2:$D501,"Nongrant")</f>
        <v>-59560000</v>
      </c>
      <c r="DA210" s="85"/>
      <c r="DB210" s="37"/>
      <c r="DC210" s="37">
        <f>SUMIFS('Federal Data'!AV2:AV501,'Federal Data'!$F2:$F501,"Contributions to Government Retirement and Disability Fund",'Federal Data'!$D2:$D501,"Nongrant")</f>
        <v>-61039000</v>
      </c>
      <c r="DD210" s="85"/>
      <c r="DE210" s="37"/>
    </row>
    <row r="211" spans="1:113" outlineLevel="1">
      <c r="A211" s="27" t="s">
        <v>254</v>
      </c>
      <c r="B211" s="37">
        <f>SUMIFS('Federal Data'!M2:M501,'Federal Data'!$F2:$F501,"Employee Contributions for Retirement and DIsability")</f>
        <v>-3718733</v>
      </c>
      <c r="C211" s="85"/>
      <c r="D211" s="37"/>
      <c r="E211" s="37">
        <f>SUMIFS('Federal Data'!N2:N501,'Federal Data'!$F2:$F501,"Employee Contributions for Retirement and DIsability")</f>
        <v>-3984418</v>
      </c>
      <c r="F211" s="85"/>
      <c r="G211" s="37"/>
      <c r="H211" s="37">
        <f>SUMIFS('Federal Data'!O2:O501,'Federal Data'!$F2:$F501,"Employee Contributions for Retirement and DIsability")</f>
        <v>-4211749</v>
      </c>
      <c r="I211" s="85"/>
      <c r="J211" s="37"/>
      <c r="K211" s="37">
        <f>SUMIFS('Federal Data'!P2:P501,'Federal Data'!$F2:$F501,"Employee Contributions for Retirement and DIsability")</f>
        <v>-4428709</v>
      </c>
      <c r="L211" s="85"/>
      <c r="M211" s="37"/>
      <c r="N211" s="37">
        <f>SUMIFS('Federal Data'!Q2:Q501,'Federal Data'!$F2:$F501,"Employee Contributions for Retirement and DIsability")</f>
        <v>-4580301</v>
      </c>
      <c r="O211" s="85"/>
      <c r="P211" s="37"/>
      <c r="Q211" s="37">
        <f>SUMIFS('Federal Data'!R2:R501,'Federal Data'!$F2:$F501,"Employee Contributions for Retirement and DIsability")</f>
        <v>-4758886</v>
      </c>
      <c r="R211" s="85"/>
      <c r="S211" s="37"/>
      <c r="T211" s="37">
        <f>SUMIFS('Federal Data'!S2:S501,'Federal Data'!$F2:$F501,"Employee Contributions for Retirement and DIsability")</f>
        <v>-4741637</v>
      </c>
      <c r="U211" s="85"/>
      <c r="V211" s="37"/>
      <c r="W211" s="37">
        <f>SUMIFS('Federal Data'!T2:T501,'Federal Data'!$F2:$F501,"Employee Contributions for Retirement and DIsability")</f>
        <v>-4714948</v>
      </c>
      <c r="X211" s="85"/>
      <c r="Y211" s="37"/>
      <c r="Z211" s="37">
        <f>SUMIFS('Federal Data'!U2:U501,'Federal Data'!$F2:$F501,"Employee Contributions for Retirement and DIsability")</f>
        <v>-4658432</v>
      </c>
      <c r="AA211" s="85"/>
      <c r="AB211" s="37"/>
      <c r="AC211" s="37">
        <f>SUMIFS('Federal Data'!V2:V501,'Federal Data'!$F2:$F501,"Employee Contributions for Retirement and DIsability")</f>
        <v>-4546152</v>
      </c>
      <c r="AD211" s="85"/>
      <c r="AE211" s="37"/>
      <c r="AF211" s="37">
        <f>SUMIFS('Federal Data'!W2:W501,'Federal Data'!$F2:$F501,"Employee Contributions for Retirement and DIsability")</f>
        <v>-4521568</v>
      </c>
      <c r="AG211" s="85"/>
      <c r="AH211" s="37"/>
      <c r="AI211" s="37">
        <f>SUMIFS('Federal Data'!X2:X501,'Federal Data'!$F2:$F501,"Employee Contributions for Retirement and DIsability")</f>
        <v>-4567576</v>
      </c>
      <c r="AJ211" s="85"/>
      <c r="AK211" s="37"/>
      <c r="AL211" s="37">
        <f>SUMIFS('Federal Data'!Y2:Y501,'Federal Data'!$F2:$F501,"Employee Contributions for Retirement and DIsability")</f>
        <v>-4788098</v>
      </c>
      <c r="AM211" s="85"/>
      <c r="AN211" s="37"/>
      <c r="AO211" s="37">
        <f>SUMIFS('Federal Data'!Z2:Z501,'Federal Data'!$F2:$F501,"Employee Contributions for Retirement and DIsability")</f>
        <v>-4804587</v>
      </c>
      <c r="AP211" s="85"/>
      <c r="AQ211" s="37"/>
      <c r="AR211" s="37">
        <f>SUMIFS('Federal Data'!AA2:AA501,'Federal Data'!$F2:$F501,"Employee Contributions for Retirement and DIsability")</f>
        <v>-4660949</v>
      </c>
      <c r="AS211" s="85"/>
      <c r="AT211" s="37"/>
      <c r="AU211" s="37">
        <f>SUMIFS('Federal Data'!AB2:AB501,'Federal Data'!$F2:$F501,"Employee Contributions for Retirement and DIsability")</f>
        <v>-4550000</v>
      </c>
      <c r="AV211" s="85"/>
      <c r="AW211" s="37"/>
      <c r="AX211" s="37">
        <f>SUMIFS('Federal Data'!AC2:AC501,'Federal Data'!$F2:$F501,"Employee Contributions for Retirement and DIsability")</f>
        <v>-4469000</v>
      </c>
      <c r="AY211" s="85"/>
      <c r="AZ211" s="37"/>
      <c r="BA211" s="37">
        <f>SUMIFS('Federal Data'!AD2:AD501,'Federal Data'!$F2:$F501,"Employee Contributions for Retirement and DIsability")</f>
        <v>-4418000</v>
      </c>
      <c r="BB211" s="85"/>
      <c r="BC211" s="37"/>
      <c r="BD211" s="37">
        <f>SUMIFS('Federal Data'!AE2:AE501,'Federal Data'!$F2:$F501,"Employee Contributions for Retirement and DIsability")</f>
        <v>-4333000</v>
      </c>
      <c r="BE211" s="85"/>
      <c r="BF211" s="37"/>
      <c r="BG211" s="37">
        <f>SUMIFS('Federal Data'!AF2:AF501,'Federal Data'!$F2:$F501,"Employee Contributions for Retirement and DIsability")</f>
        <v>-4473000</v>
      </c>
      <c r="BH211" s="85"/>
      <c r="BI211" s="37"/>
      <c r="BJ211" s="37">
        <f>SUMIFS('Federal Data'!AG2:AG501,'Federal Data'!$F2:$F501,"Employee Contributions for Retirement and DIsability")</f>
        <v>-4761000</v>
      </c>
      <c r="BK211" s="85"/>
      <c r="BL211" s="37"/>
      <c r="BM211" s="37">
        <f>SUMIFS('Federal Data'!AH2:AH501,'Federal Data'!$F2:$F501,"Employee Contributions for Retirement and DIsability")</f>
        <v>-4713000</v>
      </c>
      <c r="BN211" s="85"/>
      <c r="BO211" s="37"/>
      <c r="BP211" s="37">
        <f>SUMIFS('Federal Data'!AI2:AI501,'Federal Data'!$F2:$F501,"Employee Contributions for Retirement and DIsability")</f>
        <v>-4594000</v>
      </c>
      <c r="BQ211" s="85"/>
      <c r="BR211" s="37"/>
      <c r="BS211" s="37">
        <f>SUMIFS('Federal Data'!AJ2:AJ501,'Federal Data'!$F2:$F501,"Employee Contributions for Retirement and DIsability")</f>
        <v>-4631000</v>
      </c>
      <c r="BT211" s="85"/>
      <c r="BU211" s="37"/>
      <c r="BV211" s="37">
        <f>SUMIFS('Federal Data'!AK2:AK501,'Federal Data'!$F2:$F501,"Employee Contributions for Retirement and DIsability")</f>
        <v>-4594000</v>
      </c>
      <c r="BW211" s="85"/>
      <c r="BX211" s="37"/>
      <c r="BY211" s="37">
        <f>SUMIFS('Federal Data'!AL2:AL501,'Federal Data'!$F2:$F501,"Employee Contributions for Retirement and DIsability")</f>
        <v>-4459000</v>
      </c>
      <c r="BZ211" s="85"/>
      <c r="CA211" s="37"/>
      <c r="CB211" s="37">
        <f>SUMIFS('Federal Data'!AM2:AM501,'Federal Data'!$F2:$F501,"Employee Contributions for Retirement and DIsability")</f>
        <v>-4358000</v>
      </c>
      <c r="CC211" s="85"/>
      <c r="CD211" s="37"/>
      <c r="CE211" s="37">
        <f>SUMIFS('Federal Data'!AN2:AN501,'Federal Data'!$F2:$F501,"Employee Contributions for Retirement and DIsability")</f>
        <v>-4258000</v>
      </c>
      <c r="CF211" s="85"/>
      <c r="CG211" s="37"/>
      <c r="CH211" s="37">
        <f>SUMIFS('Federal Data'!AO2:AO501,'Federal Data'!$F2:$F501,"Employee Contributions for Retirement and DIsability")</f>
        <v>-4169000</v>
      </c>
      <c r="CI211" s="85"/>
      <c r="CJ211" s="37"/>
      <c r="CK211" s="37">
        <f>SUMIFS('Federal Data'!AP2:AP501,'Federal Data'!$F2:$F501,"Employee Contributions for Retirement and DIsability")</f>
        <v>-4143000</v>
      </c>
      <c r="CL211" s="85"/>
      <c r="CM211" s="37"/>
      <c r="CN211" s="37">
        <f>SUMIFS('Federal Data'!AQ2:AQ501,'Federal Data'!$F2:$F501,"Employee Contributions for Retirement and DIsability")</f>
        <v>-4097000</v>
      </c>
      <c r="CO211" s="85"/>
      <c r="CP211" s="37"/>
      <c r="CQ211" s="37">
        <f>SUMIFS('Federal Data'!AR2:AR501,'Federal Data'!$F2:$F501,"Employee Contributions for Retirement and DIsability")</f>
        <v>-4035000</v>
      </c>
      <c r="CR211" s="85"/>
      <c r="CS211" s="37"/>
      <c r="CT211" s="37">
        <f>SUMIFS('Federal Data'!AS2:AS501,'Federal Data'!$F2:$F501,"Employee Contributions for Retirement and DIsability")</f>
        <v>-3740000</v>
      </c>
      <c r="CU211" s="85"/>
      <c r="CV211" s="37"/>
      <c r="CW211" s="37">
        <f>SUMIFS('Federal Data'!AT2:AT501,'Federal Data'!$F2:$F501,"Employee Contributions for Retirement and DIsability")</f>
        <v>-3564000</v>
      </c>
      <c r="CX211" s="85"/>
      <c r="CY211" s="37"/>
      <c r="CZ211" s="37">
        <f>SUMIFS('Federal Data'!AU2:AU501,'Federal Data'!$F2:$F501,"Employee Contributions for Retirement and DIsability")</f>
        <v>-3472000</v>
      </c>
      <c r="DA211" s="85"/>
      <c r="DB211" s="37"/>
      <c r="DC211" s="37">
        <f>SUMIFS('Federal Data'!AV2:AV501,'Federal Data'!$F2:$F501,"Employee Contributions for Retirement and DIsability")</f>
        <v>-3652000</v>
      </c>
      <c r="DD211" s="85"/>
      <c r="DE211" s="37"/>
    </row>
    <row r="212" spans="1:113" outlineLevel="1">
      <c r="A212" s="27" t="s">
        <v>255</v>
      </c>
      <c r="B212" s="37">
        <f>SUMIFS('Federal Data'!M2:M501,'Federal Data'!$F2:$F501,"Employee Retirement and Disability Benefits",'Federal Data'!$D2:$D501,"Nongrant")</f>
        <v>27291545</v>
      </c>
      <c r="C212" s="85"/>
      <c r="D212" s="37"/>
      <c r="E212" s="37">
        <f>SUMIFS('Federal Data'!N2:N501,'Federal Data'!$F2:$F501,"Employee Retirement and Disability Benefits",'Federal Data'!$D2:$D501,"Nongrant")</f>
        <v>32183775</v>
      </c>
      <c r="F212" s="85"/>
      <c r="G212" s="37"/>
      <c r="H212" s="37">
        <f>SUMIFS('Federal Data'!O2:O501,'Federal Data'!$F2:$F501,"Employee Retirement and Disability Benefits",'Federal Data'!$D2:$D501,"Nongrant")</f>
        <v>35373841</v>
      </c>
      <c r="I212" s="85"/>
      <c r="J212" s="37"/>
      <c r="K212" s="37">
        <f>SUMIFS('Federal Data'!P2:P501,'Federal Data'!$F2:$F501,"Employee Retirement and Disability Benefits",'Federal Data'!$D2:$D501,"Nongrant")</f>
        <v>37623621</v>
      </c>
      <c r="L212" s="85"/>
      <c r="M212" s="37"/>
      <c r="N212" s="37">
        <f>SUMIFS('Federal Data'!Q2:Q501,'Federal Data'!$F2:$F501,"Employee Retirement and Disability Benefits",'Federal Data'!$D2:$D501,"Nongrant")</f>
        <v>39494300</v>
      </c>
      <c r="O212" s="85"/>
      <c r="P212" s="37"/>
      <c r="Q212" s="37">
        <f>SUMIFS('Federal Data'!R2:R501,'Federal Data'!$F2:$F501,"Employee Retirement and Disability Benefits",'Federal Data'!$D2:$D501,"Nongrant")</f>
        <v>39912061</v>
      </c>
      <c r="R212" s="85"/>
      <c r="S212" s="37"/>
      <c r="T212" s="37">
        <f>SUMIFS('Federal Data'!S2:S501,'Federal Data'!$F2:$F501,"Employee Retirement and Disability Benefits",'Federal Data'!$D2:$D501,"Nongrant")</f>
        <v>42109868</v>
      </c>
      <c r="U212" s="85"/>
      <c r="V212" s="37"/>
      <c r="W212" s="37">
        <f>SUMIFS('Federal Data'!T2:T501,'Federal Data'!$F2:$F501,"Employee Retirement and Disability Benefits",'Federal Data'!$D2:$D501,"Nongrant")</f>
        <v>45663822</v>
      </c>
      <c r="X212" s="85"/>
      <c r="Y212" s="37"/>
      <c r="Z212" s="37">
        <f>SUMIFS('Federal Data'!U2:U501,'Federal Data'!$F2:$F501,"Employee Retirement and Disability Benefits",'Federal Data'!$D2:$D501,"Nongrant")</f>
        <v>48765083</v>
      </c>
      <c r="AA212" s="85"/>
      <c r="AB212" s="37"/>
      <c r="AC212" s="37">
        <f>SUMIFS('Federal Data'!V2:V501,'Federal Data'!$F2:$F501,"Employee Retirement and Disability Benefits",'Federal Data'!$D2:$D501,"Nongrant")</f>
        <v>49928918</v>
      </c>
      <c r="AD212" s="85"/>
      <c r="AE212" s="37"/>
      <c r="AF212" s="37">
        <f>SUMIFS('Federal Data'!W2:W501,'Federal Data'!$F2:$F501,"Employee Retirement and Disability Benefits",'Federal Data'!$D2:$D501,"Nongrant")</f>
        <v>53784454</v>
      </c>
      <c r="AG212" s="85"/>
      <c r="AH212" s="37"/>
      <c r="AI212" s="37">
        <f>SUMIFS('Federal Data'!X2:X501,'Federal Data'!$F2:$F501,"Employee Retirement and Disability Benefits",'Federal Data'!$D2:$D501,"Nongrant")</f>
        <v>58578259</v>
      </c>
      <c r="AJ212" s="85"/>
      <c r="AK212" s="37"/>
      <c r="AL212" s="37">
        <f>SUMIFS('Federal Data'!Y2:Y501,'Federal Data'!$F2:$F501,"Employee Retirement and Disability Benefits",'Federal Data'!$D2:$D501,"Nongrant")</f>
        <v>60725666</v>
      </c>
      <c r="AM212" s="85"/>
      <c r="AN212" s="37"/>
      <c r="AO212" s="37">
        <f>SUMIFS('Federal Data'!Z2:Z501,'Federal Data'!$F2:$F501,"Employee Retirement and Disability Benefits",'Federal Data'!$D2:$D501,"Nongrant")</f>
        <v>63105146</v>
      </c>
      <c r="AP212" s="85"/>
      <c r="AQ212" s="37"/>
      <c r="AR212" s="37">
        <f>SUMIFS('Federal Data'!AA2:AA501,'Federal Data'!$F2:$F501,"Employee Retirement and Disability Benefits",'Federal Data'!$D2:$D501,"Nongrant")</f>
        <v>65940147</v>
      </c>
      <c r="AS212" s="85"/>
      <c r="AT212" s="37"/>
      <c r="AU212" s="37">
        <f>SUMIFS('Federal Data'!AB2:AB501,'Federal Data'!$F2:$F501,"Employee Retirement and Disability Benefits",'Federal Data'!$D2:$D501,"Nongrant")</f>
        <v>69728000</v>
      </c>
      <c r="AV212" s="85"/>
      <c r="AW212" s="37"/>
      <c r="AX212" s="37">
        <f>SUMIFS('Federal Data'!AC2:AC501,'Federal Data'!$F2:$F501,"Employee Retirement and Disability Benefits",'Federal Data'!$D2:$D501,"Nongrant")</f>
        <v>72395000</v>
      </c>
      <c r="AY212" s="85"/>
      <c r="AZ212" s="37"/>
      <c r="BA212" s="37">
        <f>SUMIFS('Federal Data'!AD2:AD501,'Federal Data'!$F2:$F501,"Employee Retirement and Disability Benefits",'Federal Data'!$D2:$D501,"Nongrant")</f>
        <v>76359000</v>
      </c>
      <c r="BB212" s="85"/>
      <c r="BC212" s="37"/>
      <c r="BD212" s="37">
        <f>SUMIFS('Federal Data'!AE2:AE501,'Federal Data'!$F2:$F501,"Employee Retirement and Disability Benefits",'Federal Data'!$D2:$D501,"Nongrant")</f>
        <v>78205000</v>
      </c>
      <c r="BE212" s="85"/>
      <c r="BF212" s="37"/>
      <c r="BG212" s="37">
        <f>SUMIFS('Federal Data'!AF2:AF501,'Federal Data'!$F2:$F501,"Employee Retirement and Disability Benefits",'Federal Data'!$D2:$D501,"Nongrant")</f>
        <v>80219000</v>
      </c>
      <c r="BH212" s="85"/>
      <c r="BI212" s="37"/>
      <c r="BJ212" s="37">
        <f>SUMIFS('Federal Data'!AG2:AG501,'Federal Data'!$F2:$F501,"Employee Retirement and Disability Benefits",'Federal Data'!$D2:$D501,"Nongrant")</f>
        <v>82209000</v>
      </c>
      <c r="BK212" s="85"/>
      <c r="BL212" s="37"/>
      <c r="BM212" s="37">
        <f>SUMIFS('Federal Data'!AH2:AH501,'Federal Data'!$F2:$F501,"Employee Retirement and Disability Benefits",'Federal Data'!$D2:$D501,"Nongrant")</f>
        <v>85955000</v>
      </c>
      <c r="BN212" s="85"/>
      <c r="BO212" s="37"/>
      <c r="BP212" s="37">
        <f>SUMIFS('Federal Data'!AI2:AI501,'Federal Data'!$F2:$F501,"Employee Retirement and Disability Benefits",'Federal Data'!$D2:$D501,"Nongrant")</f>
        <v>88726000</v>
      </c>
      <c r="BQ212" s="85"/>
      <c r="BR212" s="37"/>
      <c r="BS212" s="37">
        <f>SUMIFS('Federal Data'!AJ2:AJ501,'Federal Data'!$F2:$F501,"Employee Retirement and Disability Benefits",'Federal Data'!$D2:$D501,"Nongrant")</f>
        <v>94896000</v>
      </c>
      <c r="BT212" s="85"/>
      <c r="BU212" s="37"/>
      <c r="BV212" s="37">
        <f>SUMIFS('Federal Data'!AK2:AK501,'Federal Data'!$F2:$F501,"Employee Retirement and Disability Benefits",'Federal Data'!$D2:$D501,"Nongrant")</f>
        <v>99772000</v>
      </c>
      <c r="BW212" s="85"/>
      <c r="BX212" s="37"/>
      <c r="BY212" s="37">
        <f>SUMIFS('Federal Data'!AL2:AL501,'Federal Data'!$F2:$F501,"Employee Retirement and Disability Benefits",'Federal Data'!$D2:$D501,"Nongrant")</f>
        <v>106036000</v>
      </c>
      <c r="BZ212" s="85"/>
      <c r="CA212" s="37"/>
      <c r="CB212" s="37">
        <f>SUMIFS('Federal Data'!AM2:AM501,'Federal Data'!$F2:$F501,"Employee Retirement and Disability Benefits",'Federal Data'!$D2:$D501,"Nongrant")</f>
        <v>111780000</v>
      </c>
      <c r="CC212" s="85"/>
      <c r="CD212" s="37"/>
      <c r="CE212" s="37">
        <f>SUMIFS('Federal Data'!AN2:AN501,'Federal Data'!$F2:$F501,"Employee Retirement and Disability Benefits",'Federal Data'!$D2:$D501,"Nongrant")</f>
        <v>119412000</v>
      </c>
      <c r="CF212" s="85"/>
      <c r="CG212" s="37"/>
      <c r="CH212" s="37">
        <f>SUMIFS('Federal Data'!AO2:AO501,'Federal Data'!$F2:$F501,"Employee Retirement and Disability Benefits",'Federal Data'!$D2:$D501,"Nongrant")</f>
        <v>126354000</v>
      </c>
      <c r="CI212" s="85"/>
      <c r="CJ212" s="37"/>
      <c r="CK212" s="37">
        <f>SUMIFS('Federal Data'!AP2:AP501,'Federal Data'!$F2:$F501,"Employee Retirement and Disability Benefits",'Federal Data'!$D2:$D501,"Nongrant")</f>
        <v>136156000</v>
      </c>
      <c r="CL212" s="85"/>
      <c r="CM212" s="37"/>
      <c r="CN212" s="37">
        <f>SUMIFS('Federal Data'!AQ2:AQ501,'Federal Data'!$F2:$F501,"Employee Retirement and Disability Benefits",'Federal Data'!$D2:$D501,"Nongrant")</f>
        <v>137337000</v>
      </c>
      <c r="CO212" s="85"/>
      <c r="CP212" s="37"/>
      <c r="CQ212" s="37">
        <f>SUMIFS('Federal Data'!AR2:AR501,'Federal Data'!$F2:$F501,"Employee Retirement and Disability Benefits",'Federal Data'!$D2:$D501,"Nongrant")</f>
        <v>140749000</v>
      </c>
      <c r="CR212" s="85"/>
      <c r="CS212" s="37"/>
      <c r="CT212" s="37">
        <f>SUMIFS('Federal Data'!AS2:AS501,'Federal Data'!$F2:$F501,"Employee Retirement and Disability Benefits",'Federal Data'!$D2:$D501,"Nongrant")</f>
        <v>140183000</v>
      </c>
      <c r="CU212" s="85"/>
      <c r="CV212" s="37"/>
      <c r="CW212" s="37">
        <f>SUMIFS('Federal Data'!AT2:AT501,'Federal Data'!$F2:$F501,"Employee Retirement and Disability Benefits",'Federal Data'!$D2:$D501,"Nongrant")</f>
        <v>149200000</v>
      </c>
      <c r="CX212" s="85"/>
      <c r="CY212" s="37"/>
      <c r="CZ212" s="37">
        <f>SUMIFS('Federal Data'!AU2:AU501,'Federal Data'!$F2:$F501,"Employee Retirement and Disability Benefits",'Federal Data'!$D2:$D501,"Nongrant")</f>
        <v>155525000</v>
      </c>
      <c r="DA212" s="85"/>
      <c r="DB212" s="37"/>
      <c r="DC212" s="37">
        <f>SUMIFS('Federal Data'!AV2:AV501,'Federal Data'!$F2:$F501,"Employee Retirement and Disability Benefits",'Federal Data'!$D2:$D501,"Nongrant")</f>
        <v>161846000</v>
      </c>
      <c r="DD212" s="85"/>
      <c r="DE212" s="37"/>
    </row>
    <row r="213" spans="1:113" outlineLevel="1"/>
    <row r="214" spans="1:113" outlineLevel="1"/>
    <row r="215" spans="1:113" outlineLevel="1">
      <c r="A215" s="33" t="s">
        <v>264</v>
      </c>
    </row>
    <row r="216" spans="1:113" outlineLevel="1">
      <c r="A216" s="26"/>
    </row>
    <row r="217" spans="1:113" outlineLevel="1">
      <c r="A217" s="72" t="s">
        <v>265</v>
      </c>
      <c r="DF217" s="51"/>
    </row>
    <row r="218" spans="1:113" outlineLevel="1">
      <c r="A218" s="27" t="s">
        <v>266</v>
      </c>
      <c r="B218" s="67">
        <f>'Trust Funds'!AW13</f>
        <v>100051</v>
      </c>
      <c r="C218" s="84"/>
      <c r="D218" s="67"/>
      <c r="E218" s="67">
        <f>'Trust Funds'!AX13</f>
        <v>121572</v>
      </c>
      <c r="F218" s="84"/>
      <c r="G218" s="67"/>
      <c r="H218" s="67">
        <f>'Trust Funds'!AY13</f>
        <v>126629</v>
      </c>
      <c r="I218" s="84"/>
      <c r="J218" s="67"/>
      <c r="K218" s="67">
        <f>'Trust Funds'!AZ13</f>
        <v>150586</v>
      </c>
      <c r="L218" s="84"/>
      <c r="M218" s="67"/>
      <c r="N218" s="67">
        <f>'Trust Funds'!BA13</f>
        <v>163315</v>
      </c>
      <c r="O218" s="84"/>
      <c r="P218" s="67"/>
      <c r="Q218" s="67">
        <f>'Trust Funds'!BB13</f>
        <v>182287</v>
      </c>
      <c r="R218" s="84"/>
      <c r="S218" s="67"/>
      <c r="T218" s="67">
        <f>'Trust Funds'!BC13</f>
        <v>196368</v>
      </c>
      <c r="U218" s="84"/>
      <c r="V218" s="67"/>
      <c r="W218" s="67">
        <f>'Trust Funds'!BD13</f>
        <v>207525</v>
      </c>
      <c r="X218" s="84"/>
      <c r="Y218" s="67"/>
      <c r="Z218" s="67">
        <f>'Trust Funds'!BE13</f>
        <v>236596</v>
      </c>
      <c r="AA218" s="84"/>
      <c r="AB218" s="67"/>
      <c r="AC218" s="67">
        <f>'Trust Funds'!BF13</f>
        <v>261495</v>
      </c>
      <c r="AD218" s="84"/>
      <c r="AE218" s="67"/>
      <c r="AF218" s="67">
        <f>'Trust Funds'!BG13</f>
        <v>279599</v>
      </c>
      <c r="AG218" s="84"/>
      <c r="AH218" s="67"/>
      <c r="AI218" s="67">
        <f>'Trust Funds'!BH13</f>
        <v>295747</v>
      </c>
      <c r="AJ218" s="84"/>
      <c r="AK218" s="67"/>
      <c r="AL218" s="67">
        <f>'Trust Funds'!BI13</f>
        <v>307152</v>
      </c>
      <c r="AM218" s="84"/>
      <c r="AN218" s="67"/>
      <c r="AO218" s="67">
        <f>'Trust Funds'!BJ13</f>
        <v>319325</v>
      </c>
      <c r="AP218" s="84"/>
      <c r="AQ218" s="67"/>
      <c r="AR218" s="67">
        <f>'Trust Funds'!BK13</f>
        <v>342278</v>
      </c>
      <c r="AS218" s="84"/>
      <c r="AT218" s="67"/>
      <c r="AU218" s="67">
        <f>'Trust Funds'!BL13</f>
        <v>326085</v>
      </c>
      <c r="AV218" s="84"/>
      <c r="AW218" s="67"/>
      <c r="AX218" s="67">
        <f>'Trust Funds'!BM13</f>
        <v>356993</v>
      </c>
      <c r="AY218" s="84"/>
      <c r="AZ218" s="67"/>
      <c r="BA218" s="67">
        <f>'Trust Funds'!BN13</f>
        <v>386485</v>
      </c>
      <c r="BB218" s="84"/>
      <c r="BC218" s="67"/>
      <c r="BD218" s="67">
        <f>'Trust Funds'!BO13</f>
        <v>415687</v>
      </c>
      <c r="BE218" s="84"/>
      <c r="BF218" s="67"/>
      <c r="BG218" s="67">
        <f>'Trust Funds'!BP13</f>
        <v>446977</v>
      </c>
      <c r="BH218" s="84"/>
      <c r="BI218" s="67"/>
      <c r="BJ218" s="67">
        <f>'Trust Funds'!BQ13</f>
        <v>484259</v>
      </c>
      <c r="BK218" s="84"/>
      <c r="BL218" s="67"/>
      <c r="BM218" s="67">
        <f>'Trust Funds'!BR13</f>
        <v>513871</v>
      </c>
      <c r="BN218" s="84"/>
      <c r="BO218" s="67"/>
      <c r="BP218" s="67">
        <f>'Trust Funds'!BS13</f>
        <v>529278</v>
      </c>
      <c r="BQ218" s="84"/>
      <c r="BR218" s="67"/>
      <c r="BS218" s="67">
        <f>'Trust Funds'!BT13</f>
        <v>542361</v>
      </c>
      <c r="BT218" s="84"/>
      <c r="BU218" s="67"/>
      <c r="BV218" s="67">
        <f>'Trust Funds'!BU13</f>
        <v>556547</v>
      </c>
      <c r="BW218" s="84"/>
      <c r="BX218" s="67"/>
      <c r="BY218" s="67">
        <f>'Trust Funds'!BV13</f>
        <v>600069</v>
      </c>
      <c r="BZ218" s="84"/>
      <c r="CA218" s="67"/>
      <c r="CB218" s="67">
        <f>'Trust Funds'!BW13</f>
        <v>637622</v>
      </c>
      <c r="CC218" s="84"/>
      <c r="CD218" s="67"/>
      <c r="CE218" s="67">
        <f>'Trust Funds'!BX13</f>
        <v>666340</v>
      </c>
      <c r="CF218" s="84"/>
      <c r="CG218" s="67"/>
      <c r="CH218" s="67">
        <f>'Trust Funds'!BY13</f>
        <v>692923</v>
      </c>
      <c r="CI218" s="84"/>
      <c r="CJ218" s="67"/>
      <c r="CK218" s="67">
        <f>'Trust Funds'!BZ13</f>
        <v>697448</v>
      </c>
      <c r="CL218" s="84"/>
      <c r="CM218" s="67"/>
      <c r="CN218" s="67">
        <f>'Trust Funds'!CA13</f>
        <v>682470</v>
      </c>
      <c r="CO218" s="84"/>
      <c r="CP218" s="67"/>
      <c r="CQ218" s="67">
        <f>'Trust Funds'!CB13</f>
        <v>692650</v>
      </c>
      <c r="CR218" s="84"/>
      <c r="CS218" s="67"/>
      <c r="CT218" s="67">
        <f>'Trust Funds'!CC13</f>
        <v>729014</v>
      </c>
      <c r="CU218" s="84"/>
      <c r="CV218" s="67"/>
      <c r="CW218" s="67">
        <f>'Trust Funds'!CD13</f>
        <v>739700</v>
      </c>
      <c r="CX218" s="84"/>
      <c r="CY218" s="67"/>
      <c r="CZ218" s="67">
        <f>'Trust Funds'!CE13</f>
        <v>763308</v>
      </c>
      <c r="DA218" s="84"/>
      <c r="DB218" s="67"/>
      <c r="DC218" s="67">
        <f>'Trust Funds'!CF13</f>
        <v>795316</v>
      </c>
      <c r="DD218" s="84"/>
      <c r="DE218" s="67"/>
      <c r="DF218" s="51"/>
    </row>
    <row r="219" spans="1:113" outlineLevel="1">
      <c r="A219" s="27" t="s">
        <v>267</v>
      </c>
      <c r="B219" s="67">
        <f>'Trust Funds'!AW21</f>
        <v>103227</v>
      </c>
      <c r="C219" s="84"/>
      <c r="D219" s="67"/>
      <c r="E219" s="67">
        <f>'Trust Funds'!AX21</f>
        <v>122304</v>
      </c>
      <c r="F219" s="84"/>
      <c r="G219" s="67"/>
      <c r="H219" s="67">
        <f>'Trust Funds'!AY21</f>
        <v>137929</v>
      </c>
      <c r="I219" s="84"/>
      <c r="J219" s="67"/>
      <c r="K219" s="67">
        <f>'Trust Funds'!AZ21</f>
        <v>153989</v>
      </c>
      <c r="L219" s="84"/>
      <c r="M219" s="67"/>
      <c r="N219" s="67">
        <f>'Trust Funds'!BA21</f>
        <v>162406</v>
      </c>
      <c r="O219" s="84"/>
      <c r="P219" s="67"/>
      <c r="Q219" s="67">
        <f>'Trust Funds'!BB21</f>
        <v>171614</v>
      </c>
      <c r="R219" s="84"/>
      <c r="S219" s="67"/>
      <c r="T219" s="67">
        <f>'Trust Funds'!BC21</f>
        <v>179572</v>
      </c>
      <c r="U219" s="84"/>
      <c r="V219" s="67"/>
      <c r="W219" s="67">
        <f>'Trust Funds'!BD21</f>
        <v>186780</v>
      </c>
      <c r="X219" s="84"/>
      <c r="Y219" s="67"/>
      <c r="Z219" s="67">
        <f>'Trust Funds'!BE21</f>
        <v>197897</v>
      </c>
      <c r="AA219" s="84"/>
      <c r="AB219" s="67"/>
      <c r="AC219" s="67">
        <f>'Trust Funds'!BF21</f>
        <v>210141</v>
      </c>
      <c r="AD219" s="84"/>
      <c r="AE219" s="67"/>
      <c r="AF219" s="67">
        <f>'Trust Funds'!BG21</f>
        <v>224475</v>
      </c>
      <c r="AG219" s="84"/>
      <c r="AH219" s="67"/>
      <c r="AI219" s="67">
        <f>'Trust Funds'!BH21</f>
        <v>243774</v>
      </c>
      <c r="AJ219" s="84"/>
      <c r="AK219" s="67"/>
      <c r="AL219" s="67">
        <f>'Trust Funds'!BI21</f>
        <v>256290</v>
      </c>
      <c r="AM219" s="84"/>
      <c r="AN219" s="67"/>
      <c r="AO219" s="67">
        <f>'Trust Funds'!BJ21</f>
        <v>269960</v>
      </c>
      <c r="AP219" s="84"/>
      <c r="AQ219" s="67"/>
      <c r="AR219" s="67">
        <f>'Trust Funds'!BK21</f>
        <v>281586</v>
      </c>
      <c r="AS219" s="84"/>
      <c r="AT219" s="67"/>
      <c r="AU219" s="67">
        <f>'Trust Funds'!BL21</f>
        <v>294474</v>
      </c>
      <c r="AV219" s="84"/>
      <c r="AW219" s="67"/>
      <c r="AX219" s="67">
        <f>'Trust Funds'!BM21</f>
        <v>305461</v>
      </c>
      <c r="AY219" s="84"/>
      <c r="AZ219" s="67"/>
      <c r="BA219" s="67">
        <f>'Trust Funds'!BN21</f>
        <v>318569</v>
      </c>
      <c r="BB219" s="84"/>
      <c r="BC219" s="67"/>
      <c r="BD219" s="67">
        <f>'Trust Funds'!BO21</f>
        <v>329769</v>
      </c>
      <c r="BE219" s="84"/>
      <c r="BF219" s="67"/>
      <c r="BG219" s="67">
        <f>'Trust Funds'!BP21</f>
        <v>337915</v>
      </c>
      <c r="BH219" s="84"/>
      <c r="BI219" s="67"/>
      <c r="BJ219" s="67">
        <f>'Trust Funds'!BQ21</f>
        <v>353427</v>
      </c>
      <c r="BK219" s="84"/>
      <c r="BL219" s="67"/>
      <c r="BM219" s="67">
        <f>'Trust Funds'!BR21</f>
        <v>373043</v>
      </c>
      <c r="BN219" s="84"/>
      <c r="BO219" s="67"/>
      <c r="BP219" s="67">
        <f>'Trust Funds'!BS21</f>
        <v>389581</v>
      </c>
      <c r="BQ219" s="84"/>
      <c r="BR219" s="67"/>
      <c r="BS219" s="67">
        <f>'Trust Funds'!BT21</f>
        <v>402698</v>
      </c>
      <c r="BT219" s="84"/>
      <c r="BU219" s="67"/>
      <c r="BV219" s="67">
        <f>'Trust Funds'!BU21</f>
        <v>417305</v>
      </c>
      <c r="BW219" s="84"/>
      <c r="BX219" s="67"/>
      <c r="BY219" s="67">
        <f>'Trust Funds'!BV21</f>
        <v>436830</v>
      </c>
      <c r="BZ219" s="84"/>
      <c r="CA219" s="67"/>
      <c r="CB219" s="67">
        <f>'Trust Funds'!BW21</f>
        <v>461063</v>
      </c>
      <c r="CC219" s="84"/>
      <c r="CD219" s="67"/>
      <c r="CE219" s="67">
        <f>'Trust Funds'!BX21</f>
        <v>486312</v>
      </c>
      <c r="CF219" s="84"/>
      <c r="CG219" s="67"/>
      <c r="CH219" s="67">
        <f>'Trust Funds'!BY21</f>
        <v>509920</v>
      </c>
      <c r="CI219" s="84"/>
      <c r="CJ219" s="67"/>
      <c r="CK219" s="67">
        <f>'Trust Funds'!BZ21</f>
        <v>551664</v>
      </c>
      <c r="CL219" s="84"/>
      <c r="CM219" s="67"/>
      <c r="CN219" s="67">
        <f>'Trust Funds'!CA21</f>
        <v>579928</v>
      </c>
      <c r="CO219" s="84"/>
      <c r="CP219" s="67"/>
      <c r="CQ219" s="67">
        <f>'Trust Funds'!CB21</f>
        <v>599372</v>
      </c>
      <c r="CR219" s="84"/>
      <c r="CS219" s="67"/>
      <c r="CT219" s="67">
        <f>'Trust Funds'!CC21</f>
        <v>634732</v>
      </c>
      <c r="CU219" s="84"/>
      <c r="CV219" s="67"/>
      <c r="CW219" s="67">
        <f>'Trust Funds'!CD21</f>
        <v>670586</v>
      </c>
      <c r="CX219" s="84"/>
      <c r="CY219" s="67"/>
      <c r="CZ219" s="67">
        <f>'Trust Funds'!CE21</f>
        <v>705928</v>
      </c>
      <c r="DA219" s="84"/>
      <c r="DB219" s="67"/>
      <c r="DC219" s="67">
        <f>'Trust Funds'!CF21</f>
        <v>741461</v>
      </c>
      <c r="DD219" s="84"/>
      <c r="DE219" s="67"/>
      <c r="DF219" s="51"/>
      <c r="DG219" s="51"/>
    </row>
    <row r="220" spans="1:113" s="24" customFormat="1" outlineLevel="1">
      <c r="A220" s="69" t="s">
        <v>268</v>
      </c>
      <c r="B220" s="70">
        <f>'Trust Funds'!AW22</f>
        <v>-3176</v>
      </c>
      <c r="C220" s="83"/>
      <c r="D220" s="70"/>
      <c r="E220" s="70">
        <f>'Trust Funds'!AX22</f>
        <v>-733</v>
      </c>
      <c r="F220" s="83"/>
      <c r="G220" s="70"/>
      <c r="H220" s="70">
        <f>'Trust Funds'!AY22</f>
        <v>-11300</v>
      </c>
      <c r="I220" s="83"/>
      <c r="J220" s="70"/>
      <c r="K220" s="70">
        <f>'Trust Funds'!AZ22</f>
        <v>-3403</v>
      </c>
      <c r="L220" s="83"/>
      <c r="M220" s="70"/>
      <c r="N220" s="70">
        <f>'Trust Funds'!BA22</f>
        <v>909</v>
      </c>
      <c r="O220" s="83"/>
      <c r="P220" s="70"/>
      <c r="Q220" s="70">
        <f>'Trust Funds'!BB22</f>
        <v>10673</v>
      </c>
      <c r="R220" s="83"/>
      <c r="S220" s="70"/>
      <c r="T220" s="70">
        <f>'Trust Funds'!BC22</f>
        <v>16797</v>
      </c>
      <c r="U220" s="83"/>
      <c r="V220" s="70"/>
      <c r="W220" s="70">
        <f>'Trust Funds'!BD22</f>
        <v>20745</v>
      </c>
      <c r="X220" s="83"/>
      <c r="Y220" s="70"/>
      <c r="Z220" s="70">
        <f>'Trust Funds'!BE22</f>
        <v>38700</v>
      </c>
      <c r="AA220" s="83"/>
      <c r="AB220" s="70"/>
      <c r="AC220" s="70">
        <f>'Trust Funds'!BF22</f>
        <v>51354</v>
      </c>
      <c r="AD220" s="83"/>
      <c r="AE220" s="70"/>
      <c r="AF220" s="70">
        <f>'Trust Funds'!BG22</f>
        <v>55125</v>
      </c>
      <c r="AG220" s="83"/>
      <c r="AH220" s="70"/>
      <c r="AI220" s="70">
        <f>'Trust Funds'!BH22</f>
        <v>51972</v>
      </c>
      <c r="AJ220" s="83"/>
      <c r="AK220" s="70"/>
      <c r="AL220" s="70">
        <f>'Trust Funds'!BI22</f>
        <v>50862</v>
      </c>
      <c r="AM220" s="83"/>
      <c r="AN220" s="70"/>
      <c r="AO220" s="70">
        <f>'Trust Funds'!BJ22</f>
        <v>49364</v>
      </c>
      <c r="AP220" s="83"/>
      <c r="AQ220" s="70"/>
      <c r="AR220" s="70">
        <f>'Trust Funds'!BK22</f>
        <v>60691</v>
      </c>
      <c r="AS220" s="83"/>
      <c r="AT220" s="70"/>
      <c r="AU220" s="70">
        <f>'Trust Funds'!BL22</f>
        <v>31611</v>
      </c>
      <c r="AV220" s="83"/>
      <c r="AW220" s="70"/>
      <c r="AX220" s="70">
        <f>'Trust Funds'!BM22</f>
        <v>51532</v>
      </c>
      <c r="AY220" s="83"/>
      <c r="AZ220" s="70"/>
      <c r="BA220" s="70">
        <f>'Trust Funds'!BN22</f>
        <v>67916</v>
      </c>
      <c r="BB220" s="83"/>
      <c r="BC220" s="70"/>
      <c r="BD220" s="70">
        <f>'Trust Funds'!BO22</f>
        <v>85918</v>
      </c>
      <c r="BE220" s="83"/>
      <c r="BF220" s="70"/>
      <c r="BG220" s="70">
        <f>'Trust Funds'!BP22</f>
        <v>109062</v>
      </c>
      <c r="BH220" s="83"/>
      <c r="BI220" s="70"/>
      <c r="BJ220" s="70">
        <f>'Trust Funds'!BQ22</f>
        <v>130832</v>
      </c>
      <c r="BK220" s="83"/>
      <c r="BL220" s="70"/>
      <c r="BM220" s="70">
        <f>'Trust Funds'!BR22</f>
        <v>140828</v>
      </c>
      <c r="BN220" s="83"/>
      <c r="BO220" s="70"/>
      <c r="BP220" s="70">
        <f>'Trust Funds'!BS22</f>
        <v>139697</v>
      </c>
      <c r="BQ220" s="83"/>
      <c r="BR220" s="70"/>
      <c r="BS220" s="70">
        <f>'Trust Funds'!BT22</f>
        <v>139663</v>
      </c>
      <c r="BT220" s="83"/>
      <c r="BU220" s="70"/>
      <c r="BV220" s="70">
        <f>'Trust Funds'!BU22</f>
        <v>139242</v>
      </c>
      <c r="BW220" s="83"/>
      <c r="BX220" s="70"/>
      <c r="BY220" s="70">
        <f>'Trust Funds'!BV22</f>
        <v>163239</v>
      </c>
      <c r="BZ220" s="83"/>
      <c r="CA220" s="70"/>
      <c r="CB220" s="70">
        <f>'Trust Funds'!BW22</f>
        <v>176559</v>
      </c>
      <c r="CC220" s="83"/>
      <c r="CD220" s="70"/>
      <c r="CE220" s="70">
        <f>'Trust Funds'!BX22</f>
        <v>180028</v>
      </c>
      <c r="CF220" s="83"/>
      <c r="CG220" s="70"/>
      <c r="CH220" s="70">
        <f>'Trust Funds'!BY22</f>
        <v>183003</v>
      </c>
      <c r="CI220" s="83"/>
      <c r="CJ220" s="70"/>
      <c r="CK220" s="70">
        <f>'Trust Funds'!BZ22</f>
        <v>145784</v>
      </c>
      <c r="CL220" s="83"/>
      <c r="CM220" s="70"/>
      <c r="CN220" s="70">
        <f>'Trust Funds'!CA22</f>
        <v>102542</v>
      </c>
      <c r="CO220" s="83"/>
      <c r="CP220" s="70"/>
      <c r="CQ220" s="70">
        <f>'Trust Funds'!CB22</f>
        <v>93278</v>
      </c>
      <c r="CR220" s="83"/>
      <c r="CS220" s="70"/>
      <c r="CT220" s="70">
        <f>'Trust Funds'!CC22</f>
        <v>94282</v>
      </c>
      <c r="CU220" s="83"/>
      <c r="CV220" s="70"/>
      <c r="CW220" s="70">
        <f>'Trust Funds'!CD22</f>
        <v>69114</v>
      </c>
      <c r="CX220" s="83"/>
      <c r="CY220" s="70"/>
      <c r="CZ220" s="70">
        <f>'Trust Funds'!CE22</f>
        <v>57380</v>
      </c>
      <c r="DA220" s="83"/>
      <c r="DB220" s="70"/>
      <c r="DC220" s="70">
        <f>'Trust Funds'!CF22</f>
        <v>53855</v>
      </c>
      <c r="DD220" s="83"/>
      <c r="DE220" s="70"/>
      <c r="DF220" s="68"/>
    </row>
    <row r="221" spans="1:113" outlineLevel="1">
      <c r="A221" s="26"/>
      <c r="B221" s="67"/>
      <c r="C221" s="84"/>
      <c r="D221" s="67"/>
      <c r="E221" s="67"/>
      <c r="F221" s="84"/>
      <c r="G221" s="67"/>
      <c r="H221" s="67"/>
      <c r="I221" s="84"/>
      <c r="J221" s="67"/>
      <c r="K221" s="67"/>
      <c r="L221" s="84"/>
      <c r="M221" s="67"/>
      <c r="N221" s="67"/>
      <c r="O221" s="84"/>
      <c r="P221" s="67"/>
      <c r="Q221" s="67"/>
      <c r="R221" s="84"/>
      <c r="S221" s="67"/>
      <c r="T221" s="67"/>
      <c r="U221" s="84"/>
      <c r="V221" s="67"/>
      <c r="W221" s="67"/>
      <c r="X221" s="84"/>
      <c r="Y221" s="67"/>
      <c r="Z221" s="67"/>
      <c r="AA221" s="84"/>
      <c r="AB221" s="67"/>
      <c r="AC221" s="67"/>
      <c r="AD221" s="84"/>
      <c r="AE221" s="67"/>
      <c r="AF221" s="67"/>
      <c r="AG221" s="84"/>
      <c r="AH221" s="67"/>
      <c r="AI221" s="67"/>
      <c r="AJ221" s="84"/>
      <c r="AK221" s="67"/>
      <c r="AL221" s="67"/>
      <c r="AM221" s="84"/>
      <c r="AN221" s="67"/>
      <c r="AO221" s="67"/>
      <c r="AP221" s="84"/>
      <c r="AQ221" s="67"/>
      <c r="AR221" s="67"/>
      <c r="AS221" s="84"/>
      <c r="AT221" s="67"/>
      <c r="AU221" s="67"/>
      <c r="AV221" s="84"/>
      <c r="AW221" s="67"/>
      <c r="AX221" s="67"/>
      <c r="AY221" s="84"/>
      <c r="AZ221" s="67"/>
      <c r="BA221" s="67"/>
      <c r="BB221" s="84"/>
      <c r="BC221" s="67"/>
      <c r="BD221" s="67"/>
      <c r="BE221" s="84"/>
      <c r="BF221" s="67"/>
      <c r="BG221" s="67"/>
      <c r="BH221" s="84"/>
      <c r="BI221" s="67"/>
      <c r="BJ221" s="67"/>
      <c r="BK221" s="84"/>
      <c r="BL221" s="67"/>
      <c r="BM221" s="67"/>
      <c r="BN221" s="84"/>
      <c r="BO221" s="67"/>
      <c r="BP221" s="67"/>
      <c r="BQ221" s="84"/>
      <c r="BR221" s="67"/>
      <c r="BS221" s="67"/>
      <c r="BT221" s="84"/>
      <c r="BU221" s="67"/>
      <c r="BV221" s="67"/>
      <c r="BW221" s="84"/>
      <c r="BX221" s="67"/>
      <c r="BY221" s="67"/>
      <c r="BZ221" s="84"/>
      <c r="CA221" s="67"/>
      <c r="CB221" s="67"/>
      <c r="CC221" s="84"/>
      <c r="CD221" s="67"/>
      <c r="CE221" s="67"/>
      <c r="CF221" s="84"/>
      <c r="CG221" s="67"/>
      <c r="CH221" s="67"/>
      <c r="CI221" s="84"/>
      <c r="CJ221" s="67"/>
      <c r="CK221" s="67"/>
      <c r="CL221" s="84"/>
      <c r="CM221" s="67"/>
      <c r="CN221" s="67"/>
      <c r="CO221" s="84"/>
      <c r="CP221" s="67"/>
      <c r="CQ221" s="67"/>
      <c r="CR221" s="84"/>
      <c r="CS221" s="67"/>
      <c r="CT221" s="67"/>
      <c r="CU221" s="84"/>
      <c r="CV221" s="67"/>
      <c r="CW221" s="67"/>
      <c r="CX221" s="84"/>
      <c r="CY221" s="67"/>
      <c r="CZ221" s="67"/>
      <c r="DA221" s="84"/>
      <c r="DB221" s="67"/>
      <c r="DC221" s="67"/>
      <c r="DD221" s="84"/>
      <c r="DE221" s="67"/>
      <c r="DF221" s="51"/>
    </row>
    <row r="222" spans="1:113" outlineLevel="1">
      <c r="A222" s="72" t="s">
        <v>269</v>
      </c>
      <c r="B222" s="67"/>
      <c r="C222" s="84"/>
      <c r="D222" s="67"/>
      <c r="E222" s="67"/>
      <c r="F222" s="84"/>
      <c r="G222" s="67"/>
      <c r="H222" s="67"/>
      <c r="I222" s="84"/>
      <c r="J222" s="67"/>
      <c r="K222" s="67"/>
      <c r="L222" s="84"/>
      <c r="M222" s="67"/>
      <c r="N222" s="67"/>
      <c r="O222" s="84"/>
      <c r="P222" s="67"/>
      <c r="Q222" s="67"/>
      <c r="R222" s="84"/>
      <c r="S222" s="67"/>
      <c r="T222" s="67"/>
      <c r="U222" s="84"/>
      <c r="V222" s="67"/>
      <c r="W222" s="67"/>
      <c r="X222" s="84"/>
      <c r="Y222" s="67"/>
      <c r="Z222" s="67"/>
      <c r="AA222" s="84"/>
      <c r="AB222" s="67"/>
      <c r="AC222" s="67"/>
      <c r="AD222" s="84"/>
      <c r="AE222" s="67"/>
      <c r="AF222" s="67"/>
      <c r="AG222" s="84"/>
      <c r="AH222" s="67"/>
      <c r="AI222" s="67"/>
      <c r="AJ222" s="84"/>
      <c r="AK222" s="67"/>
      <c r="AL222" s="67"/>
      <c r="AM222" s="84"/>
      <c r="AN222" s="67"/>
      <c r="AO222" s="67"/>
      <c r="AP222" s="84"/>
      <c r="AQ222" s="67"/>
      <c r="AR222" s="67"/>
      <c r="AS222" s="84"/>
      <c r="AT222" s="67"/>
      <c r="AU222" s="67"/>
      <c r="AV222" s="84"/>
      <c r="AW222" s="67"/>
      <c r="AX222" s="67"/>
      <c r="AY222" s="84"/>
      <c r="AZ222" s="67"/>
      <c r="BA222" s="67"/>
      <c r="BB222" s="84"/>
      <c r="BC222" s="67"/>
      <c r="BD222" s="67"/>
      <c r="BE222" s="84"/>
      <c r="BF222" s="67"/>
      <c r="BG222" s="67"/>
      <c r="BH222" s="84"/>
      <c r="BI222" s="67"/>
      <c r="BJ222" s="67"/>
      <c r="BK222" s="84"/>
      <c r="BL222" s="67"/>
      <c r="BM222" s="67"/>
      <c r="BN222" s="84"/>
      <c r="BO222" s="67"/>
      <c r="BP222" s="67"/>
      <c r="BQ222" s="84"/>
      <c r="BR222" s="67"/>
      <c r="BS222" s="67"/>
      <c r="BT222" s="84"/>
      <c r="BU222" s="67"/>
      <c r="BV222" s="67"/>
      <c r="BW222" s="84"/>
      <c r="BX222" s="67"/>
      <c r="BY222" s="67"/>
      <c r="BZ222" s="84"/>
      <c r="CA222" s="67"/>
      <c r="CB222" s="67"/>
      <c r="CC222" s="84"/>
      <c r="CD222" s="67"/>
      <c r="CE222" s="67"/>
      <c r="CF222" s="84"/>
      <c r="CG222" s="67"/>
      <c r="CH222" s="67"/>
      <c r="CI222" s="84"/>
      <c r="CJ222" s="67"/>
      <c r="CK222" s="67"/>
      <c r="CL222" s="84"/>
      <c r="CM222" s="67"/>
      <c r="CN222" s="67"/>
      <c r="CO222" s="84"/>
      <c r="CP222" s="67"/>
      <c r="CQ222" s="67"/>
      <c r="CR222" s="84"/>
      <c r="CS222" s="67"/>
      <c r="CT222" s="67"/>
      <c r="CU222" s="84"/>
      <c r="CV222" s="67"/>
      <c r="CW222" s="67"/>
      <c r="CX222" s="84"/>
      <c r="CY222" s="67"/>
      <c r="CZ222" s="67"/>
      <c r="DA222" s="84"/>
      <c r="DB222" s="67"/>
      <c r="DC222" s="67"/>
      <c r="DD222" s="84"/>
      <c r="DE222" s="67"/>
      <c r="DF222" s="51"/>
    </row>
    <row r="223" spans="1:113" outlineLevel="1">
      <c r="A223" s="27" t="s">
        <v>266</v>
      </c>
      <c r="B223" s="67">
        <f>'Trust Funds'!AW37</f>
        <v>17388</v>
      </c>
      <c r="C223" s="84"/>
      <c r="D223" s="67"/>
      <c r="E223" s="67">
        <f>'Trust Funds'!AX37</f>
        <v>12992</v>
      </c>
      <c r="F223" s="84"/>
      <c r="G223" s="67"/>
      <c r="H223" s="67">
        <f>'Trust Funds'!AY37</f>
        <v>21398</v>
      </c>
      <c r="I223" s="84"/>
      <c r="J223" s="67"/>
      <c r="K223" s="67">
        <f>'Trust Funds'!AZ37</f>
        <v>21907</v>
      </c>
      <c r="L223" s="84"/>
      <c r="M223" s="67"/>
      <c r="N223" s="67">
        <f>'Trust Funds'!BA37</f>
        <v>17812</v>
      </c>
      <c r="O223" s="84"/>
      <c r="P223" s="67"/>
      <c r="Q223" s="67">
        <f>'Trust Funds'!BB37</f>
        <v>18062</v>
      </c>
      <c r="R223" s="84"/>
      <c r="S223" s="67"/>
      <c r="T223" s="67">
        <f>'Trust Funds'!BC37</f>
        <v>20177</v>
      </c>
      <c r="U223" s="84"/>
      <c r="V223" s="67"/>
      <c r="W223" s="67">
        <f>'Trust Funds'!BD37</f>
        <v>20115</v>
      </c>
      <c r="X223" s="84"/>
      <c r="Y223" s="67"/>
      <c r="Z223" s="67">
        <f>'Trust Funds'!BE37</f>
        <v>22460</v>
      </c>
      <c r="AA223" s="84"/>
      <c r="AB223" s="67"/>
      <c r="AC223" s="67">
        <f>'Trust Funds'!BF37</f>
        <v>24577</v>
      </c>
      <c r="AD223" s="84"/>
      <c r="AE223" s="67"/>
      <c r="AF223" s="67">
        <f>'Trust Funds'!BG37</f>
        <v>28322</v>
      </c>
      <c r="AG223" s="84"/>
      <c r="AH223" s="67"/>
      <c r="AI223" s="67">
        <f>'Trust Funds'!BH37</f>
        <v>30135</v>
      </c>
      <c r="AJ223" s="84"/>
      <c r="AK223" s="67"/>
      <c r="AL223" s="67">
        <f>'Trust Funds'!BI37</f>
        <v>31179</v>
      </c>
      <c r="AM223" s="84"/>
      <c r="AN223" s="67"/>
      <c r="AO223" s="67">
        <f>'Trust Funds'!BJ37</f>
        <v>32065</v>
      </c>
      <c r="AP223" s="84"/>
      <c r="AQ223" s="67"/>
      <c r="AR223" s="67">
        <f>'Trust Funds'!BK37</f>
        <v>34049</v>
      </c>
      <c r="AS223" s="84"/>
      <c r="AT223" s="67"/>
      <c r="AU223" s="67">
        <f>'Trust Funds'!BL37</f>
        <v>70215</v>
      </c>
      <c r="AV223" s="84"/>
      <c r="AW223" s="67"/>
      <c r="AX223" s="67">
        <f>'Trust Funds'!BM37</f>
        <v>59434</v>
      </c>
      <c r="AY223" s="84"/>
      <c r="AZ223" s="67"/>
      <c r="BA223" s="67">
        <f>'Trust Funds'!BN37</f>
        <v>60100</v>
      </c>
      <c r="BB223" s="84"/>
      <c r="BC223" s="67"/>
      <c r="BD223" s="67">
        <f>'Trust Funds'!BO37</f>
        <v>62953</v>
      </c>
      <c r="BE223" s="84"/>
      <c r="BF223" s="67"/>
      <c r="BG223" s="67">
        <f>'Trust Funds'!BP37</f>
        <v>67791</v>
      </c>
      <c r="BH223" s="84"/>
      <c r="BI223" s="67"/>
      <c r="BJ223" s="67">
        <f>'Trust Funds'!BQ37</f>
        <v>77062</v>
      </c>
      <c r="BK223" s="84"/>
      <c r="BL223" s="67"/>
      <c r="BM223" s="67">
        <f>'Trust Funds'!BR37</f>
        <v>82980</v>
      </c>
      <c r="BN223" s="84"/>
      <c r="BO223" s="67"/>
      <c r="BP223" s="67">
        <f>'Trust Funds'!BS37</f>
        <v>85790</v>
      </c>
      <c r="BQ223" s="84"/>
      <c r="BR223" s="67"/>
      <c r="BS223" s="67">
        <f>'Trust Funds'!BT37</f>
        <v>87985</v>
      </c>
      <c r="BT223" s="84"/>
      <c r="BU223" s="67"/>
      <c r="BV223" s="67">
        <f>'Trust Funds'!BU37</f>
        <v>90185</v>
      </c>
      <c r="BW223" s="84"/>
      <c r="BX223" s="67"/>
      <c r="BY223" s="67">
        <f>'Trust Funds'!BV37</f>
        <v>96764</v>
      </c>
      <c r="BZ223" s="84"/>
      <c r="CA223" s="67"/>
      <c r="CB223" s="67">
        <f>'Trust Funds'!BW37</f>
        <v>102213</v>
      </c>
      <c r="CC223" s="84"/>
      <c r="CD223" s="67"/>
      <c r="CE223" s="67">
        <f>'Trust Funds'!BX37</f>
        <v>106446</v>
      </c>
      <c r="CF223" s="84"/>
      <c r="CG223" s="67"/>
      <c r="CH223" s="67">
        <f>'Trust Funds'!BY37</f>
        <v>109902</v>
      </c>
      <c r="CI223" s="84"/>
      <c r="CJ223" s="67"/>
      <c r="CK223" s="67">
        <f>'Trust Funds'!BZ37</f>
        <v>109652</v>
      </c>
      <c r="CL223" s="84"/>
      <c r="CM223" s="67"/>
      <c r="CN223" s="67">
        <f>'Trust Funds'!CA37</f>
        <v>105591</v>
      </c>
      <c r="CO223" s="84"/>
      <c r="CP223" s="67"/>
      <c r="CQ223" s="67">
        <f>'Trust Funds'!CB37</f>
        <v>106308</v>
      </c>
      <c r="CR223" s="84"/>
      <c r="CS223" s="67"/>
      <c r="CT223" s="67">
        <f>'Trust Funds'!CC37</f>
        <v>108931</v>
      </c>
      <c r="CU223" s="84"/>
      <c r="CV223" s="67"/>
      <c r="CW223" s="67">
        <f>'Trust Funds'!CD37</f>
        <v>111353</v>
      </c>
      <c r="CX223" s="84"/>
      <c r="CY223" s="67"/>
      <c r="CZ223" s="67">
        <f>'Trust Funds'!CE37</f>
        <v>114188</v>
      </c>
      <c r="DA223" s="84"/>
      <c r="DB223" s="67"/>
      <c r="DC223" s="67">
        <f>'Trust Funds'!CF37</f>
        <v>118036</v>
      </c>
      <c r="DD223" s="84"/>
      <c r="DE223" s="67"/>
      <c r="DF223" s="51"/>
    </row>
    <row r="224" spans="1:113" outlineLevel="1">
      <c r="A224" s="27" t="s">
        <v>267</v>
      </c>
      <c r="B224" s="67">
        <f>'Trust Funds'!AW45</f>
        <v>15332</v>
      </c>
      <c r="C224" s="84"/>
      <c r="D224" s="67"/>
      <c r="E224" s="67">
        <f>'Trust Funds'!AX45</f>
        <v>17280</v>
      </c>
      <c r="F224" s="84"/>
      <c r="G224" s="67"/>
      <c r="H224" s="67">
        <f>'Trust Funds'!AY45</f>
        <v>18035</v>
      </c>
      <c r="I224" s="84"/>
      <c r="J224" s="67"/>
      <c r="K224" s="67">
        <f>'Trust Funds'!AZ45</f>
        <v>18291</v>
      </c>
      <c r="L224" s="84"/>
      <c r="M224" s="67"/>
      <c r="N224" s="67">
        <f>'Trust Funds'!BA45</f>
        <v>18459</v>
      </c>
      <c r="O224" s="84"/>
      <c r="P224" s="67"/>
      <c r="Q224" s="67">
        <f>'Trust Funds'!BB45</f>
        <v>19372</v>
      </c>
      <c r="R224" s="84"/>
      <c r="S224" s="67"/>
      <c r="T224" s="67">
        <f>'Trust Funds'!BC45</f>
        <v>20243</v>
      </c>
      <c r="U224" s="84"/>
      <c r="V224" s="67"/>
      <c r="W224" s="67">
        <f>'Trust Funds'!BD45</f>
        <v>21290</v>
      </c>
      <c r="X224" s="84"/>
      <c r="Y224" s="67"/>
      <c r="Z224" s="67">
        <f>'Trust Funds'!BE45</f>
        <v>22360</v>
      </c>
      <c r="AA224" s="84"/>
      <c r="AB224" s="67"/>
      <c r="AC224" s="67">
        <f>'Trust Funds'!BF45</f>
        <v>23487</v>
      </c>
      <c r="AD224" s="84"/>
      <c r="AE224" s="67"/>
      <c r="AF224" s="67">
        <f>'Trust Funds'!BG45</f>
        <v>25230</v>
      </c>
      <c r="AG224" s="84"/>
      <c r="AH224" s="67"/>
      <c r="AI224" s="67">
        <f>'Trust Funds'!BH45</f>
        <v>28592</v>
      </c>
      <c r="AJ224" s="84"/>
      <c r="AK224" s="67"/>
      <c r="AL224" s="67">
        <f>'Trust Funds'!BI45</f>
        <v>31295</v>
      </c>
      <c r="AM224" s="84"/>
      <c r="AN224" s="67"/>
      <c r="AO224" s="67">
        <f>'Trust Funds'!BJ45</f>
        <v>34641</v>
      </c>
      <c r="AP224" s="84"/>
      <c r="AQ224" s="67"/>
      <c r="AR224" s="67">
        <f>'Trust Funds'!BK45</f>
        <v>37984</v>
      </c>
      <c r="AS224" s="84"/>
      <c r="AT224" s="67"/>
      <c r="AU224" s="67">
        <f>'Trust Funds'!BL45</f>
        <v>41380</v>
      </c>
      <c r="AV224" s="84"/>
      <c r="AW224" s="67"/>
      <c r="AX224" s="67">
        <f>'Trust Funds'!BM45</f>
        <v>44558</v>
      </c>
      <c r="AY224" s="84"/>
      <c r="AZ224" s="67"/>
      <c r="BA224" s="67">
        <f>'Trust Funds'!BN45</f>
        <v>46701</v>
      </c>
      <c r="BB224" s="84"/>
      <c r="BC224" s="67"/>
      <c r="BD224" s="67">
        <f>'Trust Funds'!BO45</f>
        <v>49459</v>
      </c>
      <c r="BE224" s="84"/>
      <c r="BF224" s="67"/>
      <c r="BG224" s="67">
        <f>'Trust Funds'!BP45</f>
        <v>52142</v>
      </c>
      <c r="BH224" s="84"/>
      <c r="BI224" s="67"/>
      <c r="BJ224" s="67">
        <f>'Trust Funds'!BQ45</f>
        <v>56046</v>
      </c>
      <c r="BK224" s="84"/>
      <c r="BL224" s="67"/>
      <c r="BM224" s="67">
        <f>'Trust Funds'!BR45</f>
        <v>60831</v>
      </c>
      <c r="BN224" s="84"/>
      <c r="BO224" s="67"/>
      <c r="BP224" s="67">
        <f>'Trust Funds'!BS45</f>
        <v>66432</v>
      </c>
      <c r="BQ224" s="84"/>
      <c r="BR224" s="67"/>
      <c r="BS224" s="67">
        <f>'Trust Funds'!BT45</f>
        <v>71982</v>
      </c>
      <c r="BT224" s="84"/>
      <c r="BU224" s="67"/>
      <c r="BV224" s="67">
        <f>'Trust Funds'!BU45</f>
        <v>78550</v>
      </c>
      <c r="BW224" s="84"/>
      <c r="BX224" s="67"/>
      <c r="BY224" s="67">
        <f>'Trust Funds'!BV45</f>
        <v>86468</v>
      </c>
      <c r="BZ224" s="84"/>
      <c r="CA224" s="67"/>
      <c r="CB224" s="67">
        <f>'Trust Funds'!BW45</f>
        <v>93572</v>
      </c>
      <c r="CC224" s="84"/>
      <c r="CD224" s="67"/>
      <c r="CE224" s="67">
        <f>'Trust Funds'!BX45</f>
        <v>99850</v>
      </c>
      <c r="CF224" s="84"/>
      <c r="CG224" s="67"/>
      <c r="CH224" s="67">
        <f>'Trust Funds'!BY45</f>
        <v>107240</v>
      </c>
      <c r="CI224" s="84"/>
      <c r="CJ224" s="67"/>
      <c r="CK224" s="67">
        <f>'Trust Funds'!BZ45</f>
        <v>118114</v>
      </c>
      <c r="CL224" s="84"/>
      <c r="CM224" s="67"/>
      <c r="CN224" s="67">
        <f>'Trust Funds'!CA45</f>
        <v>126423</v>
      </c>
      <c r="CO224" s="84"/>
      <c r="CP224" s="67"/>
      <c r="CQ224" s="67">
        <f>'Trust Funds'!CB45</f>
        <v>131571</v>
      </c>
      <c r="CR224" s="84"/>
      <c r="CS224" s="67"/>
      <c r="CT224" s="67">
        <f>'Trust Funds'!CC45</f>
        <v>138632</v>
      </c>
      <c r="CU224" s="84"/>
      <c r="CV224" s="67"/>
      <c r="CW224" s="67">
        <f>'Trust Funds'!CD45</f>
        <v>142847</v>
      </c>
      <c r="CX224" s="84"/>
      <c r="CY224" s="67"/>
      <c r="CZ224" s="67">
        <f>'Trust Funds'!CE45</f>
        <v>144640</v>
      </c>
      <c r="DA224" s="84"/>
      <c r="DB224" s="67"/>
      <c r="DC224" s="67">
        <f>'Trust Funds'!CF45</f>
        <v>146306</v>
      </c>
      <c r="DD224" s="84"/>
      <c r="DE224" s="67"/>
      <c r="DF224" s="51"/>
    </row>
    <row r="225" spans="1:109" s="24" customFormat="1" outlineLevel="1">
      <c r="A225" s="69" t="s">
        <v>268</v>
      </c>
      <c r="B225" s="70">
        <f>'Trust Funds'!AW46</f>
        <v>2057</v>
      </c>
      <c r="C225" s="83"/>
      <c r="D225" s="70"/>
      <c r="E225" s="70">
        <f>'Trust Funds'!AX46</f>
        <v>-4288</v>
      </c>
      <c r="F225" s="83"/>
      <c r="G225" s="70"/>
      <c r="H225" s="70">
        <f>'Trust Funds'!AY46</f>
        <v>3363</v>
      </c>
      <c r="I225" s="83"/>
      <c r="J225" s="70"/>
      <c r="K225" s="70">
        <f>'Trust Funds'!AZ46</f>
        <v>3615</v>
      </c>
      <c r="L225" s="83"/>
      <c r="M225" s="70"/>
      <c r="N225" s="70">
        <f>'Trust Funds'!BA46</f>
        <v>-647</v>
      </c>
      <c r="O225" s="83"/>
      <c r="P225" s="70"/>
      <c r="Q225" s="70">
        <f>'Trust Funds'!BB46</f>
        <v>-1310</v>
      </c>
      <c r="R225" s="83"/>
      <c r="S225" s="70"/>
      <c r="T225" s="70">
        <f>'Trust Funds'!BC46</f>
        <v>-66</v>
      </c>
      <c r="U225" s="83"/>
      <c r="V225" s="70"/>
      <c r="W225" s="70">
        <f>'Trust Funds'!BD46</f>
        <v>-1175</v>
      </c>
      <c r="X225" s="83"/>
      <c r="Y225" s="70"/>
      <c r="Z225" s="70">
        <f>'Trust Funds'!BE46</f>
        <v>100</v>
      </c>
      <c r="AA225" s="83"/>
      <c r="AB225" s="70"/>
      <c r="AC225" s="70">
        <f>'Trust Funds'!BF46</f>
        <v>1090</v>
      </c>
      <c r="AD225" s="83"/>
      <c r="AE225" s="70"/>
      <c r="AF225" s="70">
        <f>'Trust Funds'!BG46</f>
        <v>3091</v>
      </c>
      <c r="AG225" s="83"/>
      <c r="AH225" s="70"/>
      <c r="AI225" s="70">
        <f>'Trust Funds'!BH46</f>
        <v>1543</v>
      </c>
      <c r="AJ225" s="83"/>
      <c r="AK225" s="70"/>
      <c r="AL225" s="70">
        <f>'Trust Funds'!BI46</f>
        <v>-116</v>
      </c>
      <c r="AM225" s="83"/>
      <c r="AN225" s="70"/>
      <c r="AO225" s="70">
        <f>'Trust Funds'!BJ46</f>
        <v>-2576</v>
      </c>
      <c r="AP225" s="83"/>
      <c r="AQ225" s="70"/>
      <c r="AR225" s="70">
        <f>'Trust Funds'!BK46</f>
        <v>-3935</v>
      </c>
      <c r="AS225" s="83"/>
      <c r="AT225" s="70"/>
      <c r="AU225" s="70">
        <f>'Trust Funds'!BL46</f>
        <v>28835</v>
      </c>
      <c r="AV225" s="83"/>
      <c r="AW225" s="70"/>
      <c r="AX225" s="70">
        <f>'Trust Funds'!BM46</f>
        <v>14876</v>
      </c>
      <c r="AY225" s="83"/>
      <c r="AZ225" s="70"/>
      <c r="BA225" s="70">
        <f>'Trust Funds'!BN46</f>
        <v>13399</v>
      </c>
      <c r="BB225" s="83"/>
      <c r="BC225" s="70"/>
      <c r="BD225" s="70">
        <f>'Trust Funds'!BO46</f>
        <v>13494</v>
      </c>
      <c r="BE225" s="83"/>
      <c r="BF225" s="70"/>
      <c r="BG225" s="70">
        <f>'Trust Funds'!BP46</f>
        <v>15649</v>
      </c>
      <c r="BH225" s="83"/>
      <c r="BI225" s="70"/>
      <c r="BJ225" s="70">
        <f>'Trust Funds'!BQ46</f>
        <v>21016</v>
      </c>
      <c r="BK225" s="83"/>
      <c r="BL225" s="70"/>
      <c r="BM225" s="70">
        <f>'Trust Funds'!BR46</f>
        <v>22149</v>
      </c>
      <c r="BN225" s="83"/>
      <c r="BO225" s="70"/>
      <c r="BP225" s="70">
        <f>'Trust Funds'!BS46</f>
        <v>19358</v>
      </c>
      <c r="BQ225" s="83"/>
      <c r="BR225" s="70"/>
      <c r="BS225" s="70">
        <f>'Trust Funds'!BT46</f>
        <v>16003</v>
      </c>
      <c r="BT225" s="83"/>
      <c r="BU225" s="70"/>
      <c r="BV225" s="70">
        <f>'Trust Funds'!BU46</f>
        <v>11635</v>
      </c>
      <c r="BW225" s="83"/>
      <c r="BX225" s="70"/>
      <c r="BY225" s="70">
        <f>'Trust Funds'!BV46</f>
        <v>10296</v>
      </c>
      <c r="BZ225" s="83"/>
      <c r="CA225" s="70"/>
      <c r="CB225" s="70">
        <f>'Trust Funds'!BW46</f>
        <v>8641</v>
      </c>
      <c r="CC225" s="83"/>
      <c r="CD225" s="70"/>
      <c r="CE225" s="70">
        <f>'Trust Funds'!BX46</f>
        <v>6596</v>
      </c>
      <c r="CF225" s="83"/>
      <c r="CG225" s="70"/>
      <c r="CH225" s="70">
        <f>'Trust Funds'!BY46</f>
        <v>2662</v>
      </c>
      <c r="CI225" s="83"/>
      <c r="CJ225" s="70"/>
      <c r="CK225" s="70">
        <f>'Trust Funds'!BZ46</f>
        <v>-8462</v>
      </c>
      <c r="CL225" s="83"/>
      <c r="CM225" s="70"/>
      <c r="CN225" s="70">
        <f>'Trust Funds'!CA46</f>
        <v>-20832</v>
      </c>
      <c r="CO225" s="83"/>
      <c r="CP225" s="70"/>
      <c r="CQ225" s="70">
        <f>'Trust Funds'!CB46</f>
        <v>-25263</v>
      </c>
      <c r="CR225" s="83"/>
      <c r="CS225" s="70"/>
      <c r="CT225" s="70">
        <f>'Trust Funds'!CC46</f>
        <v>-29701</v>
      </c>
      <c r="CU225" s="83"/>
      <c r="CV225" s="70"/>
      <c r="CW225" s="70">
        <f>'Trust Funds'!CD46</f>
        <v>-31494</v>
      </c>
      <c r="CX225" s="83"/>
      <c r="CY225" s="70"/>
      <c r="CZ225" s="70">
        <f>'Trust Funds'!CE46</f>
        <v>-30452</v>
      </c>
      <c r="DA225" s="83"/>
      <c r="DB225" s="70"/>
      <c r="DC225" s="70">
        <f>'Trust Funds'!CF46</f>
        <v>-28270</v>
      </c>
      <c r="DD225" s="83"/>
      <c r="DE225" s="70"/>
    </row>
    <row r="226" spans="1:109" outlineLevel="1">
      <c r="A226" s="26"/>
      <c r="B226" s="67"/>
      <c r="C226" s="84"/>
      <c r="D226" s="67"/>
      <c r="E226" s="67"/>
      <c r="F226" s="84"/>
      <c r="G226" s="67"/>
      <c r="H226" s="67"/>
      <c r="I226" s="84"/>
      <c r="J226" s="67"/>
      <c r="K226" s="67"/>
      <c r="L226" s="84"/>
      <c r="M226" s="67"/>
      <c r="N226" s="67"/>
      <c r="O226" s="84"/>
      <c r="P226" s="67"/>
      <c r="Q226" s="67"/>
      <c r="R226" s="84"/>
      <c r="S226" s="67"/>
      <c r="T226" s="67"/>
      <c r="U226" s="84"/>
      <c r="V226" s="67"/>
      <c r="W226" s="67"/>
      <c r="X226" s="84"/>
      <c r="Y226" s="67"/>
      <c r="Z226" s="67"/>
      <c r="AA226" s="84"/>
      <c r="AB226" s="67"/>
      <c r="AC226" s="67"/>
      <c r="AD226" s="84"/>
      <c r="AE226" s="67"/>
      <c r="AF226" s="67"/>
      <c r="AG226" s="84"/>
      <c r="AH226" s="67"/>
      <c r="AI226" s="67"/>
      <c r="AJ226" s="84"/>
      <c r="AK226" s="67"/>
      <c r="AL226" s="67"/>
      <c r="AM226" s="84"/>
      <c r="AN226" s="67"/>
      <c r="AO226" s="67"/>
      <c r="AP226" s="84"/>
      <c r="AQ226" s="67"/>
      <c r="AR226" s="67"/>
      <c r="AS226" s="84"/>
      <c r="AT226" s="67"/>
      <c r="AU226" s="67"/>
      <c r="AV226" s="84"/>
      <c r="AW226" s="67"/>
      <c r="AX226" s="67"/>
      <c r="AY226" s="84"/>
      <c r="AZ226" s="67"/>
      <c r="BA226" s="67"/>
      <c r="BB226" s="84"/>
      <c r="BC226" s="67"/>
      <c r="BD226" s="67"/>
      <c r="BE226" s="84"/>
      <c r="BF226" s="67"/>
      <c r="BG226" s="67"/>
      <c r="BH226" s="84"/>
      <c r="BI226" s="67"/>
      <c r="BJ226" s="67"/>
      <c r="BK226" s="84"/>
      <c r="BL226" s="67"/>
      <c r="BM226" s="67"/>
      <c r="BN226" s="84"/>
      <c r="BO226" s="67"/>
      <c r="BP226" s="67"/>
      <c r="BQ226" s="84"/>
      <c r="BR226" s="67"/>
      <c r="BS226" s="67"/>
      <c r="BT226" s="84"/>
      <c r="BU226" s="67"/>
      <c r="BV226" s="67"/>
      <c r="BW226" s="84"/>
      <c r="BX226" s="67"/>
      <c r="BY226" s="67"/>
      <c r="BZ226" s="84"/>
      <c r="CA226" s="67"/>
      <c r="CB226" s="67"/>
      <c r="CC226" s="84"/>
      <c r="CD226" s="67"/>
      <c r="CE226" s="67"/>
      <c r="CF226" s="84"/>
      <c r="CG226" s="67"/>
      <c r="CH226" s="67"/>
      <c r="CI226" s="84"/>
      <c r="CJ226" s="67"/>
      <c r="CK226" s="67"/>
      <c r="CL226" s="84"/>
      <c r="CM226" s="67"/>
      <c r="CN226" s="67"/>
      <c r="CO226" s="84"/>
      <c r="CP226" s="67"/>
      <c r="CQ226" s="67"/>
      <c r="CR226" s="84"/>
      <c r="CS226" s="67"/>
      <c r="CT226" s="67"/>
      <c r="CU226" s="84"/>
      <c r="CV226" s="67"/>
      <c r="CW226" s="67"/>
      <c r="CX226" s="84"/>
      <c r="CY226" s="67"/>
      <c r="CZ226" s="67"/>
      <c r="DA226" s="84"/>
      <c r="DB226" s="67"/>
      <c r="DC226" s="67"/>
      <c r="DD226" s="84"/>
      <c r="DE226" s="67"/>
    </row>
    <row r="227" spans="1:109" outlineLevel="1">
      <c r="A227" s="72" t="s">
        <v>270</v>
      </c>
      <c r="B227" s="67"/>
      <c r="C227" s="84"/>
      <c r="D227" s="67"/>
      <c r="E227" s="67"/>
      <c r="F227" s="84"/>
      <c r="G227" s="67"/>
      <c r="H227" s="67"/>
      <c r="I227" s="84"/>
      <c r="J227" s="67"/>
      <c r="K227" s="67"/>
      <c r="L227" s="84"/>
      <c r="M227" s="67"/>
      <c r="N227" s="67"/>
      <c r="O227" s="84"/>
      <c r="P227" s="67"/>
      <c r="Q227" s="67"/>
      <c r="R227" s="84"/>
      <c r="S227" s="67"/>
      <c r="T227" s="67"/>
      <c r="U227" s="84"/>
      <c r="V227" s="67"/>
      <c r="W227" s="67"/>
      <c r="X227" s="84"/>
      <c r="Y227" s="67"/>
      <c r="Z227" s="67"/>
      <c r="AA227" s="84"/>
      <c r="AB227" s="67"/>
      <c r="AC227" s="67"/>
      <c r="AD227" s="84"/>
      <c r="AE227" s="67"/>
      <c r="AF227" s="67"/>
      <c r="AG227" s="84"/>
      <c r="AH227" s="67"/>
      <c r="AI227" s="67"/>
      <c r="AJ227" s="84"/>
      <c r="AK227" s="67"/>
      <c r="AL227" s="67"/>
      <c r="AM227" s="84"/>
      <c r="AN227" s="67"/>
      <c r="AO227" s="67"/>
      <c r="AP227" s="84"/>
      <c r="AQ227" s="67"/>
      <c r="AR227" s="67"/>
      <c r="AS227" s="84"/>
      <c r="AT227" s="67"/>
      <c r="AU227" s="67"/>
      <c r="AV227" s="84"/>
      <c r="AW227" s="67"/>
      <c r="AX227" s="67"/>
      <c r="AY227" s="84"/>
      <c r="AZ227" s="67"/>
      <c r="BA227" s="67"/>
      <c r="BB227" s="84"/>
      <c r="BC227" s="67"/>
      <c r="BD227" s="67"/>
      <c r="BE227" s="84"/>
      <c r="BF227" s="67"/>
      <c r="BG227" s="67"/>
      <c r="BH227" s="84"/>
      <c r="BI227" s="67"/>
      <c r="BJ227" s="67"/>
      <c r="BK227" s="84"/>
      <c r="BL227" s="67"/>
      <c r="BM227" s="67"/>
      <c r="BN227" s="84"/>
      <c r="BO227" s="67"/>
      <c r="BP227" s="67"/>
      <c r="BQ227" s="84"/>
      <c r="BR227" s="67"/>
      <c r="BS227" s="67"/>
      <c r="BT227" s="84"/>
      <c r="BU227" s="67"/>
      <c r="BV227" s="67"/>
      <c r="BW227" s="84"/>
      <c r="BX227" s="67"/>
      <c r="BY227" s="67"/>
      <c r="BZ227" s="84"/>
      <c r="CA227" s="67"/>
      <c r="CB227" s="67"/>
      <c r="CC227" s="84"/>
      <c r="CD227" s="67"/>
      <c r="CE227" s="67"/>
      <c r="CF227" s="84"/>
      <c r="CG227" s="67"/>
      <c r="CH227" s="67"/>
      <c r="CI227" s="84"/>
      <c r="CJ227" s="67"/>
      <c r="CK227" s="67"/>
      <c r="CL227" s="84"/>
      <c r="CM227" s="67"/>
      <c r="CN227" s="67"/>
      <c r="CO227" s="84"/>
      <c r="CP227" s="67"/>
      <c r="CQ227" s="67"/>
      <c r="CR227" s="84"/>
      <c r="CS227" s="67"/>
      <c r="CT227" s="67"/>
      <c r="CU227" s="84"/>
      <c r="CV227" s="67"/>
      <c r="CW227" s="67"/>
      <c r="CX227" s="84"/>
      <c r="CY227" s="67"/>
      <c r="CZ227" s="67"/>
      <c r="DA227" s="84"/>
      <c r="DB227" s="67"/>
      <c r="DC227" s="67"/>
      <c r="DD227" s="84"/>
      <c r="DE227" s="67"/>
    </row>
    <row r="228" spans="1:109" outlineLevel="1">
      <c r="A228" s="27" t="s">
        <v>266</v>
      </c>
      <c r="B228" s="67">
        <f>'Trust Funds'!AW67+'Trust Funds'!AW97</f>
        <v>35690</v>
      </c>
      <c r="C228" s="84"/>
      <c r="D228" s="67"/>
      <c r="E228" s="67">
        <f>'Trust Funds'!AX67+'Trust Funds'!AX97</f>
        <v>45302</v>
      </c>
      <c r="F228" s="84"/>
      <c r="G228" s="67"/>
      <c r="H228" s="67">
        <f>'Trust Funds'!AY67+'Trust Funds'!AY97</f>
        <v>55238</v>
      </c>
      <c r="I228" s="84"/>
      <c r="J228" s="67"/>
      <c r="K228" s="67">
        <f>'Trust Funds'!AZ67+'Trust Funds'!AZ97</f>
        <v>63096</v>
      </c>
      <c r="L228" s="84"/>
      <c r="M228" s="67"/>
      <c r="N228" s="67">
        <f>'Trust Funds'!BA67+'Trust Funds'!BA97</f>
        <v>68258</v>
      </c>
      <c r="O228" s="84"/>
      <c r="P228" s="67"/>
      <c r="Q228" s="67">
        <f>'Trust Funds'!BB67+'Trust Funds'!BB97</f>
        <v>75504</v>
      </c>
      <c r="R228" s="84"/>
      <c r="S228" s="67"/>
      <c r="T228" s="67">
        <f>'Trust Funds'!BC67+'Trust Funds'!BC97</f>
        <v>81428</v>
      </c>
      <c r="U228" s="84"/>
      <c r="V228" s="67"/>
      <c r="W228" s="67">
        <f>'Trust Funds'!BD67+'Trust Funds'!BD97</f>
        <v>90532</v>
      </c>
      <c r="X228" s="84"/>
      <c r="Y228" s="67"/>
      <c r="Z228" s="67">
        <f>'Trust Funds'!BE67+'Trust Funds'!BE97</f>
        <v>103001</v>
      </c>
      <c r="AA228" s="84"/>
      <c r="AB228" s="67"/>
      <c r="AC228" s="67">
        <f>'Trust Funds'!BF67+'Trust Funds'!BF97</f>
        <v>118929</v>
      </c>
      <c r="AD228" s="84"/>
      <c r="AE228" s="67"/>
      <c r="AF228" s="67">
        <f>'Trust Funds'!BG67+'Trust Funds'!BG97</f>
        <v>125170</v>
      </c>
      <c r="AG228" s="84"/>
      <c r="AH228" s="67"/>
      <c r="AI228" s="67">
        <f>'Trust Funds'!BH67+'Trust Funds'!BH97</f>
        <v>133204</v>
      </c>
      <c r="AJ228" s="84"/>
      <c r="AK228" s="67"/>
      <c r="AL228" s="67">
        <f>'Trust Funds'!BI67+'Trust Funds'!BI97</f>
        <v>145826</v>
      </c>
      <c r="AM228" s="84"/>
      <c r="AN228" s="67"/>
      <c r="AO228" s="67">
        <f>'Trust Funds'!BJ67+'Trust Funds'!BJ97</f>
        <v>156096</v>
      </c>
      <c r="AP228" s="84"/>
      <c r="AQ228" s="67"/>
      <c r="AR228" s="67">
        <f>'Trust Funds'!BK67+'Trust Funds'!BK97</f>
        <v>163562</v>
      </c>
      <c r="AS228" s="84"/>
      <c r="AT228" s="67"/>
      <c r="AU228" s="67">
        <f>'Trust Funds'!BL67+'Trust Funds'!BL97</f>
        <v>173016</v>
      </c>
      <c r="AV228" s="84"/>
      <c r="AW228" s="67"/>
      <c r="AX228" s="67">
        <f>'Trust Funds'!BM67+'Trust Funds'!BM97</f>
        <v>205524</v>
      </c>
      <c r="AY228" s="84"/>
      <c r="AZ228" s="67"/>
      <c r="BA228" s="67">
        <f>'Trust Funds'!BN67+'Trust Funds'!BN97</f>
        <v>209355</v>
      </c>
      <c r="BB228" s="84"/>
      <c r="BC228" s="67"/>
      <c r="BD228" s="67">
        <f>'Trust Funds'!BO67+'Trust Funds'!BO97</f>
        <v>220159</v>
      </c>
      <c r="BE228" s="84"/>
      <c r="BF228" s="67"/>
      <c r="BG228" s="67">
        <f>'Trust Funds'!BP67+'Trust Funds'!BP97</f>
        <v>238293</v>
      </c>
      <c r="BH228" s="84"/>
      <c r="BI228" s="67"/>
      <c r="BJ228" s="67">
        <f>'Trust Funds'!BQ67+'Trust Funds'!BQ97</f>
        <v>248921</v>
      </c>
      <c r="BK228" s="84"/>
      <c r="BL228" s="67"/>
      <c r="BM228" s="67">
        <f>'Trust Funds'!BR67+'Trust Funds'!BR97</f>
        <v>267577</v>
      </c>
      <c r="BN228" s="84"/>
      <c r="BO228" s="67"/>
      <c r="BP228" s="67">
        <f>'Trust Funds'!BS67+'Trust Funds'!BS97</f>
        <v>285419</v>
      </c>
      <c r="BQ228" s="84"/>
      <c r="BR228" s="67"/>
      <c r="BS228" s="67">
        <f>'Trust Funds'!BT67+'Trust Funds'!BT97</f>
        <v>286010</v>
      </c>
      <c r="BT228" s="84"/>
      <c r="BU228" s="67"/>
      <c r="BV228" s="67">
        <f>'Trust Funds'!BU67+'Trust Funds'!BU97</f>
        <v>307619</v>
      </c>
      <c r="BW228" s="84"/>
      <c r="BX228" s="67"/>
      <c r="BY228" s="67">
        <f>'Trust Funds'!BV67+'Trust Funds'!BV97</f>
        <v>351971</v>
      </c>
      <c r="BZ228" s="84"/>
      <c r="CA228" s="67"/>
      <c r="CB228" s="67">
        <f>'Trust Funds'!BW67+'Trust Funds'!BW97</f>
        <v>423658</v>
      </c>
      <c r="CC228" s="84"/>
      <c r="CD228" s="67"/>
      <c r="CE228" s="67">
        <f>'Trust Funds'!BX67+'Trust Funds'!BX97</f>
        <v>462892</v>
      </c>
      <c r="CF228" s="84"/>
      <c r="CG228" s="67"/>
      <c r="CH228" s="67">
        <f>'Trust Funds'!BY67+'Trust Funds'!BY97</f>
        <v>480494</v>
      </c>
      <c r="CI228" s="84"/>
      <c r="CJ228" s="67"/>
      <c r="CK228" s="67">
        <f>'Trust Funds'!BZ67+'Trust Funds'!BZ97</f>
        <v>497109</v>
      </c>
      <c r="CL228" s="84"/>
      <c r="CM228" s="67"/>
      <c r="CN228" s="67">
        <f>'Trust Funds'!CA67+'Trust Funds'!CA97</f>
        <v>505217</v>
      </c>
      <c r="CO228" s="84"/>
      <c r="CP228" s="67"/>
      <c r="CQ228" s="67">
        <f>'Trust Funds'!CB67+'Trust Funds'!CB97</f>
        <v>533077</v>
      </c>
      <c r="CR228" s="84"/>
      <c r="CS228" s="67"/>
      <c r="CT228" s="67">
        <f>'Trust Funds'!CC67+'Trust Funds'!CC97</f>
        <v>539374</v>
      </c>
      <c r="CU228" s="84"/>
      <c r="CV228" s="67"/>
      <c r="CW228" s="67">
        <f>'Trust Funds'!CD67+'Trust Funds'!CD97</f>
        <v>566262</v>
      </c>
      <c r="CX228" s="84"/>
      <c r="CY228" s="67"/>
      <c r="CZ228" s="67">
        <f>'Trust Funds'!CE67+'Trust Funds'!CE97</f>
        <v>603720</v>
      </c>
      <c r="DA228" s="84"/>
      <c r="DB228" s="67"/>
      <c r="DC228" s="67">
        <f>'Trust Funds'!CF67+'Trust Funds'!CF97</f>
        <v>631944</v>
      </c>
      <c r="DD228" s="84"/>
      <c r="DE228" s="67"/>
    </row>
    <row r="229" spans="1:109" outlineLevel="1">
      <c r="A229" s="27" t="s">
        <v>267</v>
      </c>
      <c r="B229" s="67">
        <f>'Trust Funds'!AW75+'Trust Funds'!AW103</f>
        <v>35034</v>
      </c>
      <c r="C229" s="84"/>
      <c r="D229" s="67"/>
      <c r="E229" s="67">
        <f>'Trust Funds'!AX75+'Trust Funds'!AX103</f>
        <v>42488</v>
      </c>
      <c r="F229" s="84"/>
      <c r="G229" s="67"/>
      <c r="H229" s="67">
        <f>'Trust Funds'!AY75+'Trust Funds'!AY103</f>
        <v>50423</v>
      </c>
      <c r="I229" s="84"/>
      <c r="J229" s="67"/>
      <c r="K229" s="67">
        <f>'Trust Funds'!AZ75+'Trust Funds'!AZ103</f>
        <v>56868</v>
      </c>
      <c r="L229" s="84"/>
      <c r="M229" s="67"/>
      <c r="N229" s="67">
        <f>'Trust Funds'!BA75+'Trust Funds'!BA103</f>
        <v>62669</v>
      </c>
      <c r="O229" s="84"/>
      <c r="P229" s="67"/>
      <c r="Q229" s="67">
        <f>'Trust Funds'!BB75+'Trust Funds'!BB103</f>
        <v>71397</v>
      </c>
      <c r="R229" s="84"/>
      <c r="S229" s="67"/>
      <c r="T229" s="67">
        <f>'Trust Funds'!BC75+'Trust Funds'!BC103</f>
        <v>75902</v>
      </c>
      <c r="U229" s="84"/>
      <c r="V229" s="67"/>
      <c r="W229" s="67">
        <f>'Trust Funds'!BD75+'Trust Funds'!BD103</f>
        <v>81640</v>
      </c>
      <c r="X229" s="84"/>
      <c r="Y229" s="67"/>
      <c r="Z229" s="67">
        <f>'Trust Funds'!BE75+'Trust Funds'!BE103</f>
        <v>87677</v>
      </c>
      <c r="AA229" s="84"/>
      <c r="AB229" s="67"/>
      <c r="AC229" s="67">
        <f>'Trust Funds'!BF75+'Trust Funds'!BF103</f>
        <v>96554</v>
      </c>
      <c r="AD229" s="84"/>
      <c r="AE229" s="67"/>
      <c r="AF229" s="67">
        <f>'Trust Funds'!BG75+'Trust Funds'!BG103</f>
        <v>109709</v>
      </c>
      <c r="AG229" s="84"/>
      <c r="AH229" s="67"/>
      <c r="AI229" s="67">
        <f>'Trust Funds'!BH75+'Trust Funds'!BH103</f>
        <v>117763</v>
      </c>
      <c r="AJ229" s="84"/>
      <c r="AK229" s="67"/>
      <c r="AL229" s="67">
        <f>'Trust Funds'!BI75+'Trust Funds'!BI103</f>
        <v>132256</v>
      </c>
      <c r="AM229" s="84"/>
      <c r="AN229" s="67"/>
      <c r="AO229" s="67">
        <f>'Trust Funds'!BJ75+'Trust Funds'!BJ103</f>
        <v>145858</v>
      </c>
      <c r="AP229" s="84"/>
      <c r="AQ229" s="67"/>
      <c r="AR229" s="67">
        <f>'Trust Funds'!BK75+'Trust Funds'!BK103</f>
        <v>162494</v>
      </c>
      <c r="AS229" s="84"/>
      <c r="AT229" s="67"/>
      <c r="AU229" s="67">
        <f>'Trust Funds'!BL75+'Trust Funds'!BL103</f>
        <v>180096</v>
      </c>
      <c r="AV229" s="84"/>
      <c r="AW229" s="67"/>
      <c r="AX229" s="67">
        <f>'Trust Funds'!BM75+'Trust Funds'!BM103</f>
        <v>196629</v>
      </c>
      <c r="AY229" s="84"/>
      <c r="AZ229" s="67"/>
      <c r="BA229" s="67">
        <f>'Trust Funds'!BN75+'Trust Funds'!BN103</f>
        <v>210437</v>
      </c>
      <c r="BB229" s="84"/>
      <c r="BC229" s="67"/>
      <c r="BD229" s="67">
        <f>'Trust Funds'!BO75+'Trust Funds'!BO103</f>
        <v>213570</v>
      </c>
      <c r="BE229" s="84"/>
      <c r="BF229" s="67"/>
      <c r="BG229" s="67">
        <f>'Trust Funds'!BP75+'Trust Funds'!BP103</f>
        <v>212018</v>
      </c>
      <c r="BH229" s="84"/>
      <c r="BI229" s="67"/>
      <c r="BJ229" s="67">
        <f>'Trust Funds'!BQ75+'Trust Funds'!BQ103</f>
        <v>219022</v>
      </c>
      <c r="BK229" s="84"/>
      <c r="BL229" s="67"/>
      <c r="BM229" s="67">
        <f>'Trust Funds'!BR75+'Trust Funds'!BR103</f>
        <v>242353</v>
      </c>
      <c r="BN229" s="84"/>
      <c r="BO229" s="67"/>
      <c r="BP229" s="67">
        <f>'Trust Funds'!BS75+'Trust Funds'!BS103</f>
        <v>256838</v>
      </c>
      <c r="BQ229" s="84"/>
      <c r="BR229" s="67"/>
      <c r="BS229" s="67">
        <f>'Trust Funds'!BT75+'Trust Funds'!BT103</f>
        <v>277875</v>
      </c>
      <c r="BT229" s="84"/>
      <c r="BU229" s="67"/>
      <c r="BV229" s="67">
        <f>'Trust Funds'!BU75+'Trust Funds'!BU103</f>
        <v>301505</v>
      </c>
      <c r="BW229" s="84"/>
      <c r="BX229" s="67"/>
      <c r="BY229" s="67">
        <f>'Trust Funds'!BV75+'Trust Funds'!BV103</f>
        <v>339430</v>
      </c>
      <c r="BZ229" s="84"/>
      <c r="CA229" s="67"/>
      <c r="CB229" s="67">
        <f>'Trust Funds'!BW75+'Trust Funds'!BW103</f>
        <v>381818</v>
      </c>
      <c r="CC229" s="84"/>
      <c r="CD229" s="67"/>
      <c r="CE229" s="67">
        <f>'Trust Funds'!BX75+'Trust Funds'!BX103</f>
        <v>440756</v>
      </c>
      <c r="CF229" s="84"/>
      <c r="CG229" s="67"/>
      <c r="CH229" s="67">
        <f>'Trust Funds'!BY75+'Trust Funds'!BY103</f>
        <v>460927</v>
      </c>
      <c r="CI229" s="84"/>
      <c r="CJ229" s="67"/>
      <c r="CK229" s="67">
        <f>'Trust Funds'!BZ75+'Trust Funds'!BZ103</f>
        <v>503945</v>
      </c>
      <c r="CL229" s="84"/>
      <c r="CM229" s="67"/>
      <c r="CN229" s="67">
        <f>'Trust Funds'!CA75+'Trust Funds'!CA103</f>
        <v>525640</v>
      </c>
      <c r="CO229" s="84"/>
      <c r="CP229" s="67"/>
      <c r="CQ229" s="67">
        <f>'Trust Funds'!CB75+'Trust Funds'!CB103</f>
        <v>565340</v>
      </c>
      <c r="CR229" s="84"/>
      <c r="CS229" s="67"/>
      <c r="CT229" s="67">
        <f>'Trust Funds'!CC75+'Trust Funds'!CC103</f>
        <v>556887</v>
      </c>
      <c r="CU229" s="84"/>
      <c r="CV229" s="67"/>
      <c r="CW229" s="67">
        <f>'Trust Funds'!CD75+'Trust Funds'!CD103</f>
        <v>591201</v>
      </c>
      <c r="CX229" s="84"/>
      <c r="CY229" s="67"/>
      <c r="CZ229" s="67">
        <f>'Trust Funds'!CE75+'Trust Funds'!CE103</f>
        <v>606161</v>
      </c>
      <c r="DA229" s="84"/>
      <c r="DB229" s="67"/>
      <c r="DC229" s="67">
        <f>'Trust Funds'!CF75+'Trust Funds'!CF103</f>
        <v>640446</v>
      </c>
      <c r="DD229" s="84"/>
      <c r="DE229" s="67"/>
    </row>
    <row r="230" spans="1:109" outlineLevel="1">
      <c r="A230" s="69" t="s">
        <v>268</v>
      </c>
      <c r="B230" s="70">
        <f>'Trust Funds'!AW76+'Trust Funds'!AW104</f>
        <v>656</v>
      </c>
      <c r="C230" s="83"/>
      <c r="D230" s="70"/>
      <c r="E230" s="70">
        <f>'Trust Funds'!AX76+'Trust Funds'!AX104</f>
        <v>2814</v>
      </c>
      <c r="F230" s="83"/>
      <c r="G230" s="70"/>
      <c r="H230" s="70">
        <f>'Trust Funds'!AY76+'Trust Funds'!AY104</f>
        <v>4815</v>
      </c>
      <c r="I230" s="83"/>
      <c r="J230" s="70"/>
      <c r="K230" s="70">
        <f>'Trust Funds'!AZ76+'Trust Funds'!AZ104</f>
        <v>6228</v>
      </c>
      <c r="L230" s="83"/>
      <c r="M230" s="70"/>
      <c r="N230" s="70">
        <f>'Trust Funds'!BA76+'Trust Funds'!BA104</f>
        <v>5588</v>
      </c>
      <c r="O230" s="83"/>
      <c r="P230" s="70"/>
      <c r="Q230" s="70">
        <f>'Trust Funds'!BB76+'Trust Funds'!BB104</f>
        <v>4107</v>
      </c>
      <c r="R230" s="83"/>
      <c r="S230" s="70"/>
      <c r="T230" s="70">
        <f>'Trust Funds'!BC76+'Trust Funds'!BC104</f>
        <v>5525</v>
      </c>
      <c r="U230" s="83"/>
      <c r="V230" s="70"/>
      <c r="W230" s="70">
        <f>'Trust Funds'!BD76+'Trust Funds'!BD104</f>
        <v>8893</v>
      </c>
      <c r="X230" s="83"/>
      <c r="Y230" s="70"/>
      <c r="Z230" s="70">
        <f>'Trust Funds'!BE76+'Trust Funds'!BE104</f>
        <v>15325</v>
      </c>
      <c r="AA230" s="83"/>
      <c r="AB230" s="70"/>
      <c r="AC230" s="70">
        <f>'Trust Funds'!BF76+'Trust Funds'!BF104</f>
        <v>22375</v>
      </c>
      <c r="AD230" s="83"/>
      <c r="AE230" s="70"/>
      <c r="AF230" s="70">
        <f>'Trust Funds'!BG76+'Trust Funds'!BG104</f>
        <v>15461</v>
      </c>
      <c r="AG230" s="83"/>
      <c r="AH230" s="70"/>
      <c r="AI230" s="70">
        <f>'Trust Funds'!BH76+'Trust Funds'!BH104</f>
        <v>15441</v>
      </c>
      <c r="AJ230" s="83"/>
      <c r="AK230" s="70"/>
      <c r="AL230" s="70">
        <f>'Trust Funds'!BI76+'Trust Funds'!BI104</f>
        <v>13569</v>
      </c>
      <c r="AM230" s="83"/>
      <c r="AN230" s="70"/>
      <c r="AO230" s="70">
        <f>'Trust Funds'!BJ76+'Trust Funds'!BJ104</f>
        <v>10238</v>
      </c>
      <c r="AP230" s="83"/>
      <c r="AQ230" s="70"/>
      <c r="AR230" s="70">
        <f>'Trust Funds'!BK76+'Trust Funds'!BK104</f>
        <v>1068</v>
      </c>
      <c r="AS230" s="83"/>
      <c r="AT230" s="70"/>
      <c r="AU230" s="70">
        <f>'Trust Funds'!BL76+'Trust Funds'!BL104</f>
        <v>-7080</v>
      </c>
      <c r="AV230" s="83"/>
      <c r="AW230" s="70"/>
      <c r="AX230" s="70">
        <f>'Trust Funds'!BM76+'Trust Funds'!BM104</f>
        <v>8895</v>
      </c>
      <c r="AY230" s="83"/>
      <c r="AZ230" s="70"/>
      <c r="BA230" s="70">
        <f>'Trust Funds'!BN76+'Trust Funds'!BN104</f>
        <v>-1082</v>
      </c>
      <c r="BB230" s="83"/>
      <c r="BC230" s="70"/>
      <c r="BD230" s="70">
        <f>'Trust Funds'!BO76+'Trust Funds'!BO104</f>
        <v>6589</v>
      </c>
      <c r="BE230" s="83"/>
      <c r="BF230" s="70"/>
      <c r="BG230" s="70">
        <f>'Trust Funds'!BP76+'Trust Funds'!BP104</f>
        <v>26275</v>
      </c>
      <c r="BH230" s="83"/>
      <c r="BI230" s="70"/>
      <c r="BJ230" s="70">
        <f>'Trust Funds'!BQ76+'Trust Funds'!BQ104</f>
        <v>29899</v>
      </c>
      <c r="BK230" s="83"/>
      <c r="BL230" s="70"/>
      <c r="BM230" s="70">
        <f>'Trust Funds'!BR76+'Trust Funds'!BR104</f>
        <v>25224</v>
      </c>
      <c r="BN230" s="83"/>
      <c r="BO230" s="70"/>
      <c r="BP230" s="70">
        <f>'Trust Funds'!BS76+'Trust Funds'!BS104</f>
        <v>28581</v>
      </c>
      <c r="BQ230" s="83"/>
      <c r="BR230" s="70"/>
      <c r="BS230" s="70">
        <f>'Trust Funds'!BT76+'Trust Funds'!BT104</f>
        <v>8135</v>
      </c>
      <c r="BT230" s="83"/>
      <c r="BU230" s="70"/>
      <c r="BV230" s="70">
        <f>'Trust Funds'!BU76+'Trust Funds'!BU104</f>
        <v>6114</v>
      </c>
      <c r="BW230" s="83"/>
      <c r="BX230" s="70"/>
      <c r="BY230" s="70">
        <f>'Trust Funds'!BV76+'Trust Funds'!BV104</f>
        <v>12541</v>
      </c>
      <c r="BZ230" s="83"/>
      <c r="CA230" s="70"/>
      <c r="CB230" s="70">
        <f>'Trust Funds'!BW76+'Trust Funds'!BW104</f>
        <v>41840</v>
      </c>
      <c r="CC230" s="83"/>
      <c r="CD230" s="70"/>
      <c r="CE230" s="70">
        <f>'Trust Funds'!BX76+'Trust Funds'!BX104</f>
        <v>22136</v>
      </c>
      <c r="CF230" s="83"/>
      <c r="CG230" s="70"/>
      <c r="CH230" s="70">
        <f>'Trust Funds'!BY76+'Trust Funds'!BY104</f>
        <v>19567</v>
      </c>
      <c r="CI230" s="83"/>
      <c r="CJ230" s="70"/>
      <c r="CK230" s="70">
        <f>'Trust Funds'!BZ76+'Trust Funds'!BZ104</f>
        <v>-6836</v>
      </c>
      <c r="CL230" s="83"/>
      <c r="CM230" s="70"/>
      <c r="CN230" s="70">
        <f>'Trust Funds'!CA76+'Trust Funds'!CA104</f>
        <v>-20423</v>
      </c>
      <c r="CO230" s="83"/>
      <c r="CP230" s="70"/>
      <c r="CQ230" s="70">
        <f>'Trust Funds'!CB76+'Trust Funds'!CB104</f>
        <v>-32263</v>
      </c>
      <c r="CR230" s="83"/>
      <c r="CS230" s="70"/>
      <c r="CT230" s="70">
        <f>'Trust Funds'!CC76+'Trust Funds'!CC104</f>
        <v>-17513</v>
      </c>
      <c r="CU230" s="83"/>
      <c r="CV230" s="70"/>
      <c r="CW230" s="70">
        <f>'Trust Funds'!CD76+'Trust Funds'!CD104</f>
        <v>-24939</v>
      </c>
      <c r="CX230" s="83"/>
      <c r="CY230" s="70"/>
      <c r="CZ230" s="70">
        <f>'Trust Funds'!CE76+'Trust Funds'!CE104</f>
        <v>-2441</v>
      </c>
      <c r="DA230" s="83"/>
      <c r="DB230" s="70"/>
      <c r="DC230" s="70">
        <f>'Trust Funds'!CF76+'Trust Funds'!CF104</f>
        <v>-8502</v>
      </c>
      <c r="DD230" s="83"/>
      <c r="DE230" s="70"/>
    </row>
  </sheetData>
  <mergeCells count="37">
    <mergeCell ref="CW2:CY2"/>
    <mergeCell ref="CZ2:DB2"/>
    <mergeCell ref="DC2:DE2"/>
    <mergeCell ref="CE2:CG2"/>
    <mergeCell ref="CH2:CJ2"/>
    <mergeCell ref="CK2:CM2"/>
    <mergeCell ref="CN2:CP2"/>
    <mergeCell ref="CQ2:CS2"/>
    <mergeCell ref="CT2:CV2"/>
    <mergeCell ref="CB2:CD2"/>
    <mergeCell ref="AU2:AW2"/>
    <mergeCell ref="AX2:AZ2"/>
    <mergeCell ref="BA2:BC2"/>
    <mergeCell ref="BD2:BF2"/>
    <mergeCell ref="BG2:BI2"/>
    <mergeCell ref="BJ2:BL2"/>
    <mergeCell ref="BM2:BO2"/>
    <mergeCell ref="BP2:BR2"/>
    <mergeCell ref="BS2:BU2"/>
    <mergeCell ref="BV2:BX2"/>
    <mergeCell ref="BY2:CA2"/>
    <mergeCell ref="AR2:AT2"/>
    <mergeCell ref="B1:DE1"/>
    <mergeCell ref="B2:D2"/>
    <mergeCell ref="E2:G2"/>
    <mergeCell ref="H2:J2"/>
    <mergeCell ref="K2:M2"/>
    <mergeCell ref="N2:P2"/>
    <mergeCell ref="Q2:S2"/>
    <mergeCell ref="AL2:AN2"/>
    <mergeCell ref="AO2:AQ2"/>
    <mergeCell ref="T2:V2"/>
    <mergeCell ref="W2:Y2"/>
    <mergeCell ref="Z2:AB2"/>
    <mergeCell ref="AC2:AE2"/>
    <mergeCell ref="AF2:AH2"/>
    <mergeCell ref="AI2:AK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17"/>
  <sheetViews>
    <sheetView tabSelected="1" defaultGridColor="0" colorId="22" zoomScale="150" zoomScaleNormal="150" zoomScalePageLayoutView="150" workbookViewId="0">
      <pane xSplit="3" ySplit="3" topLeftCell="D4" activePane="bottomRight" state="frozenSplit"/>
      <selection pane="topRight" activeCell="B1" sqref="B1"/>
      <selection pane="bottomLeft" activeCell="A8" sqref="A8"/>
      <selection pane="bottomRight" activeCell="C7" sqref="C7"/>
    </sheetView>
  </sheetViews>
  <sheetFormatPr baseColWidth="10" defaultColWidth="8.83203125" defaultRowHeight="14" x14ac:dyDescent="0"/>
  <cols>
    <col min="3" max="3" width="60.6640625" style="52" customWidth="1"/>
    <col min="4" max="48" width="10.6640625" hidden="1" customWidth="1"/>
    <col min="49" max="49" width="10.6640625" customWidth="1"/>
    <col min="50" max="58" width="10.6640625" hidden="1" customWidth="1"/>
    <col min="59" max="59" width="10.6640625" customWidth="1"/>
    <col min="60" max="68" width="10.6640625" hidden="1" customWidth="1"/>
    <col min="69" max="84" width="10.6640625" customWidth="1"/>
    <col min="85" max="90" width="10.6640625" hidden="1" customWidth="1"/>
  </cols>
  <sheetData>
    <row r="1" spans="1:90" s="52" customFormat="1" ht="15" customHeight="1">
      <c r="A1" s="52" t="s">
        <v>505</v>
      </c>
      <c r="B1" s="52" t="s">
        <v>500</v>
      </c>
      <c r="C1" s="126" t="s">
        <v>336</v>
      </c>
      <c r="D1" s="126"/>
      <c r="E1" s="126"/>
      <c r="F1" s="126"/>
      <c r="G1" s="126"/>
      <c r="H1" s="126"/>
      <c r="I1" s="126"/>
      <c r="J1" s="126"/>
      <c r="K1" s="126"/>
      <c r="L1" s="126"/>
      <c r="M1" s="126"/>
    </row>
    <row r="2" spans="1:90" s="52" customFormat="1" ht="14.25" customHeight="1">
      <c r="C2" s="127" t="s">
        <v>337</v>
      </c>
      <c r="D2" s="127"/>
      <c r="E2" s="127"/>
      <c r="F2" s="127"/>
      <c r="G2" s="127"/>
      <c r="H2" s="127"/>
      <c r="I2" s="127"/>
      <c r="J2" s="127"/>
      <c r="K2" s="127"/>
      <c r="L2" s="127"/>
    </row>
    <row r="3" spans="1:90" s="52" customFormat="1" ht="26">
      <c r="C3" s="53"/>
      <c r="D3" s="54" t="s">
        <v>338</v>
      </c>
      <c r="E3" s="54" t="s">
        <v>339</v>
      </c>
      <c r="F3" s="54" t="s">
        <v>340</v>
      </c>
      <c r="G3" s="54" t="s">
        <v>341</v>
      </c>
      <c r="H3" s="54" t="s">
        <v>342</v>
      </c>
      <c r="I3" s="54" t="s">
        <v>343</v>
      </c>
      <c r="J3" s="54" t="s">
        <v>344</v>
      </c>
      <c r="K3" s="54" t="s">
        <v>345</v>
      </c>
      <c r="L3" s="54" t="s">
        <v>346</v>
      </c>
      <c r="M3" s="54" t="s">
        <v>347</v>
      </c>
      <c r="N3" s="54" t="s">
        <v>348</v>
      </c>
      <c r="O3" s="54" t="s">
        <v>349</v>
      </c>
      <c r="P3" s="54" t="s">
        <v>350</v>
      </c>
      <c r="Q3" s="54" t="s">
        <v>351</v>
      </c>
      <c r="R3" s="54" t="s">
        <v>352</v>
      </c>
      <c r="S3" s="54" t="s">
        <v>353</v>
      </c>
      <c r="T3" s="54" t="s">
        <v>354</v>
      </c>
      <c r="U3" s="54" t="s">
        <v>355</v>
      </c>
      <c r="V3" s="54" t="s">
        <v>356</v>
      </c>
      <c r="W3" s="54" t="s">
        <v>357</v>
      </c>
      <c r="X3" s="54" t="s">
        <v>358</v>
      </c>
      <c r="Y3" s="54" t="s">
        <v>359</v>
      </c>
      <c r="Z3" s="54" t="s">
        <v>360</v>
      </c>
      <c r="AA3" s="54" t="s">
        <v>361</v>
      </c>
      <c r="AB3" s="54" t="s">
        <v>362</v>
      </c>
      <c r="AC3" s="54" t="s">
        <v>363</v>
      </c>
      <c r="AD3" s="54" t="s">
        <v>364</v>
      </c>
      <c r="AE3" s="54" t="s">
        <v>365</v>
      </c>
      <c r="AF3" s="54" t="s">
        <v>366</v>
      </c>
      <c r="AG3" s="54" t="s">
        <v>367</v>
      </c>
      <c r="AH3" s="54" t="s">
        <v>368</v>
      </c>
      <c r="AI3" s="54" t="s">
        <v>369</v>
      </c>
      <c r="AJ3" s="54" t="s">
        <v>370</v>
      </c>
      <c r="AK3" s="54" t="s">
        <v>371</v>
      </c>
      <c r="AL3" s="54" t="s">
        <v>372</v>
      </c>
      <c r="AM3" s="54" t="s">
        <v>373</v>
      </c>
      <c r="AN3" s="54" t="s">
        <v>374</v>
      </c>
      <c r="AO3" s="54" t="s">
        <v>375</v>
      </c>
      <c r="AP3" s="54" t="s">
        <v>376</v>
      </c>
      <c r="AQ3" s="54" t="s">
        <v>377</v>
      </c>
      <c r="AR3" s="54" t="s">
        <v>378</v>
      </c>
      <c r="AS3" s="54" t="s">
        <v>379</v>
      </c>
      <c r="AT3" s="54" t="s">
        <v>380</v>
      </c>
      <c r="AU3" s="54" t="s">
        <v>381</v>
      </c>
      <c r="AV3" s="54" t="s">
        <v>382</v>
      </c>
      <c r="AW3" s="54" t="s">
        <v>383</v>
      </c>
      <c r="AX3" s="54" t="s">
        <v>384</v>
      </c>
      <c r="AY3" s="54" t="s">
        <v>385</v>
      </c>
      <c r="AZ3" s="54" t="s">
        <v>386</v>
      </c>
      <c r="BA3" s="54" t="s">
        <v>387</v>
      </c>
      <c r="BB3" s="54" t="s">
        <v>388</v>
      </c>
      <c r="BC3" s="54" t="s">
        <v>389</v>
      </c>
      <c r="BD3" s="54" t="s">
        <v>390</v>
      </c>
      <c r="BE3" s="54" t="s">
        <v>391</v>
      </c>
      <c r="BF3" s="54" t="s">
        <v>392</v>
      </c>
      <c r="BG3" s="54" t="s">
        <v>393</v>
      </c>
      <c r="BH3" s="54" t="s">
        <v>394</v>
      </c>
      <c r="BI3" s="54" t="s">
        <v>395</v>
      </c>
      <c r="BJ3" s="54" t="s">
        <v>396</v>
      </c>
      <c r="BK3" s="54" t="s">
        <v>397</v>
      </c>
      <c r="BL3" s="54" t="s">
        <v>398</v>
      </c>
      <c r="BM3" s="54" t="s">
        <v>399</v>
      </c>
      <c r="BN3" s="54" t="s">
        <v>400</v>
      </c>
      <c r="BO3" s="54" t="s">
        <v>401</v>
      </c>
      <c r="BP3" s="54" t="s">
        <v>402</v>
      </c>
      <c r="BQ3" s="54" t="s">
        <v>403</v>
      </c>
      <c r="BR3" s="54" t="s">
        <v>404</v>
      </c>
      <c r="BS3" s="54" t="s">
        <v>405</v>
      </c>
      <c r="BT3" s="54" t="s">
        <v>406</v>
      </c>
      <c r="BU3" s="54" t="s">
        <v>407</v>
      </c>
      <c r="BV3" s="54" t="s">
        <v>408</v>
      </c>
      <c r="BW3" s="54" t="s">
        <v>409</v>
      </c>
      <c r="BX3" s="54" t="s">
        <v>410</v>
      </c>
      <c r="BY3" s="54" t="s">
        <v>411</v>
      </c>
      <c r="BZ3" s="54" t="s">
        <v>412</v>
      </c>
      <c r="CA3" s="54" t="s">
        <v>413</v>
      </c>
      <c r="CB3" s="54" t="s">
        <v>414</v>
      </c>
      <c r="CC3" s="54" t="s">
        <v>415</v>
      </c>
      <c r="CD3" s="54" t="s">
        <v>416</v>
      </c>
      <c r="CE3" s="54" t="s">
        <v>417</v>
      </c>
      <c r="CF3" s="54" t="s">
        <v>418</v>
      </c>
      <c r="CG3" s="54" t="s">
        <v>419</v>
      </c>
      <c r="CH3" s="54" t="s">
        <v>420</v>
      </c>
      <c r="CI3" s="54" t="s">
        <v>421</v>
      </c>
      <c r="CJ3" s="54" t="s">
        <v>422</v>
      </c>
      <c r="CK3" s="54" t="s">
        <v>423</v>
      </c>
      <c r="CL3" s="54" t="s">
        <v>424</v>
      </c>
    </row>
    <row r="4" spans="1:90" s="52" customFormat="1" ht="13">
      <c r="A4" s="52">
        <v>1</v>
      </c>
      <c r="C4" s="55" t="s">
        <v>425</v>
      </c>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row>
    <row r="5" spans="1:90" s="52" customFormat="1" ht="13">
      <c r="A5" s="52">
        <v>2</v>
      </c>
      <c r="B5" s="52">
        <v>1</v>
      </c>
      <c r="C5" s="57" t="s">
        <v>426</v>
      </c>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row>
    <row r="6" spans="1:90" s="52" customFormat="1" ht="13">
      <c r="A6" s="52">
        <v>3</v>
      </c>
      <c r="B6" s="52">
        <v>2</v>
      </c>
      <c r="C6" s="58" t="s">
        <v>427</v>
      </c>
      <c r="D6" s="59" t="s">
        <v>428</v>
      </c>
      <c r="E6" s="59">
        <v>265</v>
      </c>
      <c r="F6" s="59">
        <v>387</v>
      </c>
      <c r="G6" s="59">
        <v>503</v>
      </c>
      <c r="H6" s="59">
        <v>550</v>
      </c>
      <c r="I6" s="59">
        <v>688</v>
      </c>
      <c r="J6" s="59">
        <v>896</v>
      </c>
      <c r="K6" s="59">
        <v>1130</v>
      </c>
      <c r="L6" s="59">
        <v>1292</v>
      </c>
      <c r="M6" s="59">
        <v>1310</v>
      </c>
      <c r="N6" s="59">
        <v>1238</v>
      </c>
      <c r="O6" s="59">
        <v>1459</v>
      </c>
      <c r="P6" s="59">
        <v>1616</v>
      </c>
      <c r="Q6" s="59">
        <v>1690</v>
      </c>
      <c r="R6" s="59">
        <v>2106</v>
      </c>
      <c r="S6" s="59">
        <v>3120</v>
      </c>
      <c r="T6" s="59">
        <v>3594</v>
      </c>
      <c r="U6" s="59">
        <v>4097</v>
      </c>
      <c r="V6" s="59">
        <v>4589</v>
      </c>
      <c r="W6" s="59">
        <v>5081</v>
      </c>
      <c r="X6" s="59">
        <v>6425</v>
      </c>
      <c r="Y6" s="59">
        <v>6457</v>
      </c>
      <c r="Z6" s="59">
        <v>7138</v>
      </c>
      <c r="AA6" s="59">
        <v>7418</v>
      </c>
      <c r="AB6" s="59">
        <v>9671</v>
      </c>
      <c r="AC6" s="59">
        <v>11104</v>
      </c>
      <c r="AD6" s="59">
        <v>11267</v>
      </c>
      <c r="AE6" s="59">
        <v>13117</v>
      </c>
      <c r="AF6" s="59">
        <v>15242</v>
      </c>
      <c r="AG6" s="59">
        <v>15567</v>
      </c>
      <c r="AH6" s="59">
        <v>17556</v>
      </c>
      <c r="AI6" s="59">
        <v>22197</v>
      </c>
      <c r="AJ6" s="59">
        <v>22265</v>
      </c>
      <c r="AK6" s="59">
        <v>25484</v>
      </c>
      <c r="AL6" s="59">
        <v>29396</v>
      </c>
      <c r="AM6" s="59">
        <v>31354</v>
      </c>
      <c r="AN6" s="59">
        <v>35132</v>
      </c>
      <c r="AO6" s="59">
        <v>40703</v>
      </c>
      <c r="AP6" s="59">
        <v>47778</v>
      </c>
      <c r="AQ6" s="59">
        <v>55207</v>
      </c>
      <c r="AR6" s="59">
        <v>58703</v>
      </c>
      <c r="AS6" s="59">
        <v>15886</v>
      </c>
      <c r="AT6" s="59">
        <v>68032</v>
      </c>
      <c r="AU6" s="59">
        <v>73141</v>
      </c>
      <c r="AV6" s="59">
        <v>83410</v>
      </c>
      <c r="AW6" s="59">
        <v>96581</v>
      </c>
      <c r="AX6" s="59">
        <v>117757</v>
      </c>
      <c r="AY6" s="59">
        <v>122840</v>
      </c>
      <c r="AZ6" s="59">
        <v>128972</v>
      </c>
      <c r="BA6" s="59">
        <v>150312</v>
      </c>
      <c r="BB6" s="59">
        <v>169822</v>
      </c>
      <c r="BC6" s="59">
        <v>182518</v>
      </c>
      <c r="BD6" s="59">
        <v>194541</v>
      </c>
      <c r="BE6" s="59">
        <v>220337</v>
      </c>
      <c r="BF6" s="59">
        <v>240595</v>
      </c>
      <c r="BG6" s="59">
        <v>255031</v>
      </c>
      <c r="BH6" s="59">
        <v>265502</v>
      </c>
      <c r="BI6" s="59">
        <v>273136</v>
      </c>
      <c r="BJ6" s="59">
        <v>281735</v>
      </c>
      <c r="BK6" s="59">
        <v>302607</v>
      </c>
      <c r="BL6" s="59">
        <v>284091</v>
      </c>
      <c r="BM6" s="59">
        <v>311869</v>
      </c>
      <c r="BN6" s="59">
        <v>336729</v>
      </c>
      <c r="BO6" s="59">
        <v>358784</v>
      </c>
      <c r="BP6" s="59">
        <v>383559</v>
      </c>
      <c r="BQ6" s="59">
        <v>411677</v>
      </c>
      <c r="BR6" s="59">
        <v>434057</v>
      </c>
      <c r="BS6" s="59">
        <v>440541</v>
      </c>
      <c r="BT6" s="59">
        <v>447806</v>
      </c>
      <c r="BU6" s="59">
        <v>457120</v>
      </c>
      <c r="BV6" s="59">
        <v>493646</v>
      </c>
      <c r="BW6" s="59">
        <v>520069</v>
      </c>
      <c r="BX6" s="59">
        <v>542901</v>
      </c>
      <c r="BY6" s="59">
        <v>562519</v>
      </c>
      <c r="BZ6" s="59">
        <v>559067</v>
      </c>
      <c r="CA6" s="59">
        <v>539996</v>
      </c>
      <c r="CB6" s="59">
        <v>483683</v>
      </c>
      <c r="CC6" s="59">
        <v>486783</v>
      </c>
      <c r="CD6" s="59">
        <v>575555</v>
      </c>
      <c r="CE6" s="59">
        <v>628792</v>
      </c>
      <c r="CF6" s="59">
        <v>658543</v>
      </c>
      <c r="CG6" s="59">
        <v>655145</v>
      </c>
      <c r="CH6" s="59">
        <v>668834</v>
      </c>
      <c r="CI6" s="59">
        <v>698247</v>
      </c>
      <c r="CJ6" s="59">
        <v>756860</v>
      </c>
      <c r="CK6" s="59">
        <v>796585</v>
      </c>
      <c r="CL6" s="59">
        <v>837926</v>
      </c>
    </row>
    <row r="7" spans="1:90" s="52" customFormat="1" ht="13">
      <c r="A7" s="52">
        <v>4</v>
      </c>
      <c r="B7" s="52">
        <v>2</v>
      </c>
      <c r="C7" s="58" t="s">
        <v>429</v>
      </c>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row>
    <row r="8" spans="1:90" s="52" customFormat="1" ht="13">
      <c r="A8" s="52">
        <v>5</v>
      </c>
      <c r="B8" s="52">
        <v>4</v>
      </c>
      <c r="C8" s="60" t="s">
        <v>430</v>
      </c>
      <c r="D8" s="59" t="s">
        <v>428</v>
      </c>
      <c r="E8" s="59" t="s">
        <v>428</v>
      </c>
      <c r="F8" s="59" t="s">
        <v>428</v>
      </c>
      <c r="G8" s="59" t="s">
        <v>428</v>
      </c>
      <c r="H8" s="59" t="s">
        <v>428</v>
      </c>
      <c r="I8" s="59" t="s">
        <v>428</v>
      </c>
      <c r="J8" s="59" t="s">
        <v>428</v>
      </c>
      <c r="K8" s="59" t="s">
        <v>428</v>
      </c>
      <c r="L8" s="59" t="s">
        <v>428</v>
      </c>
      <c r="M8" s="59" t="s">
        <v>428</v>
      </c>
      <c r="N8" s="59" t="s">
        <v>428</v>
      </c>
      <c r="O8" s="59" t="s">
        <v>428</v>
      </c>
      <c r="P8" s="59" t="s">
        <v>428</v>
      </c>
      <c r="Q8" s="59" t="s">
        <v>428</v>
      </c>
      <c r="R8" s="59" t="s">
        <v>428</v>
      </c>
      <c r="S8" s="59" t="s">
        <v>428</v>
      </c>
      <c r="T8" s="59" t="s">
        <v>428</v>
      </c>
      <c r="U8" s="59" t="s">
        <v>428</v>
      </c>
      <c r="V8" s="59">
        <v>1</v>
      </c>
      <c r="W8" s="59">
        <v>6</v>
      </c>
      <c r="X8" s="59">
        <v>18</v>
      </c>
      <c r="Y8" s="59">
        <v>83</v>
      </c>
      <c r="Z8" s="59">
        <v>130</v>
      </c>
      <c r="AA8" s="59">
        <v>147</v>
      </c>
      <c r="AB8" s="59">
        <v>171</v>
      </c>
      <c r="AC8" s="59">
        <v>189</v>
      </c>
      <c r="AD8" s="59">
        <v>203</v>
      </c>
      <c r="AE8" s="59">
        <v>224</v>
      </c>
      <c r="AF8" s="59">
        <v>260</v>
      </c>
      <c r="AG8" s="59">
        <v>263</v>
      </c>
      <c r="AH8" s="59">
        <v>310</v>
      </c>
      <c r="AI8" s="59">
        <v>370</v>
      </c>
      <c r="AJ8" s="59">
        <v>397</v>
      </c>
      <c r="AK8" s="59">
        <v>469</v>
      </c>
      <c r="AL8" s="59">
        <v>559</v>
      </c>
      <c r="AM8" s="59">
        <v>561</v>
      </c>
      <c r="AN8" s="59">
        <v>579</v>
      </c>
      <c r="AO8" s="59">
        <v>615</v>
      </c>
      <c r="AP8" s="59">
        <v>677</v>
      </c>
      <c r="AQ8" s="59">
        <v>810</v>
      </c>
      <c r="AR8" s="59">
        <v>852</v>
      </c>
      <c r="AS8" s="59">
        <v>220</v>
      </c>
      <c r="AT8" s="59">
        <v>863</v>
      </c>
      <c r="AU8" s="59">
        <v>906</v>
      </c>
      <c r="AV8" s="59">
        <v>948</v>
      </c>
      <c r="AW8" s="59">
        <v>1027</v>
      </c>
      <c r="AX8" s="59">
        <v>1259</v>
      </c>
      <c r="AY8" s="59">
        <v>1406</v>
      </c>
      <c r="AZ8" s="59">
        <v>1534</v>
      </c>
      <c r="BA8" s="59">
        <v>1852</v>
      </c>
      <c r="BB8" s="59">
        <v>2288</v>
      </c>
      <c r="BC8" s="59">
        <v>2608</v>
      </c>
      <c r="BD8" s="59">
        <v>3011</v>
      </c>
      <c r="BE8" s="59">
        <v>4000</v>
      </c>
      <c r="BF8" s="59">
        <v>4432</v>
      </c>
      <c r="BG8" s="59">
        <v>5038</v>
      </c>
      <c r="BH8" s="59">
        <v>5242</v>
      </c>
      <c r="BI8" s="59">
        <v>5508</v>
      </c>
      <c r="BJ8" s="59">
        <v>5796</v>
      </c>
      <c r="BK8" s="59">
        <v>5787</v>
      </c>
      <c r="BL8" s="59">
        <v>5434</v>
      </c>
      <c r="BM8" s="59">
        <v>5326</v>
      </c>
      <c r="BN8" s="59">
        <v>5582</v>
      </c>
      <c r="BO8" s="59">
        <v>6086</v>
      </c>
      <c r="BP8" s="59">
        <v>6374</v>
      </c>
      <c r="BQ8" s="59">
        <v>6542</v>
      </c>
      <c r="BR8" s="59">
        <v>6761</v>
      </c>
      <c r="BS8" s="59">
        <v>7591</v>
      </c>
      <c r="BT8" s="59">
        <v>8207</v>
      </c>
      <c r="BU8" s="59">
        <v>9686</v>
      </c>
      <c r="BV8" s="59">
        <v>9352</v>
      </c>
      <c r="BW8" s="59">
        <v>9937</v>
      </c>
      <c r="BX8" s="59">
        <v>10514</v>
      </c>
      <c r="BY8" s="59">
        <v>11231</v>
      </c>
      <c r="BZ8" s="59">
        <v>12161</v>
      </c>
      <c r="CA8" s="59">
        <v>12765</v>
      </c>
      <c r="CB8" s="59">
        <v>12908</v>
      </c>
      <c r="CC8" s="59">
        <v>13331</v>
      </c>
      <c r="CD8" s="59">
        <v>13820</v>
      </c>
      <c r="CE8" s="59">
        <v>13452</v>
      </c>
      <c r="CF8" s="59">
        <v>13684</v>
      </c>
      <c r="CG8" s="59">
        <v>13846</v>
      </c>
      <c r="CH8" s="59">
        <v>14030</v>
      </c>
      <c r="CI8" s="59">
        <v>14567</v>
      </c>
      <c r="CJ8" s="59">
        <v>15891</v>
      </c>
      <c r="CK8" s="59">
        <v>16705</v>
      </c>
      <c r="CL8" s="59">
        <v>17361</v>
      </c>
    </row>
    <row r="9" spans="1:90" s="52" customFormat="1" ht="13">
      <c r="A9" s="52">
        <v>6</v>
      </c>
      <c r="B9" s="52">
        <v>4</v>
      </c>
      <c r="C9" s="60" t="s">
        <v>431</v>
      </c>
      <c r="D9" s="59" t="s">
        <v>428</v>
      </c>
      <c r="E9" s="59">
        <v>2</v>
      </c>
      <c r="F9" s="59">
        <v>15</v>
      </c>
      <c r="G9" s="59">
        <v>27</v>
      </c>
      <c r="H9" s="59">
        <v>42</v>
      </c>
      <c r="I9" s="59">
        <v>56</v>
      </c>
      <c r="J9" s="59">
        <v>71</v>
      </c>
      <c r="K9" s="59">
        <v>87</v>
      </c>
      <c r="L9" s="59">
        <v>103</v>
      </c>
      <c r="M9" s="59">
        <v>124</v>
      </c>
      <c r="N9" s="59">
        <v>148</v>
      </c>
      <c r="O9" s="59">
        <v>163</v>
      </c>
      <c r="P9" s="59">
        <v>191</v>
      </c>
      <c r="Q9" s="59">
        <v>230</v>
      </c>
      <c r="R9" s="59">
        <v>257</v>
      </c>
      <c r="S9" s="59">
        <v>287</v>
      </c>
      <c r="T9" s="59">
        <v>334</v>
      </c>
      <c r="U9" s="59">
        <v>387</v>
      </c>
      <c r="V9" s="59">
        <v>439</v>
      </c>
      <c r="W9" s="59">
        <v>438</v>
      </c>
      <c r="X9" s="59">
        <v>487</v>
      </c>
      <c r="Y9" s="59">
        <v>555</v>
      </c>
      <c r="Z9" s="59">
        <v>555</v>
      </c>
      <c r="AA9" s="59">
        <v>543</v>
      </c>
      <c r="AB9" s="59">
        <v>516</v>
      </c>
      <c r="AC9" s="59">
        <v>530</v>
      </c>
      <c r="AD9" s="59">
        <v>539</v>
      </c>
      <c r="AE9" s="59">
        <v>512</v>
      </c>
      <c r="AF9" s="59">
        <v>539</v>
      </c>
      <c r="AG9" s="59">
        <v>583</v>
      </c>
      <c r="AH9" s="59">
        <v>588</v>
      </c>
      <c r="AI9" s="59">
        <v>725</v>
      </c>
      <c r="AJ9" s="59">
        <v>896</v>
      </c>
      <c r="AK9" s="59">
        <v>1009</v>
      </c>
      <c r="AL9" s="59">
        <v>1346</v>
      </c>
      <c r="AM9" s="59">
        <v>1617</v>
      </c>
      <c r="AN9" s="59">
        <v>1718</v>
      </c>
      <c r="AO9" s="59">
        <v>1846</v>
      </c>
      <c r="AP9" s="59">
        <v>2039</v>
      </c>
      <c r="AQ9" s="59">
        <v>2292</v>
      </c>
      <c r="AR9" s="59">
        <v>2344</v>
      </c>
      <c r="AS9" s="59">
        <v>80</v>
      </c>
      <c r="AT9" s="59">
        <v>2279</v>
      </c>
      <c r="AU9" s="59">
        <v>2151</v>
      </c>
      <c r="AV9" s="59">
        <v>1920</v>
      </c>
      <c r="AW9" s="59">
        <v>1886</v>
      </c>
      <c r="AX9" s="59">
        <v>2015</v>
      </c>
      <c r="AY9" s="59">
        <v>1707</v>
      </c>
      <c r="AZ9" s="59">
        <v>1396</v>
      </c>
      <c r="BA9" s="59">
        <v>2752</v>
      </c>
      <c r="BB9" s="59">
        <v>3537</v>
      </c>
      <c r="BC9" s="59">
        <v>3698</v>
      </c>
      <c r="BD9" s="59">
        <v>4495</v>
      </c>
      <c r="BE9" s="59">
        <v>6758</v>
      </c>
      <c r="BF9" s="59">
        <v>10649</v>
      </c>
      <c r="BG9" s="59">
        <v>15125</v>
      </c>
      <c r="BH9" s="59">
        <v>19164</v>
      </c>
      <c r="BI9" s="59">
        <v>22557</v>
      </c>
      <c r="BJ9" s="59">
        <v>25822</v>
      </c>
      <c r="BK9" s="59">
        <v>28505</v>
      </c>
      <c r="BL9" s="59">
        <v>31417</v>
      </c>
      <c r="BM9" s="59">
        <v>34026</v>
      </c>
      <c r="BN9" s="59">
        <v>37688</v>
      </c>
      <c r="BO9" s="59">
        <v>42197</v>
      </c>
      <c r="BP9" s="59">
        <v>46847</v>
      </c>
      <c r="BQ9" s="59">
        <v>53531</v>
      </c>
      <c r="BR9" s="59">
        <v>61239</v>
      </c>
      <c r="BS9" s="59">
        <v>68105</v>
      </c>
      <c r="BT9" s="59">
        <v>73980</v>
      </c>
      <c r="BU9" s="59">
        <v>76441</v>
      </c>
      <c r="BV9" s="59">
        <v>81708</v>
      </c>
      <c r="BW9" s="59">
        <v>87316</v>
      </c>
      <c r="BX9" s="59">
        <v>95069</v>
      </c>
      <c r="BY9" s="59">
        <v>102720</v>
      </c>
      <c r="BZ9" s="59">
        <v>107227</v>
      </c>
      <c r="CA9" s="59">
        <v>108601</v>
      </c>
      <c r="CB9" s="59">
        <v>107413</v>
      </c>
      <c r="CC9" s="59">
        <v>105239</v>
      </c>
      <c r="CD9" s="59">
        <v>100113</v>
      </c>
      <c r="CE9" s="59">
        <v>96270</v>
      </c>
      <c r="CF9" s="59">
        <v>93235</v>
      </c>
      <c r="CG9" s="59">
        <v>89129</v>
      </c>
      <c r="CH9" s="59">
        <v>86762</v>
      </c>
      <c r="CI9" s="59">
        <v>83627</v>
      </c>
      <c r="CJ9" s="59">
        <v>83830</v>
      </c>
      <c r="CK9" s="59">
        <v>81197</v>
      </c>
      <c r="CL9" s="59">
        <v>80177</v>
      </c>
    </row>
    <row r="10" spans="1:90" s="52" customFormat="1" ht="13">
      <c r="A10" s="52">
        <v>7</v>
      </c>
      <c r="B10" s="52">
        <v>4</v>
      </c>
      <c r="C10" s="60" t="s">
        <v>175</v>
      </c>
      <c r="D10" s="59" t="s">
        <v>428</v>
      </c>
      <c r="E10" s="59" t="s">
        <v>428</v>
      </c>
      <c r="F10" s="59" t="s">
        <v>428</v>
      </c>
      <c r="G10" s="59" t="s">
        <v>428</v>
      </c>
      <c r="H10" s="59" t="s">
        <v>428</v>
      </c>
      <c r="I10" s="59" t="s">
        <v>428</v>
      </c>
      <c r="J10" s="59" t="s">
        <v>428</v>
      </c>
      <c r="K10" s="59" t="s">
        <v>428</v>
      </c>
      <c r="L10" s="59" t="s">
        <v>428</v>
      </c>
      <c r="M10" s="59" t="s">
        <v>428</v>
      </c>
      <c r="N10" s="59" t="s">
        <v>428</v>
      </c>
      <c r="O10" s="59" t="s">
        <v>432</v>
      </c>
      <c r="P10" s="59">
        <v>1</v>
      </c>
      <c r="Q10" s="59">
        <v>3</v>
      </c>
      <c r="R10" s="59">
        <v>4</v>
      </c>
      <c r="S10" s="59">
        <v>4</v>
      </c>
      <c r="T10" s="59">
        <v>4</v>
      </c>
      <c r="U10" s="59" t="s">
        <v>428</v>
      </c>
      <c r="V10" s="59">
        <v>12</v>
      </c>
      <c r="W10" s="59">
        <v>10</v>
      </c>
      <c r="X10" s="59">
        <v>7</v>
      </c>
      <c r="Y10" s="59">
        <v>5</v>
      </c>
      <c r="Z10" s="59">
        <v>2</v>
      </c>
      <c r="AA10" s="59" t="s">
        <v>432</v>
      </c>
      <c r="AB10" s="59">
        <v>1</v>
      </c>
      <c r="AC10" s="59">
        <v>1</v>
      </c>
      <c r="AD10" s="59">
        <v>2</v>
      </c>
      <c r="AE10" s="59">
        <v>2</v>
      </c>
      <c r="AF10" s="59">
        <v>3</v>
      </c>
      <c r="AG10" s="59">
        <v>3</v>
      </c>
      <c r="AH10" s="59">
        <v>7</v>
      </c>
      <c r="AI10" s="59">
        <v>79</v>
      </c>
      <c r="AJ10" s="59">
        <v>78</v>
      </c>
      <c r="AK10" s="59">
        <v>382</v>
      </c>
      <c r="AL10" s="59">
        <v>442</v>
      </c>
      <c r="AM10" s="59">
        <v>449</v>
      </c>
      <c r="AN10" s="59">
        <v>488</v>
      </c>
      <c r="AO10" s="59">
        <v>475</v>
      </c>
      <c r="AP10" s="59">
        <v>442</v>
      </c>
      <c r="AQ10" s="59">
        <v>447</v>
      </c>
      <c r="AR10" s="59">
        <v>425</v>
      </c>
      <c r="AS10" s="59" t="s">
        <v>428</v>
      </c>
      <c r="AT10" s="59">
        <v>614</v>
      </c>
      <c r="AU10" s="59">
        <v>613</v>
      </c>
      <c r="AV10" s="59">
        <v>615</v>
      </c>
      <c r="AW10" s="59">
        <v>557</v>
      </c>
      <c r="AX10" s="59">
        <v>540</v>
      </c>
      <c r="AY10" s="59">
        <v>675</v>
      </c>
      <c r="AZ10" s="59">
        <v>18683</v>
      </c>
      <c r="BA10" s="59">
        <v>8400</v>
      </c>
      <c r="BB10" s="59">
        <v>6639</v>
      </c>
      <c r="BC10" s="59">
        <v>7544</v>
      </c>
      <c r="BD10" s="59">
        <v>5447</v>
      </c>
      <c r="BE10" s="59">
        <v>5501</v>
      </c>
      <c r="BF10" s="59">
        <v>5819</v>
      </c>
      <c r="BG10" s="59">
        <v>4405</v>
      </c>
      <c r="BH10" s="59">
        <v>5838</v>
      </c>
      <c r="BI10" s="59">
        <v>5949</v>
      </c>
      <c r="BJ10" s="59">
        <v>5967</v>
      </c>
      <c r="BK10" s="59">
        <v>5371</v>
      </c>
      <c r="BL10" s="59">
        <v>5137</v>
      </c>
      <c r="BM10" s="59">
        <v>5763</v>
      </c>
      <c r="BN10" s="59">
        <v>6477</v>
      </c>
      <c r="BO10" s="59">
        <v>8610</v>
      </c>
      <c r="BP10" s="59">
        <v>10188</v>
      </c>
      <c r="BQ10" s="59">
        <v>12491</v>
      </c>
      <c r="BR10" s="59">
        <v>11790</v>
      </c>
      <c r="BS10" s="59">
        <v>13025</v>
      </c>
      <c r="BT10" s="59">
        <v>12352</v>
      </c>
      <c r="BU10" s="59">
        <v>13288</v>
      </c>
      <c r="BV10" s="59">
        <v>15347</v>
      </c>
      <c r="BW10" s="59">
        <v>20288</v>
      </c>
      <c r="BX10" s="59">
        <v>17846</v>
      </c>
      <c r="BY10" s="59">
        <v>16433</v>
      </c>
      <c r="BZ10" s="59">
        <v>18977</v>
      </c>
      <c r="CA10" s="59">
        <v>21091</v>
      </c>
      <c r="CB10" s="59">
        <v>88626</v>
      </c>
      <c r="CC10" s="59">
        <v>123638</v>
      </c>
      <c r="CD10" s="59">
        <v>50188</v>
      </c>
      <c r="CE10" s="59">
        <v>24755</v>
      </c>
      <c r="CF10" s="59">
        <v>29843</v>
      </c>
      <c r="CG10" s="59">
        <v>31503</v>
      </c>
      <c r="CH10" s="59">
        <v>37167</v>
      </c>
      <c r="CI10" s="59">
        <v>40603</v>
      </c>
      <c r="CJ10" s="59">
        <v>44236</v>
      </c>
      <c r="CK10" s="59">
        <v>48038</v>
      </c>
      <c r="CL10" s="59">
        <v>51929</v>
      </c>
    </row>
    <row r="11" spans="1:90" s="52" customFormat="1" ht="13">
      <c r="A11" s="52">
        <v>8</v>
      </c>
      <c r="B11" s="52">
        <v>7</v>
      </c>
      <c r="C11" s="129" t="s">
        <v>433</v>
      </c>
      <c r="D11" s="62" t="s">
        <v>428</v>
      </c>
      <c r="E11" s="62">
        <v>2</v>
      </c>
      <c r="F11" s="62">
        <v>15</v>
      </c>
      <c r="G11" s="62">
        <v>27</v>
      </c>
      <c r="H11" s="62">
        <v>42</v>
      </c>
      <c r="I11" s="62">
        <v>56</v>
      </c>
      <c r="J11" s="62">
        <v>71</v>
      </c>
      <c r="K11" s="62">
        <v>87</v>
      </c>
      <c r="L11" s="62">
        <v>103</v>
      </c>
      <c r="M11" s="62">
        <v>124</v>
      </c>
      <c r="N11" s="62">
        <v>148</v>
      </c>
      <c r="O11" s="62">
        <v>164</v>
      </c>
      <c r="P11" s="62">
        <v>191</v>
      </c>
      <c r="Q11" s="62">
        <v>233</v>
      </c>
      <c r="R11" s="62">
        <v>260</v>
      </c>
      <c r="S11" s="62">
        <v>291</v>
      </c>
      <c r="T11" s="62">
        <v>337</v>
      </c>
      <c r="U11" s="62">
        <v>387</v>
      </c>
      <c r="V11" s="62">
        <v>452</v>
      </c>
      <c r="W11" s="62">
        <v>454</v>
      </c>
      <c r="X11" s="62">
        <v>513</v>
      </c>
      <c r="Y11" s="62">
        <v>644</v>
      </c>
      <c r="Z11" s="62">
        <v>687</v>
      </c>
      <c r="AA11" s="62">
        <v>690</v>
      </c>
      <c r="AB11" s="62">
        <v>688</v>
      </c>
      <c r="AC11" s="62">
        <v>720</v>
      </c>
      <c r="AD11" s="62">
        <v>744</v>
      </c>
      <c r="AE11" s="62">
        <v>738</v>
      </c>
      <c r="AF11" s="62">
        <v>801</v>
      </c>
      <c r="AG11" s="62">
        <v>849</v>
      </c>
      <c r="AH11" s="62">
        <v>905</v>
      </c>
      <c r="AI11" s="62">
        <v>1174</v>
      </c>
      <c r="AJ11" s="62">
        <v>1371</v>
      </c>
      <c r="AK11" s="62">
        <v>1859</v>
      </c>
      <c r="AL11" s="62">
        <v>2347</v>
      </c>
      <c r="AM11" s="62">
        <v>2627</v>
      </c>
      <c r="AN11" s="62">
        <v>2785</v>
      </c>
      <c r="AO11" s="62">
        <v>2936</v>
      </c>
      <c r="AP11" s="62">
        <v>3157</v>
      </c>
      <c r="AQ11" s="62">
        <v>3549</v>
      </c>
      <c r="AR11" s="62">
        <v>3621</v>
      </c>
      <c r="AS11" s="62">
        <v>300</v>
      </c>
      <c r="AT11" s="62">
        <v>3756</v>
      </c>
      <c r="AU11" s="62">
        <v>3670</v>
      </c>
      <c r="AV11" s="62">
        <v>3483</v>
      </c>
      <c r="AW11" s="62">
        <v>3470</v>
      </c>
      <c r="AX11" s="62">
        <v>3814</v>
      </c>
      <c r="AY11" s="62">
        <v>3788</v>
      </c>
      <c r="AZ11" s="62">
        <v>21613</v>
      </c>
      <c r="BA11" s="62">
        <v>13004</v>
      </c>
      <c r="BB11" s="62">
        <v>12465</v>
      </c>
      <c r="BC11" s="62">
        <v>13850</v>
      </c>
      <c r="BD11" s="62">
        <v>12953</v>
      </c>
      <c r="BE11" s="62">
        <v>16259</v>
      </c>
      <c r="BF11" s="62">
        <v>20900</v>
      </c>
      <c r="BG11" s="62">
        <v>24568</v>
      </c>
      <c r="BH11" s="62">
        <v>30244</v>
      </c>
      <c r="BI11" s="62">
        <v>34015</v>
      </c>
      <c r="BJ11" s="62">
        <v>37585</v>
      </c>
      <c r="BK11" s="62">
        <v>39663</v>
      </c>
      <c r="BL11" s="62">
        <v>41988</v>
      </c>
      <c r="BM11" s="62">
        <v>45115</v>
      </c>
      <c r="BN11" s="62">
        <v>49747</v>
      </c>
      <c r="BO11" s="62">
        <v>56893</v>
      </c>
      <c r="BP11" s="62">
        <v>63409</v>
      </c>
      <c r="BQ11" s="62">
        <v>72564</v>
      </c>
      <c r="BR11" s="62">
        <v>79790</v>
      </c>
      <c r="BS11" s="62">
        <v>88721</v>
      </c>
      <c r="BT11" s="62">
        <v>94539</v>
      </c>
      <c r="BU11" s="62">
        <v>99415</v>
      </c>
      <c r="BV11" s="62">
        <v>106407</v>
      </c>
      <c r="BW11" s="62">
        <v>117541</v>
      </c>
      <c r="BX11" s="62">
        <v>123429</v>
      </c>
      <c r="BY11" s="62">
        <v>130384</v>
      </c>
      <c r="BZ11" s="62">
        <v>138365</v>
      </c>
      <c r="CA11" s="62">
        <v>142457</v>
      </c>
      <c r="CB11" s="62">
        <v>208947</v>
      </c>
      <c r="CC11" s="62">
        <v>242208</v>
      </c>
      <c r="CD11" s="62">
        <v>164121</v>
      </c>
      <c r="CE11" s="62">
        <v>134477</v>
      </c>
      <c r="CF11" s="62">
        <v>136762</v>
      </c>
      <c r="CG11" s="62">
        <v>134478</v>
      </c>
      <c r="CH11" s="62">
        <v>137959</v>
      </c>
      <c r="CI11" s="62">
        <v>138797</v>
      </c>
      <c r="CJ11" s="62">
        <v>143957</v>
      </c>
      <c r="CK11" s="62">
        <v>145940</v>
      </c>
      <c r="CL11" s="62">
        <v>149467</v>
      </c>
    </row>
    <row r="12" spans="1:90" s="52" customFormat="1" ht="13">
      <c r="A12" s="52">
        <v>9</v>
      </c>
      <c r="B12" s="52">
        <v>2</v>
      </c>
      <c r="C12" s="58" t="s">
        <v>434</v>
      </c>
      <c r="D12" s="59" t="s">
        <v>428</v>
      </c>
      <c r="E12" s="59" t="s">
        <v>428</v>
      </c>
      <c r="F12" s="59" t="s">
        <v>428</v>
      </c>
      <c r="G12" s="59" t="s">
        <v>428</v>
      </c>
      <c r="H12" s="59" t="s">
        <v>428</v>
      </c>
      <c r="I12" s="59" t="s">
        <v>428</v>
      </c>
      <c r="J12" s="59" t="s">
        <v>428</v>
      </c>
      <c r="K12" s="59" t="s">
        <v>428</v>
      </c>
      <c r="L12" s="59" t="s">
        <v>428</v>
      </c>
      <c r="M12" s="59" t="s">
        <v>428</v>
      </c>
      <c r="N12" s="59" t="s">
        <v>428</v>
      </c>
      <c r="O12" s="59" t="s">
        <v>428</v>
      </c>
      <c r="P12" s="59" t="s">
        <v>428</v>
      </c>
      <c r="Q12" s="59" t="s">
        <v>428</v>
      </c>
      <c r="R12" s="59" t="s">
        <v>428</v>
      </c>
      <c r="S12" s="59" t="s">
        <v>428</v>
      </c>
      <c r="T12" s="59" t="s">
        <v>432</v>
      </c>
      <c r="U12" s="59" t="s">
        <v>432</v>
      </c>
      <c r="V12" s="59" t="s">
        <v>432</v>
      </c>
      <c r="W12" s="59" t="s">
        <v>432</v>
      </c>
      <c r="X12" s="59" t="s">
        <v>432</v>
      </c>
      <c r="Y12" s="59" t="s">
        <v>432</v>
      </c>
      <c r="Z12" s="59" t="s">
        <v>432</v>
      </c>
      <c r="AA12" s="59" t="s">
        <v>432</v>
      </c>
      <c r="AB12" s="59" t="s">
        <v>432</v>
      </c>
      <c r="AC12" s="59" t="s">
        <v>432</v>
      </c>
      <c r="AD12" s="59" t="s">
        <v>432</v>
      </c>
      <c r="AE12" s="59" t="s">
        <v>432</v>
      </c>
      <c r="AF12" s="59" t="s">
        <v>432</v>
      </c>
      <c r="AG12" s="59" t="s">
        <v>432</v>
      </c>
      <c r="AH12" s="59" t="s">
        <v>432</v>
      </c>
      <c r="AI12" s="59" t="s">
        <v>432</v>
      </c>
      <c r="AJ12" s="59">
        <v>4</v>
      </c>
      <c r="AK12" s="59">
        <v>4</v>
      </c>
      <c r="AL12" s="59">
        <v>3</v>
      </c>
      <c r="AM12" s="59">
        <v>1</v>
      </c>
      <c r="AN12" s="59" t="s">
        <v>432</v>
      </c>
      <c r="AO12" s="59" t="s">
        <v>432</v>
      </c>
      <c r="AP12" s="59" t="s">
        <v>432</v>
      </c>
      <c r="AQ12" s="59" t="s">
        <v>432</v>
      </c>
      <c r="AR12" s="59">
        <v>3</v>
      </c>
      <c r="AS12" s="59" t="s">
        <v>432</v>
      </c>
      <c r="AT12" s="59">
        <v>8</v>
      </c>
      <c r="AU12" s="59" t="s">
        <v>432</v>
      </c>
      <c r="AV12" s="59" t="s">
        <v>432</v>
      </c>
      <c r="AW12" s="59" t="s">
        <v>432</v>
      </c>
      <c r="AX12" s="59" t="s">
        <v>432</v>
      </c>
      <c r="AY12" s="59" t="s">
        <v>432</v>
      </c>
      <c r="AZ12" s="59" t="s">
        <v>432</v>
      </c>
      <c r="BA12" s="59" t="s">
        <v>432</v>
      </c>
      <c r="BB12" s="59" t="s">
        <v>432</v>
      </c>
      <c r="BC12" s="59" t="s">
        <v>432</v>
      </c>
      <c r="BD12" s="59">
        <v>31</v>
      </c>
      <c r="BE12" s="59" t="s">
        <v>432</v>
      </c>
      <c r="BF12" s="59" t="s">
        <v>432</v>
      </c>
      <c r="BG12" s="59" t="s">
        <v>432</v>
      </c>
      <c r="BH12" s="59" t="s">
        <v>432</v>
      </c>
      <c r="BI12" s="59" t="s">
        <v>432</v>
      </c>
      <c r="BJ12" s="59">
        <v>5</v>
      </c>
      <c r="BK12" s="59">
        <v>7</v>
      </c>
      <c r="BL12" s="59">
        <v>6</v>
      </c>
      <c r="BM12" s="59">
        <v>9</v>
      </c>
      <c r="BN12" s="59">
        <v>9</v>
      </c>
      <c r="BO12" s="59">
        <v>10</v>
      </c>
      <c r="BP12" s="59">
        <v>9</v>
      </c>
      <c r="BQ12" s="59">
        <v>18</v>
      </c>
      <c r="BR12" s="59">
        <v>24</v>
      </c>
      <c r="BS12" s="59">
        <v>16</v>
      </c>
      <c r="BT12" s="59">
        <v>16</v>
      </c>
      <c r="BU12" s="59">
        <v>12</v>
      </c>
      <c r="BV12" s="59">
        <v>16</v>
      </c>
      <c r="BW12" s="59">
        <v>12</v>
      </c>
      <c r="BX12" s="59">
        <v>10</v>
      </c>
      <c r="BY12" s="59">
        <v>20</v>
      </c>
      <c r="BZ12" s="59">
        <v>16</v>
      </c>
      <c r="CA12" s="59">
        <v>17</v>
      </c>
      <c r="CB12" s="59">
        <v>20</v>
      </c>
      <c r="CC12" s="59">
        <v>23</v>
      </c>
      <c r="CD12" s="59">
        <v>24</v>
      </c>
      <c r="CE12" s="59">
        <v>39</v>
      </c>
      <c r="CF12" s="59">
        <v>11</v>
      </c>
      <c r="CG12" s="59">
        <v>12</v>
      </c>
      <c r="CH12" s="59">
        <v>12</v>
      </c>
      <c r="CI12" s="59">
        <v>12</v>
      </c>
      <c r="CJ12" s="59">
        <v>12</v>
      </c>
      <c r="CK12" s="59">
        <v>12</v>
      </c>
      <c r="CL12" s="59">
        <v>12</v>
      </c>
    </row>
    <row r="13" spans="1:90" s="52" customFormat="1" ht="13">
      <c r="A13" s="52">
        <v>10</v>
      </c>
      <c r="B13" s="52">
        <v>9</v>
      </c>
      <c r="C13" s="130" t="s">
        <v>435</v>
      </c>
      <c r="D13" s="62" t="s">
        <v>428</v>
      </c>
      <c r="E13" s="62">
        <v>267</v>
      </c>
      <c r="F13" s="62">
        <v>402</v>
      </c>
      <c r="G13" s="62">
        <v>530</v>
      </c>
      <c r="H13" s="62">
        <v>592</v>
      </c>
      <c r="I13" s="62">
        <v>744</v>
      </c>
      <c r="J13" s="62">
        <v>967</v>
      </c>
      <c r="K13" s="62">
        <v>1218</v>
      </c>
      <c r="L13" s="62">
        <v>1395</v>
      </c>
      <c r="M13" s="62">
        <v>1434</v>
      </c>
      <c r="N13" s="62">
        <v>1386</v>
      </c>
      <c r="O13" s="62">
        <v>1623</v>
      </c>
      <c r="P13" s="62">
        <v>1807</v>
      </c>
      <c r="Q13" s="62">
        <v>1924</v>
      </c>
      <c r="R13" s="62">
        <v>2367</v>
      </c>
      <c r="S13" s="62">
        <v>3411</v>
      </c>
      <c r="T13" s="62">
        <v>3932</v>
      </c>
      <c r="U13" s="62">
        <v>4483</v>
      </c>
      <c r="V13" s="62">
        <v>5040</v>
      </c>
      <c r="W13" s="62">
        <v>5535</v>
      </c>
      <c r="X13" s="62">
        <v>6938</v>
      </c>
      <c r="Y13" s="62">
        <v>7101</v>
      </c>
      <c r="Z13" s="62">
        <v>7825</v>
      </c>
      <c r="AA13" s="62">
        <v>8109</v>
      </c>
      <c r="AB13" s="62">
        <v>10360</v>
      </c>
      <c r="AC13" s="62">
        <v>11824</v>
      </c>
      <c r="AD13" s="62">
        <v>12011</v>
      </c>
      <c r="AE13" s="62">
        <v>13856</v>
      </c>
      <c r="AF13" s="62">
        <v>16043</v>
      </c>
      <c r="AG13" s="62">
        <v>16417</v>
      </c>
      <c r="AH13" s="62">
        <v>18461</v>
      </c>
      <c r="AI13" s="62">
        <v>23371</v>
      </c>
      <c r="AJ13" s="62">
        <v>23641</v>
      </c>
      <c r="AK13" s="62">
        <v>27348</v>
      </c>
      <c r="AL13" s="62">
        <v>31746</v>
      </c>
      <c r="AM13" s="62">
        <v>33982</v>
      </c>
      <c r="AN13" s="62">
        <v>37916</v>
      </c>
      <c r="AO13" s="62">
        <v>43639</v>
      </c>
      <c r="AP13" s="62">
        <v>50935</v>
      </c>
      <c r="AQ13" s="62">
        <v>58756</v>
      </c>
      <c r="AR13" s="62">
        <v>62327</v>
      </c>
      <c r="AS13" s="62">
        <v>16186</v>
      </c>
      <c r="AT13" s="62">
        <v>71795</v>
      </c>
      <c r="AU13" s="62">
        <v>76811</v>
      </c>
      <c r="AV13" s="62">
        <v>86893</v>
      </c>
      <c r="AW13" s="62">
        <v>100051</v>
      </c>
      <c r="AX13" s="62">
        <v>121572</v>
      </c>
      <c r="AY13" s="62">
        <v>126629</v>
      </c>
      <c r="AZ13" s="62">
        <v>150586</v>
      </c>
      <c r="BA13" s="62">
        <v>163315</v>
      </c>
      <c r="BB13" s="62">
        <v>182287</v>
      </c>
      <c r="BC13" s="62">
        <v>196368</v>
      </c>
      <c r="BD13" s="62">
        <v>207525</v>
      </c>
      <c r="BE13" s="62">
        <v>236596</v>
      </c>
      <c r="BF13" s="62">
        <v>261495</v>
      </c>
      <c r="BG13" s="62">
        <v>279599</v>
      </c>
      <c r="BH13" s="62">
        <v>295747</v>
      </c>
      <c r="BI13" s="62">
        <v>307152</v>
      </c>
      <c r="BJ13" s="62">
        <v>319325</v>
      </c>
      <c r="BK13" s="62">
        <v>342278</v>
      </c>
      <c r="BL13" s="62">
        <v>326085</v>
      </c>
      <c r="BM13" s="62">
        <v>356993</v>
      </c>
      <c r="BN13" s="62">
        <v>386485</v>
      </c>
      <c r="BO13" s="62">
        <v>415687</v>
      </c>
      <c r="BP13" s="62">
        <v>446977</v>
      </c>
      <c r="BQ13" s="62">
        <v>484259</v>
      </c>
      <c r="BR13" s="62">
        <v>513871</v>
      </c>
      <c r="BS13" s="62">
        <v>529278</v>
      </c>
      <c r="BT13" s="62">
        <v>542361</v>
      </c>
      <c r="BU13" s="62">
        <v>556547</v>
      </c>
      <c r="BV13" s="62">
        <v>600069</v>
      </c>
      <c r="BW13" s="62">
        <v>637622</v>
      </c>
      <c r="BX13" s="62">
        <v>666340</v>
      </c>
      <c r="BY13" s="62">
        <v>692923</v>
      </c>
      <c r="BZ13" s="62">
        <v>697448</v>
      </c>
      <c r="CA13" s="62">
        <v>682470</v>
      </c>
      <c r="CB13" s="62">
        <v>692650</v>
      </c>
      <c r="CC13" s="62">
        <v>729014</v>
      </c>
      <c r="CD13" s="62">
        <v>739700</v>
      </c>
      <c r="CE13" s="62">
        <v>763308</v>
      </c>
      <c r="CF13" s="62">
        <v>795316</v>
      </c>
      <c r="CG13" s="62">
        <v>789635</v>
      </c>
      <c r="CH13" s="62">
        <v>806805</v>
      </c>
      <c r="CI13" s="62">
        <v>837056</v>
      </c>
      <c r="CJ13" s="62">
        <v>900829</v>
      </c>
      <c r="CK13" s="62">
        <v>942537</v>
      </c>
      <c r="CL13" s="62">
        <v>987405</v>
      </c>
    </row>
    <row r="14" spans="1:90" s="52" customFormat="1" ht="13">
      <c r="A14" s="52">
        <v>11</v>
      </c>
      <c r="C14" s="57" t="s">
        <v>436</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row>
    <row r="15" spans="1:90" s="52" customFormat="1">
      <c r="A15" s="52">
        <v>12</v>
      </c>
      <c r="C15" s="58" t="s">
        <v>437</v>
      </c>
      <c r="D15" s="59" t="s">
        <v>428</v>
      </c>
      <c r="E15" s="59" t="s">
        <v>432</v>
      </c>
      <c r="F15" s="59">
        <v>5</v>
      </c>
      <c r="G15" s="59">
        <v>14</v>
      </c>
      <c r="H15" s="59">
        <v>16</v>
      </c>
      <c r="I15" s="59">
        <v>64</v>
      </c>
      <c r="J15" s="59">
        <v>110</v>
      </c>
      <c r="K15" s="59">
        <v>149</v>
      </c>
      <c r="L15" s="59">
        <v>185</v>
      </c>
      <c r="M15" s="59">
        <v>240</v>
      </c>
      <c r="N15" s="59">
        <v>321</v>
      </c>
      <c r="O15" s="59">
        <v>426</v>
      </c>
      <c r="P15" s="59">
        <v>512</v>
      </c>
      <c r="Q15" s="59">
        <v>607</v>
      </c>
      <c r="R15" s="59">
        <v>727</v>
      </c>
      <c r="S15" s="59">
        <v>1498</v>
      </c>
      <c r="T15" s="59">
        <v>1982</v>
      </c>
      <c r="U15" s="59">
        <v>2627</v>
      </c>
      <c r="V15" s="59">
        <v>3276</v>
      </c>
      <c r="W15" s="59">
        <v>4333</v>
      </c>
      <c r="X15" s="59">
        <v>5361</v>
      </c>
      <c r="Y15" s="59">
        <v>6515</v>
      </c>
      <c r="Z15" s="59">
        <v>7875</v>
      </c>
      <c r="AA15" s="59">
        <v>9049</v>
      </c>
      <c r="AB15" s="59">
        <v>10270</v>
      </c>
      <c r="AC15" s="59">
        <v>11185</v>
      </c>
      <c r="AD15" s="59">
        <v>12658</v>
      </c>
      <c r="AE15" s="59">
        <v>13845</v>
      </c>
      <c r="AF15" s="59">
        <v>14579</v>
      </c>
      <c r="AG15" s="59">
        <v>15226</v>
      </c>
      <c r="AH15" s="59">
        <v>18071</v>
      </c>
      <c r="AI15" s="59">
        <v>18886</v>
      </c>
      <c r="AJ15" s="59">
        <v>20737</v>
      </c>
      <c r="AK15" s="59">
        <v>23732</v>
      </c>
      <c r="AL15" s="59">
        <v>26267</v>
      </c>
      <c r="AM15" s="59">
        <v>31101</v>
      </c>
      <c r="AN15" s="59">
        <v>34541</v>
      </c>
      <c r="AO15" s="59">
        <v>42170</v>
      </c>
      <c r="AP15" s="59">
        <v>47849</v>
      </c>
      <c r="AQ15" s="59">
        <v>54839</v>
      </c>
      <c r="AR15" s="59">
        <v>62140</v>
      </c>
      <c r="AS15" s="59">
        <v>16876</v>
      </c>
      <c r="AT15" s="59">
        <v>71271</v>
      </c>
      <c r="AU15" s="59">
        <v>78524</v>
      </c>
      <c r="AV15" s="59">
        <v>87592</v>
      </c>
      <c r="AW15" s="59">
        <v>100615</v>
      </c>
      <c r="AX15" s="59">
        <v>119413</v>
      </c>
      <c r="AY15" s="59">
        <v>134655</v>
      </c>
      <c r="AZ15" s="59">
        <v>148312</v>
      </c>
      <c r="BA15" s="59">
        <v>155846</v>
      </c>
      <c r="BB15" s="59">
        <v>165422</v>
      </c>
      <c r="BC15" s="59">
        <v>174364</v>
      </c>
      <c r="BD15" s="59">
        <v>182055</v>
      </c>
      <c r="BE15" s="59">
        <v>192541</v>
      </c>
      <c r="BF15" s="59">
        <v>204648</v>
      </c>
      <c r="BG15" s="59">
        <v>218957</v>
      </c>
      <c r="BH15" s="59">
        <v>236120</v>
      </c>
      <c r="BI15" s="59">
        <v>251317</v>
      </c>
      <c r="BJ15" s="59">
        <v>264582</v>
      </c>
      <c r="BK15" s="59">
        <v>276291</v>
      </c>
      <c r="BL15" s="59">
        <v>288617</v>
      </c>
      <c r="BM15" s="59">
        <v>299985</v>
      </c>
      <c r="BN15" s="59">
        <v>312880</v>
      </c>
      <c r="BO15" s="59">
        <v>324274</v>
      </c>
      <c r="BP15" s="59">
        <v>332383</v>
      </c>
      <c r="BQ15" s="59">
        <v>347894</v>
      </c>
      <c r="BR15" s="59">
        <v>367702</v>
      </c>
      <c r="BS15" s="59">
        <v>383970</v>
      </c>
      <c r="BT15" s="59">
        <v>396597</v>
      </c>
      <c r="BU15" s="59">
        <v>411157</v>
      </c>
      <c r="BV15" s="59">
        <v>430375</v>
      </c>
      <c r="BW15" s="59">
        <v>454265</v>
      </c>
      <c r="BX15" s="59">
        <v>479742</v>
      </c>
      <c r="BY15" s="59">
        <v>502990</v>
      </c>
      <c r="BZ15" s="59">
        <v>544598</v>
      </c>
      <c r="CA15" s="59">
        <v>572528</v>
      </c>
      <c r="CB15" s="59">
        <v>591490</v>
      </c>
      <c r="CC15" s="59">
        <v>627221</v>
      </c>
      <c r="CD15" s="59">
        <v>663213</v>
      </c>
      <c r="CE15" s="59">
        <v>698235</v>
      </c>
      <c r="CF15" s="59">
        <v>733713</v>
      </c>
      <c r="CG15" s="59">
        <v>771988</v>
      </c>
      <c r="CH15" s="59">
        <v>812596</v>
      </c>
      <c r="CI15" s="59">
        <v>865418</v>
      </c>
      <c r="CJ15" s="59">
        <v>923488</v>
      </c>
      <c r="CK15" s="59">
        <v>984742</v>
      </c>
      <c r="CL15" s="59">
        <v>1045379</v>
      </c>
    </row>
    <row r="16" spans="1:90" s="52" customFormat="1" ht="13">
      <c r="A16" s="52">
        <v>13</v>
      </c>
      <c r="C16" s="58" t="s">
        <v>438</v>
      </c>
      <c r="D16" s="59" t="s">
        <v>428</v>
      </c>
      <c r="E16" s="59" t="s">
        <v>428</v>
      </c>
      <c r="F16" s="59" t="s">
        <v>428</v>
      </c>
      <c r="G16" s="59" t="s">
        <v>428</v>
      </c>
      <c r="H16" s="59" t="s">
        <v>428</v>
      </c>
      <c r="I16" s="59" t="s">
        <v>428</v>
      </c>
      <c r="J16" s="59" t="s">
        <v>428</v>
      </c>
      <c r="K16" s="59" t="s">
        <v>428</v>
      </c>
      <c r="L16" s="59" t="s">
        <v>428</v>
      </c>
      <c r="M16" s="59" t="s">
        <v>428</v>
      </c>
      <c r="N16" s="59" t="s">
        <v>428</v>
      </c>
      <c r="O16" s="59" t="s">
        <v>428</v>
      </c>
      <c r="P16" s="59" t="s">
        <v>428</v>
      </c>
      <c r="Q16" s="59" t="s">
        <v>428</v>
      </c>
      <c r="R16" s="59" t="s">
        <v>428</v>
      </c>
      <c r="S16" s="59" t="s">
        <v>428</v>
      </c>
      <c r="T16" s="59" t="s">
        <v>428</v>
      </c>
      <c r="U16" s="59" t="s">
        <v>428</v>
      </c>
      <c r="V16" s="59" t="s">
        <v>428</v>
      </c>
      <c r="W16" s="59" t="s">
        <v>428</v>
      </c>
      <c r="X16" s="59" t="s">
        <v>428</v>
      </c>
      <c r="Y16" s="59" t="s">
        <v>428</v>
      </c>
      <c r="Z16" s="59" t="s">
        <v>428</v>
      </c>
      <c r="AA16" s="59">
        <v>124</v>
      </c>
      <c r="AB16" s="59">
        <v>600</v>
      </c>
      <c r="AC16" s="59">
        <v>332</v>
      </c>
      <c r="AD16" s="59">
        <v>361</v>
      </c>
      <c r="AE16" s="59">
        <v>423</v>
      </c>
      <c r="AF16" s="59">
        <v>403</v>
      </c>
      <c r="AG16" s="59">
        <v>436</v>
      </c>
      <c r="AH16" s="59">
        <v>444</v>
      </c>
      <c r="AI16" s="59">
        <v>508</v>
      </c>
      <c r="AJ16" s="59">
        <v>438</v>
      </c>
      <c r="AK16" s="59">
        <v>491</v>
      </c>
      <c r="AL16" s="59">
        <v>579</v>
      </c>
      <c r="AM16" s="59">
        <v>613</v>
      </c>
      <c r="AN16" s="59">
        <v>724</v>
      </c>
      <c r="AO16" s="59">
        <v>783</v>
      </c>
      <c r="AP16" s="59">
        <v>909</v>
      </c>
      <c r="AQ16" s="59">
        <v>982</v>
      </c>
      <c r="AR16" s="59">
        <v>1212</v>
      </c>
      <c r="AS16" s="59" t="s">
        <v>428</v>
      </c>
      <c r="AT16" s="59">
        <v>1208</v>
      </c>
      <c r="AU16" s="59">
        <v>1589</v>
      </c>
      <c r="AV16" s="59">
        <v>1448</v>
      </c>
      <c r="AW16" s="59">
        <v>1442</v>
      </c>
      <c r="AX16" s="59">
        <v>1585</v>
      </c>
      <c r="AY16" s="59">
        <v>1793</v>
      </c>
      <c r="AZ16" s="59">
        <v>2251</v>
      </c>
      <c r="BA16" s="59">
        <v>2404</v>
      </c>
      <c r="BB16" s="59">
        <v>2310</v>
      </c>
      <c r="BC16" s="59">
        <v>2585</v>
      </c>
      <c r="BD16" s="59">
        <v>2557</v>
      </c>
      <c r="BE16" s="59">
        <v>2790</v>
      </c>
      <c r="BF16" s="59">
        <v>2845</v>
      </c>
      <c r="BG16" s="59">
        <v>2969</v>
      </c>
      <c r="BH16" s="59">
        <v>3375</v>
      </c>
      <c r="BI16" s="59">
        <v>3148</v>
      </c>
      <c r="BJ16" s="59">
        <v>3353</v>
      </c>
      <c r="BK16" s="59">
        <v>3420</v>
      </c>
      <c r="BL16" s="59">
        <v>4052</v>
      </c>
      <c r="BM16" s="59">
        <v>3554</v>
      </c>
      <c r="BN16" s="59">
        <v>3688</v>
      </c>
      <c r="BO16" s="59">
        <v>3662</v>
      </c>
      <c r="BP16" s="59">
        <v>3681</v>
      </c>
      <c r="BQ16" s="59">
        <v>3538</v>
      </c>
      <c r="BR16" s="59">
        <v>3273</v>
      </c>
      <c r="BS16" s="59">
        <v>3493</v>
      </c>
      <c r="BT16" s="59">
        <v>3580</v>
      </c>
      <c r="BU16" s="59">
        <v>3628</v>
      </c>
      <c r="BV16" s="59">
        <v>3579</v>
      </c>
      <c r="BW16" s="59">
        <v>3458</v>
      </c>
      <c r="BX16" s="59">
        <v>3575</v>
      </c>
      <c r="BY16" s="59">
        <v>3632</v>
      </c>
      <c r="BZ16" s="59">
        <v>3690</v>
      </c>
      <c r="CA16" s="59">
        <v>3930</v>
      </c>
      <c r="CB16" s="59">
        <v>4110</v>
      </c>
      <c r="CC16" s="59">
        <v>4139</v>
      </c>
      <c r="CD16" s="59">
        <v>3948</v>
      </c>
      <c r="CE16" s="59">
        <v>4257</v>
      </c>
      <c r="CF16" s="59">
        <v>4258</v>
      </c>
      <c r="CG16" s="59">
        <v>4241</v>
      </c>
      <c r="CH16" s="59">
        <v>4120</v>
      </c>
      <c r="CI16" s="59">
        <v>4567</v>
      </c>
      <c r="CJ16" s="59">
        <v>4682</v>
      </c>
      <c r="CK16" s="59">
        <v>4747</v>
      </c>
      <c r="CL16" s="59">
        <v>4700</v>
      </c>
    </row>
    <row r="17" spans="1:90" s="52" customFormat="1" ht="13">
      <c r="A17" s="52">
        <v>14</v>
      </c>
      <c r="C17" s="58" t="s">
        <v>439</v>
      </c>
      <c r="D17" s="59" t="s">
        <v>428</v>
      </c>
      <c r="E17" s="59" t="s">
        <v>428</v>
      </c>
      <c r="F17" s="59" t="s">
        <v>428</v>
      </c>
      <c r="G17" s="59" t="s">
        <v>428</v>
      </c>
      <c r="H17" s="59" t="s">
        <v>428</v>
      </c>
      <c r="I17" s="59" t="s">
        <v>428</v>
      </c>
      <c r="J17" s="59" t="s">
        <v>428</v>
      </c>
      <c r="K17" s="59" t="s">
        <v>428</v>
      </c>
      <c r="L17" s="59" t="s">
        <v>428</v>
      </c>
      <c r="M17" s="59" t="s">
        <v>428</v>
      </c>
      <c r="N17" s="59" t="s">
        <v>428</v>
      </c>
      <c r="O17" s="59" t="s">
        <v>428</v>
      </c>
      <c r="P17" s="59" t="s">
        <v>428</v>
      </c>
      <c r="Q17" s="59" t="s">
        <v>428</v>
      </c>
      <c r="R17" s="59" t="s">
        <v>428</v>
      </c>
      <c r="S17" s="59" t="s">
        <v>428</v>
      </c>
      <c r="T17" s="59" t="s">
        <v>428</v>
      </c>
      <c r="U17" s="59" t="s">
        <v>428</v>
      </c>
      <c r="V17" s="59" t="s">
        <v>428</v>
      </c>
      <c r="W17" s="59" t="s">
        <v>428</v>
      </c>
      <c r="X17" s="59" t="s">
        <v>428</v>
      </c>
      <c r="Y17" s="59" t="s">
        <v>428</v>
      </c>
      <c r="Z17" s="59" t="s">
        <v>428</v>
      </c>
      <c r="AA17" s="59" t="s">
        <v>428</v>
      </c>
      <c r="AB17" s="59" t="s">
        <v>428</v>
      </c>
      <c r="AC17" s="59" t="s">
        <v>428</v>
      </c>
      <c r="AD17" s="59" t="s">
        <v>428</v>
      </c>
      <c r="AE17" s="59" t="s">
        <v>428</v>
      </c>
      <c r="AF17" s="59" t="s">
        <v>428</v>
      </c>
      <c r="AG17" s="59" t="s">
        <v>428</v>
      </c>
      <c r="AH17" s="59" t="s">
        <v>428</v>
      </c>
      <c r="AI17" s="59" t="s">
        <v>428</v>
      </c>
      <c r="AJ17" s="59" t="s">
        <v>428</v>
      </c>
      <c r="AK17" s="59" t="s">
        <v>428</v>
      </c>
      <c r="AL17" s="59" t="s">
        <v>428</v>
      </c>
      <c r="AM17" s="59" t="s">
        <v>428</v>
      </c>
      <c r="AN17" s="59" t="s">
        <v>428</v>
      </c>
      <c r="AO17" s="59" t="s">
        <v>428</v>
      </c>
      <c r="AP17" s="59" t="s">
        <v>428</v>
      </c>
      <c r="AQ17" s="59" t="s">
        <v>428</v>
      </c>
      <c r="AR17" s="59" t="s">
        <v>428</v>
      </c>
      <c r="AS17" s="59" t="s">
        <v>428</v>
      </c>
      <c r="AT17" s="59" t="s">
        <v>428</v>
      </c>
      <c r="AU17" s="59" t="s">
        <v>428</v>
      </c>
      <c r="AV17" s="59" t="s">
        <v>428</v>
      </c>
      <c r="AW17" s="59" t="s">
        <v>428</v>
      </c>
      <c r="AX17" s="59" t="s">
        <v>428</v>
      </c>
      <c r="AY17" s="59" t="s">
        <v>428</v>
      </c>
      <c r="AZ17" s="59">
        <v>1544</v>
      </c>
      <c r="BA17" s="59">
        <v>2565</v>
      </c>
      <c r="BB17" s="59">
        <v>2293</v>
      </c>
      <c r="BC17" s="59">
        <v>1013</v>
      </c>
      <c r="BD17" s="59">
        <v>625</v>
      </c>
      <c r="BE17" s="59">
        <v>836</v>
      </c>
      <c r="BF17" s="59">
        <v>989</v>
      </c>
      <c r="BG17" s="59">
        <v>982</v>
      </c>
      <c r="BH17" s="59">
        <v>418</v>
      </c>
      <c r="BI17" s="59" t="s">
        <v>428</v>
      </c>
      <c r="BJ17" s="59" t="s">
        <v>440</v>
      </c>
      <c r="BK17" s="59" t="s">
        <v>428</v>
      </c>
      <c r="BL17" s="59" t="s">
        <v>428</v>
      </c>
      <c r="BM17" s="59" t="s">
        <v>428</v>
      </c>
      <c r="BN17" s="59" t="s">
        <v>428</v>
      </c>
      <c r="BO17" s="59" t="s">
        <v>428</v>
      </c>
      <c r="BP17" s="59" t="s">
        <v>428</v>
      </c>
      <c r="BQ17" s="59" t="s">
        <v>428</v>
      </c>
      <c r="BR17" s="59" t="s">
        <v>428</v>
      </c>
      <c r="BS17" s="59" t="s">
        <v>428</v>
      </c>
      <c r="BT17" s="59" t="s">
        <v>428</v>
      </c>
      <c r="BU17" s="59" t="s">
        <v>428</v>
      </c>
      <c r="BV17" s="59" t="s">
        <v>428</v>
      </c>
      <c r="BW17" s="59" t="s">
        <v>428</v>
      </c>
      <c r="BX17" s="59" t="s">
        <v>428</v>
      </c>
      <c r="BY17" s="59" t="s">
        <v>428</v>
      </c>
      <c r="BZ17" s="59" t="s">
        <v>428</v>
      </c>
      <c r="CA17" s="59" t="s">
        <v>428</v>
      </c>
      <c r="CB17" s="59" t="s">
        <v>428</v>
      </c>
      <c r="CC17" s="59" t="s">
        <v>428</v>
      </c>
      <c r="CD17" s="59" t="s">
        <v>428</v>
      </c>
      <c r="CE17" s="59" t="s">
        <v>428</v>
      </c>
      <c r="CF17" s="59" t="s">
        <v>428</v>
      </c>
      <c r="CG17" s="59" t="s">
        <v>428</v>
      </c>
      <c r="CH17" s="59" t="s">
        <v>428</v>
      </c>
      <c r="CI17" s="59" t="s">
        <v>428</v>
      </c>
      <c r="CJ17" s="59" t="s">
        <v>428</v>
      </c>
      <c r="CK17" s="59" t="s">
        <v>428</v>
      </c>
      <c r="CL17" s="59" t="s">
        <v>428</v>
      </c>
    </row>
    <row r="18" spans="1:90" s="52" customFormat="1" ht="13">
      <c r="A18" s="52">
        <v>15</v>
      </c>
      <c r="C18" s="58" t="s">
        <v>441</v>
      </c>
      <c r="D18" s="59" t="s">
        <v>428</v>
      </c>
      <c r="E18" s="59" t="s">
        <v>428</v>
      </c>
      <c r="F18" s="59" t="s">
        <v>428</v>
      </c>
      <c r="G18" s="59" t="s">
        <v>428</v>
      </c>
      <c r="H18" s="59">
        <v>12</v>
      </c>
      <c r="I18" s="59">
        <v>27</v>
      </c>
      <c r="J18" s="59">
        <v>27</v>
      </c>
      <c r="K18" s="59">
        <v>27</v>
      </c>
      <c r="L18" s="59">
        <v>33</v>
      </c>
      <c r="M18" s="59">
        <v>27</v>
      </c>
      <c r="N18" s="59">
        <v>37</v>
      </c>
      <c r="O18" s="59">
        <v>41</v>
      </c>
      <c r="P18" s="59">
        <v>47</v>
      </c>
      <c r="Q18" s="59">
        <v>53</v>
      </c>
      <c r="R18" s="59">
        <v>57</v>
      </c>
      <c r="S18" s="59">
        <v>70</v>
      </c>
      <c r="T18" s="59">
        <v>85</v>
      </c>
      <c r="U18" s="59">
        <v>89</v>
      </c>
      <c r="V18" s="59">
        <v>89</v>
      </c>
      <c r="W18" s="59">
        <v>103</v>
      </c>
      <c r="X18" s="59">
        <v>124</v>
      </c>
      <c r="Y18" s="59">
        <v>150</v>
      </c>
      <c r="Z18" s="59">
        <v>166</v>
      </c>
      <c r="AA18" s="59">
        <v>206</v>
      </c>
      <c r="AB18" s="59">
        <v>203</v>
      </c>
      <c r="AC18" s="59">
        <v>236</v>
      </c>
      <c r="AD18" s="59">
        <v>252</v>
      </c>
      <c r="AE18" s="59">
        <v>263</v>
      </c>
      <c r="AF18" s="59">
        <v>303</v>
      </c>
      <c r="AG18" s="59">
        <v>300</v>
      </c>
      <c r="AH18" s="59">
        <v>254</v>
      </c>
      <c r="AI18" s="59">
        <v>334</v>
      </c>
      <c r="AJ18" s="59">
        <v>449</v>
      </c>
      <c r="AK18" s="59">
        <v>465</v>
      </c>
      <c r="AL18" s="59">
        <v>474</v>
      </c>
      <c r="AM18" s="59">
        <v>552</v>
      </c>
      <c r="AN18" s="59">
        <v>582</v>
      </c>
      <c r="AO18" s="59">
        <v>667</v>
      </c>
      <c r="AP18" s="59">
        <v>723</v>
      </c>
      <c r="AQ18" s="59">
        <v>848</v>
      </c>
      <c r="AR18" s="59">
        <v>935</v>
      </c>
      <c r="AS18" s="59">
        <v>234</v>
      </c>
      <c r="AT18" s="59">
        <v>993</v>
      </c>
      <c r="AU18" s="59">
        <v>1086</v>
      </c>
      <c r="AV18" s="59">
        <v>1077</v>
      </c>
      <c r="AW18" s="59">
        <v>1160</v>
      </c>
      <c r="AX18" s="59">
        <v>1302</v>
      </c>
      <c r="AY18" s="59">
        <v>1475</v>
      </c>
      <c r="AZ18" s="59">
        <v>1552</v>
      </c>
      <c r="BA18" s="59">
        <v>1585</v>
      </c>
      <c r="BB18" s="59">
        <v>1588</v>
      </c>
      <c r="BC18" s="59">
        <v>1610</v>
      </c>
      <c r="BD18" s="59">
        <v>1542</v>
      </c>
      <c r="BE18" s="59">
        <v>1730</v>
      </c>
      <c r="BF18" s="59">
        <v>1658</v>
      </c>
      <c r="BG18" s="59">
        <v>1566</v>
      </c>
      <c r="BH18" s="59">
        <v>1747</v>
      </c>
      <c r="BI18" s="59">
        <v>1824</v>
      </c>
      <c r="BJ18" s="59">
        <v>2026</v>
      </c>
      <c r="BK18" s="59">
        <v>1876</v>
      </c>
      <c r="BL18" s="59">
        <v>1805</v>
      </c>
      <c r="BM18" s="59">
        <v>1793</v>
      </c>
      <c r="BN18" s="59">
        <v>2001</v>
      </c>
      <c r="BO18" s="59">
        <v>1833</v>
      </c>
      <c r="BP18" s="59">
        <v>1851</v>
      </c>
      <c r="BQ18" s="59">
        <v>1995</v>
      </c>
      <c r="BR18" s="59">
        <v>2093</v>
      </c>
      <c r="BS18" s="59">
        <v>2118</v>
      </c>
      <c r="BT18" s="59">
        <v>2519</v>
      </c>
      <c r="BU18" s="59">
        <v>2517</v>
      </c>
      <c r="BV18" s="59">
        <v>2874</v>
      </c>
      <c r="BW18" s="59">
        <v>2987</v>
      </c>
      <c r="BX18" s="59">
        <v>2992</v>
      </c>
      <c r="BY18" s="59">
        <v>3295</v>
      </c>
      <c r="BZ18" s="59">
        <v>3373</v>
      </c>
      <c r="CA18" s="59">
        <v>3467</v>
      </c>
      <c r="CB18" s="59">
        <v>3657</v>
      </c>
      <c r="CC18" s="59">
        <v>3370</v>
      </c>
      <c r="CD18" s="59">
        <v>3421</v>
      </c>
      <c r="CE18" s="59">
        <v>3434</v>
      </c>
      <c r="CF18" s="59">
        <v>3506</v>
      </c>
      <c r="CG18" s="59">
        <v>3244</v>
      </c>
      <c r="CH18" s="59">
        <v>3303</v>
      </c>
      <c r="CI18" s="59">
        <v>3324</v>
      </c>
      <c r="CJ18" s="59">
        <v>3385</v>
      </c>
      <c r="CK18" s="59">
        <v>3449</v>
      </c>
      <c r="CL18" s="59">
        <v>3513</v>
      </c>
    </row>
    <row r="19" spans="1:90" s="52" customFormat="1" ht="13">
      <c r="A19" s="52">
        <v>16</v>
      </c>
      <c r="C19" s="58" t="s">
        <v>442</v>
      </c>
      <c r="D19" s="59" t="s">
        <v>428</v>
      </c>
      <c r="E19" s="59" t="s">
        <v>428</v>
      </c>
      <c r="F19" s="59" t="s">
        <v>428</v>
      </c>
      <c r="G19" s="59" t="s">
        <v>428</v>
      </c>
      <c r="H19" s="59" t="s">
        <v>428</v>
      </c>
      <c r="I19" s="59" t="s">
        <v>428</v>
      </c>
      <c r="J19" s="59" t="s">
        <v>428</v>
      </c>
      <c r="K19" s="59" t="s">
        <v>428</v>
      </c>
      <c r="L19" s="59" t="s">
        <v>428</v>
      </c>
      <c r="M19" s="59" t="s">
        <v>428</v>
      </c>
      <c r="N19" s="59" t="s">
        <v>428</v>
      </c>
      <c r="O19" s="59" t="s">
        <v>428</v>
      </c>
      <c r="P19" s="59" t="s">
        <v>428</v>
      </c>
      <c r="Q19" s="59" t="s">
        <v>428</v>
      </c>
      <c r="R19" s="59" t="s">
        <v>428</v>
      </c>
      <c r="S19" s="59" t="s">
        <v>428</v>
      </c>
      <c r="T19" s="59" t="s">
        <v>428</v>
      </c>
      <c r="U19" s="59" t="s">
        <v>428</v>
      </c>
      <c r="V19" s="59" t="s">
        <v>428</v>
      </c>
      <c r="W19" s="59" t="s">
        <v>428</v>
      </c>
      <c r="X19" s="59" t="s">
        <v>428</v>
      </c>
      <c r="Y19" s="59" t="s">
        <v>428</v>
      </c>
      <c r="Z19" s="59" t="s">
        <v>428</v>
      </c>
      <c r="AA19" s="59" t="s">
        <v>428</v>
      </c>
      <c r="AB19" s="59" t="s">
        <v>428</v>
      </c>
      <c r="AC19" s="59" t="s">
        <v>428</v>
      </c>
      <c r="AD19" s="59" t="s">
        <v>428</v>
      </c>
      <c r="AE19" s="59" t="s">
        <v>428</v>
      </c>
      <c r="AF19" s="59" t="s">
        <v>428</v>
      </c>
      <c r="AG19" s="59" t="s">
        <v>428</v>
      </c>
      <c r="AH19" s="59" t="s">
        <v>428</v>
      </c>
      <c r="AI19" s="59" t="s">
        <v>428</v>
      </c>
      <c r="AJ19" s="59" t="s">
        <v>428</v>
      </c>
      <c r="AK19" s="59" t="s">
        <v>428</v>
      </c>
      <c r="AL19" s="59" t="s">
        <v>428</v>
      </c>
      <c r="AM19" s="59" t="s">
        <v>428</v>
      </c>
      <c r="AN19" s="59" t="s">
        <v>428</v>
      </c>
      <c r="AO19" s="59" t="s">
        <v>428</v>
      </c>
      <c r="AP19" s="59" t="s">
        <v>428</v>
      </c>
      <c r="AQ19" s="59" t="s">
        <v>428</v>
      </c>
      <c r="AR19" s="59" t="s">
        <v>428</v>
      </c>
      <c r="AS19" s="59" t="s">
        <v>428</v>
      </c>
      <c r="AT19" s="59" t="s">
        <v>428</v>
      </c>
      <c r="AU19" s="59" t="s">
        <v>428</v>
      </c>
      <c r="AV19" s="59" t="s">
        <v>428</v>
      </c>
      <c r="AW19" s="59" t="s">
        <v>428</v>
      </c>
      <c r="AX19" s="59" t="s">
        <v>428</v>
      </c>
      <c r="AY19" s="59" t="s">
        <v>428</v>
      </c>
      <c r="AZ19" s="59" t="s">
        <v>428</v>
      </c>
      <c r="BA19" s="59" t="s">
        <v>428</v>
      </c>
      <c r="BB19" s="59" t="s">
        <v>428</v>
      </c>
      <c r="BC19" s="59" t="s">
        <v>428</v>
      </c>
      <c r="BD19" s="59" t="s">
        <v>428</v>
      </c>
      <c r="BE19" s="59" t="s">
        <v>428</v>
      </c>
      <c r="BF19" s="59" t="s">
        <v>428</v>
      </c>
      <c r="BG19" s="59" t="s">
        <v>428</v>
      </c>
      <c r="BH19" s="59">
        <v>2114</v>
      </c>
      <c r="BI19" s="59" t="s">
        <v>428</v>
      </c>
      <c r="BJ19" s="59" t="s">
        <v>428</v>
      </c>
      <c r="BK19" s="59" t="s">
        <v>428</v>
      </c>
      <c r="BL19" s="59" t="s">
        <v>428</v>
      </c>
      <c r="BM19" s="59">
        <v>129</v>
      </c>
      <c r="BN19" s="59" t="s">
        <v>428</v>
      </c>
      <c r="BO19" s="59" t="s">
        <v>428</v>
      </c>
      <c r="BP19" s="59" t="s">
        <v>428</v>
      </c>
      <c r="BQ19" s="59" t="s">
        <v>428</v>
      </c>
      <c r="BR19" s="59" t="s">
        <v>428</v>
      </c>
      <c r="BS19" s="59" t="s">
        <v>428</v>
      </c>
      <c r="BT19" s="59" t="s">
        <v>428</v>
      </c>
      <c r="BU19" s="59" t="s">
        <v>428</v>
      </c>
      <c r="BV19" s="59" t="s">
        <v>428</v>
      </c>
      <c r="BW19" s="59">
        <v>350</v>
      </c>
      <c r="BX19" s="59" t="s">
        <v>428</v>
      </c>
      <c r="BY19" s="59" t="s">
        <v>428</v>
      </c>
      <c r="BZ19" s="59" t="s">
        <v>428</v>
      </c>
      <c r="CA19" s="59" t="s">
        <v>428</v>
      </c>
      <c r="CB19" s="59">
        <v>113</v>
      </c>
      <c r="CC19" s="59" t="s">
        <v>428</v>
      </c>
      <c r="CD19" s="59" t="s">
        <v>428</v>
      </c>
      <c r="CE19" s="59" t="s">
        <v>428</v>
      </c>
      <c r="CF19" s="59" t="s">
        <v>428</v>
      </c>
      <c r="CG19" s="59" t="s">
        <v>428</v>
      </c>
      <c r="CH19" s="59" t="s">
        <v>428</v>
      </c>
      <c r="CI19" s="59" t="s">
        <v>428</v>
      </c>
      <c r="CJ19" s="59" t="s">
        <v>428</v>
      </c>
      <c r="CK19" s="59" t="s">
        <v>428</v>
      </c>
      <c r="CL19" s="59" t="s">
        <v>428</v>
      </c>
    </row>
    <row r="20" spans="1:90" s="52" customFormat="1">
      <c r="A20" s="52">
        <v>17</v>
      </c>
      <c r="C20" s="58" t="s">
        <v>443</v>
      </c>
      <c r="D20" s="59" t="s">
        <v>428</v>
      </c>
      <c r="E20" s="59" t="s">
        <v>428</v>
      </c>
      <c r="F20" s="59" t="s">
        <v>428</v>
      </c>
      <c r="G20" s="59" t="s">
        <v>428</v>
      </c>
      <c r="H20" s="59" t="s">
        <v>428</v>
      </c>
      <c r="I20" s="59" t="s">
        <v>428</v>
      </c>
      <c r="J20" s="59" t="s">
        <v>428</v>
      </c>
      <c r="K20" s="59" t="s">
        <v>428</v>
      </c>
      <c r="L20" s="59" t="s">
        <v>428</v>
      </c>
      <c r="M20" s="59" t="s">
        <v>428</v>
      </c>
      <c r="N20" s="59" t="s">
        <v>428</v>
      </c>
      <c r="O20" s="59" t="s">
        <v>428</v>
      </c>
      <c r="P20" s="59" t="s">
        <v>428</v>
      </c>
      <c r="Q20" s="59" t="s">
        <v>428</v>
      </c>
      <c r="R20" s="59" t="s">
        <v>428</v>
      </c>
      <c r="S20" s="59" t="s">
        <v>428</v>
      </c>
      <c r="T20" s="59" t="s">
        <v>428</v>
      </c>
      <c r="U20" s="59" t="s">
        <v>428</v>
      </c>
      <c r="V20" s="59" t="s">
        <v>440</v>
      </c>
      <c r="W20" s="59" t="s">
        <v>428</v>
      </c>
      <c r="X20" s="59" t="s">
        <v>428</v>
      </c>
      <c r="Y20" s="59" t="s">
        <v>428</v>
      </c>
      <c r="Z20" s="59" t="s">
        <v>440</v>
      </c>
      <c r="AA20" s="59">
        <v>-3</v>
      </c>
      <c r="AB20" s="59">
        <v>-3</v>
      </c>
      <c r="AC20" s="59">
        <v>-22</v>
      </c>
      <c r="AD20" s="59">
        <v>9</v>
      </c>
      <c r="AE20" s="59">
        <v>1</v>
      </c>
      <c r="AF20" s="59">
        <v>-1</v>
      </c>
      <c r="AG20" s="59">
        <v>3</v>
      </c>
      <c r="AH20" s="59">
        <v>1</v>
      </c>
      <c r="AI20" s="59">
        <v>1</v>
      </c>
      <c r="AJ20" s="59" t="s">
        <v>432</v>
      </c>
      <c r="AK20" s="59">
        <v>2</v>
      </c>
      <c r="AL20" s="59">
        <v>1</v>
      </c>
      <c r="AM20" s="59">
        <v>2</v>
      </c>
      <c r="AN20" s="59">
        <v>1</v>
      </c>
      <c r="AO20" s="59">
        <v>3</v>
      </c>
      <c r="AP20" s="59">
        <v>2</v>
      </c>
      <c r="AQ20" s="59">
        <v>8</v>
      </c>
      <c r="AR20" s="59">
        <v>9</v>
      </c>
      <c r="AS20" s="59">
        <v>1</v>
      </c>
      <c r="AT20" s="59">
        <v>7</v>
      </c>
      <c r="AU20" s="59">
        <v>6</v>
      </c>
      <c r="AV20" s="59">
        <v>12</v>
      </c>
      <c r="AW20" s="59">
        <v>10</v>
      </c>
      <c r="AX20" s="59">
        <v>4</v>
      </c>
      <c r="AY20" s="59">
        <v>6</v>
      </c>
      <c r="AZ20" s="59">
        <v>330</v>
      </c>
      <c r="BA20" s="59">
        <v>6</v>
      </c>
      <c r="BB20" s="59" t="s">
        <v>432</v>
      </c>
      <c r="BC20" s="59" t="s">
        <v>428</v>
      </c>
      <c r="BD20" s="59" t="s">
        <v>428</v>
      </c>
      <c r="BE20" s="59" t="s">
        <v>440</v>
      </c>
      <c r="BF20" s="59" t="s">
        <v>428</v>
      </c>
      <c r="BG20" s="59" t="s">
        <v>432</v>
      </c>
      <c r="BH20" s="59" t="s">
        <v>432</v>
      </c>
      <c r="BI20" s="59" t="s">
        <v>428</v>
      </c>
      <c r="BJ20" s="59" t="s">
        <v>432</v>
      </c>
      <c r="BK20" s="59" t="s">
        <v>428</v>
      </c>
      <c r="BL20" s="59" t="s">
        <v>428</v>
      </c>
      <c r="BM20" s="59" t="s">
        <v>428</v>
      </c>
      <c r="BN20" s="59" t="s">
        <v>428</v>
      </c>
      <c r="BO20" s="59" t="s">
        <v>428</v>
      </c>
      <c r="BP20" s="59" t="s">
        <v>428</v>
      </c>
      <c r="BQ20" s="59" t="s">
        <v>428</v>
      </c>
      <c r="BR20" s="59">
        <v>-25</v>
      </c>
      <c r="BS20" s="59" t="s">
        <v>428</v>
      </c>
      <c r="BT20" s="59">
        <v>2</v>
      </c>
      <c r="BU20" s="59">
        <v>3</v>
      </c>
      <c r="BV20" s="59">
        <v>2</v>
      </c>
      <c r="BW20" s="59">
        <v>3</v>
      </c>
      <c r="BX20" s="59">
        <v>3</v>
      </c>
      <c r="BY20" s="59">
        <v>3</v>
      </c>
      <c r="BZ20" s="59">
        <v>3</v>
      </c>
      <c r="CA20" s="59">
        <v>3</v>
      </c>
      <c r="CB20" s="59">
        <v>2</v>
      </c>
      <c r="CC20" s="59">
        <v>2</v>
      </c>
      <c r="CD20" s="59">
        <v>4</v>
      </c>
      <c r="CE20" s="59">
        <v>2</v>
      </c>
      <c r="CF20" s="59">
        <v>-16</v>
      </c>
      <c r="CG20" s="59">
        <v>3</v>
      </c>
      <c r="CH20" s="59">
        <v>-6</v>
      </c>
      <c r="CI20" s="59" t="s">
        <v>428</v>
      </c>
      <c r="CJ20" s="59" t="s">
        <v>428</v>
      </c>
      <c r="CK20" s="59" t="s">
        <v>428</v>
      </c>
      <c r="CL20" s="59" t="s">
        <v>428</v>
      </c>
    </row>
    <row r="21" spans="1:90" s="52" customFormat="1" thickBot="1">
      <c r="A21" s="52">
        <v>18</v>
      </c>
      <c r="C21" s="60" t="s">
        <v>444</v>
      </c>
      <c r="D21" s="62" t="s">
        <v>428</v>
      </c>
      <c r="E21" s="62" t="s">
        <v>432</v>
      </c>
      <c r="F21" s="62">
        <v>5</v>
      </c>
      <c r="G21" s="62">
        <v>14</v>
      </c>
      <c r="H21" s="62">
        <v>28</v>
      </c>
      <c r="I21" s="62">
        <v>91</v>
      </c>
      <c r="J21" s="62">
        <v>137</v>
      </c>
      <c r="K21" s="62">
        <v>177</v>
      </c>
      <c r="L21" s="62">
        <v>217</v>
      </c>
      <c r="M21" s="62">
        <v>267</v>
      </c>
      <c r="N21" s="62">
        <v>358</v>
      </c>
      <c r="O21" s="62">
        <v>466</v>
      </c>
      <c r="P21" s="62">
        <v>559</v>
      </c>
      <c r="Q21" s="62">
        <v>661</v>
      </c>
      <c r="R21" s="62">
        <v>784</v>
      </c>
      <c r="S21" s="62">
        <v>1569</v>
      </c>
      <c r="T21" s="62">
        <v>2067</v>
      </c>
      <c r="U21" s="62">
        <v>2717</v>
      </c>
      <c r="V21" s="62">
        <v>3364</v>
      </c>
      <c r="W21" s="62">
        <v>4436</v>
      </c>
      <c r="X21" s="62">
        <v>5485</v>
      </c>
      <c r="Y21" s="62">
        <v>6665</v>
      </c>
      <c r="Z21" s="62">
        <v>8041</v>
      </c>
      <c r="AA21" s="62">
        <v>9377</v>
      </c>
      <c r="AB21" s="62">
        <v>11069</v>
      </c>
      <c r="AC21" s="62">
        <v>11730</v>
      </c>
      <c r="AD21" s="62">
        <v>13279</v>
      </c>
      <c r="AE21" s="62">
        <v>14531</v>
      </c>
      <c r="AF21" s="62">
        <v>15284</v>
      </c>
      <c r="AG21" s="62">
        <v>15965</v>
      </c>
      <c r="AH21" s="62">
        <v>18770</v>
      </c>
      <c r="AI21" s="62">
        <v>19729</v>
      </c>
      <c r="AJ21" s="62">
        <v>21624</v>
      </c>
      <c r="AK21" s="62">
        <v>24690</v>
      </c>
      <c r="AL21" s="62">
        <v>27320</v>
      </c>
      <c r="AM21" s="62">
        <v>32268</v>
      </c>
      <c r="AN21" s="62">
        <v>35848</v>
      </c>
      <c r="AO21" s="62">
        <v>43623</v>
      </c>
      <c r="AP21" s="62">
        <v>49483</v>
      </c>
      <c r="AQ21" s="62">
        <v>56676</v>
      </c>
      <c r="AR21" s="62">
        <v>64296</v>
      </c>
      <c r="AS21" s="62">
        <v>17110</v>
      </c>
      <c r="AT21" s="62">
        <v>73479</v>
      </c>
      <c r="AU21" s="62">
        <v>81205</v>
      </c>
      <c r="AV21" s="62">
        <v>90129</v>
      </c>
      <c r="AW21" s="62">
        <v>103227</v>
      </c>
      <c r="AX21" s="62">
        <v>122304</v>
      </c>
      <c r="AY21" s="62">
        <v>137929</v>
      </c>
      <c r="AZ21" s="62">
        <v>153989</v>
      </c>
      <c r="BA21" s="62">
        <v>162406</v>
      </c>
      <c r="BB21" s="62">
        <v>171614</v>
      </c>
      <c r="BC21" s="62">
        <v>179572</v>
      </c>
      <c r="BD21" s="62">
        <v>186780</v>
      </c>
      <c r="BE21" s="62">
        <v>197897</v>
      </c>
      <c r="BF21" s="62">
        <v>210141</v>
      </c>
      <c r="BG21" s="62">
        <v>224475</v>
      </c>
      <c r="BH21" s="62">
        <v>243774</v>
      </c>
      <c r="BI21" s="62">
        <v>256290</v>
      </c>
      <c r="BJ21" s="62">
        <v>269960</v>
      </c>
      <c r="BK21" s="62">
        <v>281586</v>
      </c>
      <c r="BL21" s="62">
        <v>294474</v>
      </c>
      <c r="BM21" s="62">
        <v>305461</v>
      </c>
      <c r="BN21" s="62">
        <v>318569</v>
      </c>
      <c r="BO21" s="62">
        <v>329769</v>
      </c>
      <c r="BP21" s="62">
        <v>337915</v>
      </c>
      <c r="BQ21" s="62">
        <v>353427</v>
      </c>
      <c r="BR21" s="62">
        <v>373043</v>
      </c>
      <c r="BS21" s="62">
        <v>389581</v>
      </c>
      <c r="BT21" s="62">
        <v>402698</v>
      </c>
      <c r="BU21" s="62">
        <v>417305</v>
      </c>
      <c r="BV21" s="62">
        <v>436830</v>
      </c>
      <c r="BW21" s="62">
        <v>461063</v>
      </c>
      <c r="BX21" s="62">
        <v>486312</v>
      </c>
      <c r="BY21" s="62">
        <v>509920</v>
      </c>
      <c r="BZ21" s="62">
        <v>551664</v>
      </c>
      <c r="CA21" s="62">
        <v>579928</v>
      </c>
      <c r="CB21" s="62">
        <v>599372</v>
      </c>
      <c r="CC21" s="62">
        <v>634732</v>
      </c>
      <c r="CD21" s="62">
        <v>670586</v>
      </c>
      <c r="CE21" s="62">
        <v>705928</v>
      </c>
      <c r="CF21" s="62">
        <v>741461</v>
      </c>
      <c r="CG21" s="62">
        <v>779476</v>
      </c>
      <c r="CH21" s="62">
        <v>820013</v>
      </c>
      <c r="CI21" s="62">
        <v>873309</v>
      </c>
      <c r="CJ21" s="62">
        <v>931555</v>
      </c>
      <c r="CK21" s="62">
        <v>992938</v>
      </c>
      <c r="CL21" s="62">
        <v>1053592</v>
      </c>
    </row>
    <row r="22" spans="1:90" s="52" customFormat="1" ht="15" thickTop="1" thickBot="1">
      <c r="A22" s="52">
        <v>19</v>
      </c>
      <c r="C22" s="63" t="s">
        <v>445</v>
      </c>
      <c r="D22" s="64" t="s">
        <v>428</v>
      </c>
      <c r="E22" s="64">
        <v>267</v>
      </c>
      <c r="F22" s="64">
        <v>397</v>
      </c>
      <c r="G22" s="64">
        <v>516</v>
      </c>
      <c r="H22" s="64">
        <v>564</v>
      </c>
      <c r="I22" s="64">
        <v>653</v>
      </c>
      <c r="J22" s="64">
        <v>830</v>
      </c>
      <c r="K22" s="64">
        <v>1041</v>
      </c>
      <c r="L22" s="64">
        <v>1178</v>
      </c>
      <c r="M22" s="64">
        <v>1167</v>
      </c>
      <c r="N22" s="64">
        <v>1028</v>
      </c>
      <c r="O22" s="64">
        <v>1157</v>
      </c>
      <c r="P22" s="64">
        <v>1248</v>
      </c>
      <c r="Q22" s="64">
        <v>1263</v>
      </c>
      <c r="R22" s="64">
        <v>1583</v>
      </c>
      <c r="S22" s="64">
        <v>1843</v>
      </c>
      <c r="T22" s="64">
        <v>1864</v>
      </c>
      <c r="U22" s="64">
        <v>1766</v>
      </c>
      <c r="V22" s="64">
        <v>1677</v>
      </c>
      <c r="W22" s="64">
        <v>1098</v>
      </c>
      <c r="X22" s="64">
        <v>1452</v>
      </c>
      <c r="Y22" s="64">
        <v>436</v>
      </c>
      <c r="Z22" s="64">
        <v>-216</v>
      </c>
      <c r="AA22" s="64">
        <v>-1268</v>
      </c>
      <c r="AB22" s="64">
        <v>-710</v>
      </c>
      <c r="AC22" s="64">
        <v>94</v>
      </c>
      <c r="AD22" s="64">
        <v>-1268</v>
      </c>
      <c r="AE22" s="64">
        <v>-675</v>
      </c>
      <c r="AF22" s="64">
        <v>760</v>
      </c>
      <c r="AG22" s="64">
        <v>452</v>
      </c>
      <c r="AH22" s="64">
        <v>-309</v>
      </c>
      <c r="AI22" s="64">
        <v>3642</v>
      </c>
      <c r="AJ22" s="64">
        <v>2017</v>
      </c>
      <c r="AK22" s="64">
        <v>2657</v>
      </c>
      <c r="AL22" s="64">
        <v>4426</v>
      </c>
      <c r="AM22" s="64">
        <v>1714</v>
      </c>
      <c r="AN22" s="64">
        <v>2068</v>
      </c>
      <c r="AO22" s="64">
        <v>16</v>
      </c>
      <c r="AP22" s="64">
        <v>1452</v>
      </c>
      <c r="AQ22" s="64">
        <v>2080</v>
      </c>
      <c r="AR22" s="64">
        <v>-1969</v>
      </c>
      <c r="AS22" s="64">
        <v>-924</v>
      </c>
      <c r="AT22" s="64">
        <v>-1683</v>
      </c>
      <c r="AU22" s="64">
        <v>-4394</v>
      </c>
      <c r="AV22" s="64">
        <v>-3236</v>
      </c>
      <c r="AW22" s="64">
        <v>-3176</v>
      </c>
      <c r="AX22" s="64">
        <v>-733</v>
      </c>
      <c r="AY22" s="64">
        <v>-11300</v>
      </c>
      <c r="AZ22" s="64">
        <v>-3403</v>
      </c>
      <c r="BA22" s="64">
        <v>909</v>
      </c>
      <c r="BB22" s="64">
        <v>10673</v>
      </c>
      <c r="BC22" s="64">
        <v>16797</v>
      </c>
      <c r="BD22" s="64">
        <v>20745</v>
      </c>
      <c r="BE22" s="64">
        <v>38700</v>
      </c>
      <c r="BF22" s="64">
        <v>51354</v>
      </c>
      <c r="BG22" s="64">
        <v>55125</v>
      </c>
      <c r="BH22" s="64">
        <v>51972</v>
      </c>
      <c r="BI22" s="64">
        <v>50862</v>
      </c>
      <c r="BJ22" s="64">
        <v>49364</v>
      </c>
      <c r="BK22" s="64">
        <v>60691</v>
      </c>
      <c r="BL22" s="64">
        <v>31611</v>
      </c>
      <c r="BM22" s="64">
        <v>51532</v>
      </c>
      <c r="BN22" s="64">
        <v>67916</v>
      </c>
      <c r="BO22" s="64">
        <v>85918</v>
      </c>
      <c r="BP22" s="64">
        <v>109062</v>
      </c>
      <c r="BQ22" s="64">
        <v>130832</v>
      </c>
      <c r="BR22" s="64">
        <v>140828</v>
      </c>
      <c r="BS22" s="64">
        <v>139697</v>
      </c>
      <c r="BT22" s="64">
        <v>139663</v>
      </c>
      <c r="BU22" s="64">
        <v>139242</v>
      </c>
      <c r="BV22" s="64">
        <v>163239</v>
      </c>
      <c r="BW22" s="64">
        <v>176559</v>
      </c>
      <c r="BX22" s="64">
        <v>180028</v>
      </c>
      <c r="BY22" s="64">
        <v>183003</v>
      </c>
      <c r="BZ22" s="64">
        <v>145784</v>
      </c>
      <c r="CA22" s="64">
        <v>102542</v>
      </c>
      <c r="CB22" s="64">
        <v>93278</v>
      </c>
      <c r="CC22" s="64">
        <v>94282</v>
      </c>
      <c r="CD22" s="64">
        <v>69114</v>
      </c>
      <c r="CE22" s="64">
        <v>57380</v>
      </c>
      <c r="CF22" s="64">
        <v>53855</v>
      </c>
      <c r="CG22" s="64">
        <v>10159</v>
      </c>
      <c r="CH22" s="64">
        <v>-13208</v>
      </c>
      <c r="CI22" s="64">
        <v>-36253</v>
      </c>
      <c r="CJ22" s="64">
        <v>-30726</v>
      </c>
      <c r="CK22" s="64">
        <v>-50401</v>
      </c>
      <c r="CL22" s="64">
        <v>-66187</v>
      </c>
    </row>
    <row r="23" spans="1:90" s="52" customFormat="1" thickTop="1">
      <c r="A23" s="52">
        <v>20</v>
      </c>
      <c r="C23" s="63" t="s">
        <v>446</v>
      </c>
      <c r="D23" s="64" t="s">
        <v>428</v>
      </c>
      <c r="E23" s="64" t="s">
        <v>428</v>
      </c>
      <c r="F23" s="64" t="s">
        <v>428</v>
      </c>
      <c r="G23" s="64" t="s">
        <v>428</v>
      </c>
      <c r="H23" s="64" t="s">
        <v>428</v>
      </c>
      <c r="I23" s="64" t="s">
        <v>428</v>
      </c>
      <c r="J23" s="64" t="s">
        <v>428</v>
      </c>
      <c r="K23" s="64" t="s">
        <v>428</v>
      </c>
      <c r="L23" s="64" t="s">
        <v>428</v>
      </c>
      <c r="M23" s="64" t="s">
        <v>428</v>
      </c>
      <c r="N23" s="64" t="s">
        <v>428</v>
      </c>
      <c r="O23" s="64" t="s">
        <v>428</v>
      </c>
      <c r="P23" s="64" t="s">
        <v>428</v>
      </c>
      <c r="Q23" s="64" t="s">
        <v>428</v>
      </c>
      <c r="R23" s="64" t="s">
        <v>428</v>
      </c>
      <c r="S23" s="64" t="s">
        <v>428</v>
      </c>
      <c r="T23" s="64" t="s">
        <v>428</v>
      </c>
      <c r="U23" s="64" t="s">
        <v>428</v>
      </c>
      <c r="V23" s="64" t="s">
        <v>428</v>
      </c>
      <c r="W23" s="64" t="s">
        <v>428</v>
      </c>
      <c r="X23" s="64" t="s">
        <v>428</v>
      </c>
      <c r="Y23" s="64" t="s">
        <v>428</v>
      </c>
      <c r="Z23" s="64" t="s">
        <v>428</v>
      </c>
      <c r="AA23" s="64" t="s">
        <v>428</v>
      </c>
      <c r="AB23" s="64" t="s">
        <v>428</v>
      </c>
      <c r="AC23" s="64" t="s">
        <v>428</v>
      </c>
      <c r="AD23" s="64" t="s">
        <v>428</v>
      </c>
      <c r="AE23" s="64" t="s">
        <v>428</v>
      </c>
      <c r="AF23" s="64" t="s">
        <v>428</v>
      </c>
      <c r="AG23" s="64" t="s">
        <v>428</v>
      </c>
      <c r="AH23" s="64" t="s">
        <v>428</v>
      </c>
      <c r="AI23" s="64" t="s">
        <v>428</v>
      </c>
      <c r="AJ23" s="64" t="s">
        <v>428</v>
      </c>
      <c r="AK23" s="64" t="s">
        <v>428</v>
      </c>
      <c r="AL23" s="64" t="s">
        <v>428</v>
      </c>
      <c r="AM23" s="64" t="s">
        <v>428</v>
      </c>
      <c r="AN23" s="64" t="s">
        <v>428</v>
      </c>
      <c r="AO23" s="64" t="s">
        <v>428</v>
      </c>
      <c r="AP23" s="64" t="s">
        <v>428</v>
      </c>
      <c r="AQ23" s="64" t="s">
        <v>428</v>
      </c>
      <c r="AR23" s="64" t="s">
        <v>428</v>
      </c>
      <c r="AS23" s="64" t="s">
        <v>428</v>
      </c>
      <c r="AT23" s="64" t="s">
        <v>428</v>
      </c>
      <c r="AU23" s="64" t="s">
        <v>428</v>
      </c>
      <c r="AV23" s="64" t="s">
        <v>428</v>
      </c>
      <c r="AW23" s="64" t="s">
        <v>428</v>
      </c>
      <c r="AX23" s="64" t="s">
        <v>428</v>
      </c>
      <c r="AY23" s="64" t="s">
        <v>428</v>
      </c>
      <c r="AZ23" s="64">
        <v>17519</v>
      </c>
      <c r="BA23" s="64" t="s">
        <v>428</v>
      </c>
      <c r="BB23" s="64">
        <v>-4364</v>
      </c>
      <c r="BC23" s="64">
        <v>-13155</v>
      </c>
      <c r="BD23" s="64" t="s">
        <v>428</v>
      </c>
      <c r="BE23" s="64" t="s">
        <v>428</v>
      </c>
      <c r="BF23" s="64" t="s">
        <v>428</v>
      </c>
      <c r="BG23" s="64" t="s">
        <v>428</v>
      </c>
      <c r="BH23" s="64" t="s">
        <v>428</v>
      </c>
      <c r="BI23" s="64" t="s">
        <v>428</v>
      </c>
      <c r="BJ23" s="64" t="s">
        <v>428</v>
      </c>
      <c r="BK23" s="64" t="s">
        <v>428</v>
      </c>
      <c r="BL23" s="64" t="s">
        <v>428</v>
      </c>
      <c r="BM23" s="64" t="s">
        <v>428</v>
      </c>
      <c r="BN23" s="64" t="s">
        <v>428</v>
      </c>
      <c r="BO23" s="64" t="s">
        <v>428</v>
      </c>
      <c r="BP23" s="64" t="s">
        <v>428</v>
      </c>
      <c r="BQ23" s="64" t="s">
        <v>428</v>
      </c>
      <c r="BR23" s="64" t="s">
        <v>428</v>
      </c>
      <c r="BS23" s="64" t="s">
        <v>428</v>
      </c>
      <c r="BT23" s="64" t="s">
        <v>428</v>
      </c>
      <c r="BU23" s="64" t="s">
        <v>428</v>
      </c>
      <c r="BV23" s="64" t="s">
        <v>428</v>
      </c>
      <c r="BW23" s="64" t="s">
        <v>428</v>
      </c>
      <c r="BX23" s="64" t="s">
        <v>428</v>
      </c>
      <c r="BY23" s="64" t="s">
        <v>428</v>
      </c>
      <c r="BZ23" s="64" t="s">
        <v>428</v>
      </c>
      <c r="CA23" s="64" t="s">
        <v>428</v>
      </c>
      <c r="CB23" s="64" t="s">
        <v>428</v>
      </c>
      <c r="CC23" s="64" t="s">
        <v>428</v>
      </c>
      <c r="CD23" s="64" t="s">
        <v>428</v>
      </c>
      <c r="CE23" s="64" t="s">
        <v>428</v>
      </c>
      <c r="CF23" s="64" t="s">
        <v>428</v>
      </c>
      <c r="CG23" s="64" t="s">
        <v>428</v>
      </c>
      <c r="CH23" s="64" t="s">
        <v>428</v>
      </c>
      <c r="CI23" s="64" t="s">
        <v>428</v>
      </c>
      <c r="CJ23" s="64" t="s">
        <v>428</v>
      </c>
      <c r="CK23" s="64" t="s">
        <v>428</v>
      </c>
      <c r="CL23" s="64" t="s">
        <v>428</v>
      </c>
    </row>
    <row r="24" spans="1:90" s="52" customFormat="1" ht="13">
      <c r="A24" s="52">
        <v>21</v>
      </c>
      <c r="C24" s="63" t="s">
        <v>447</v>
      </c>
      <c r="D24" s="59" t="s">
        <v>428</v>
      </c>
      <c r="E24" s="59" t="s">
        <v>428</v>
      </c>
      <c r="F24" s="59" t="s">
        <v>428</v>
      </c>
      <c r="G24" s="59" t="s">
        <v>428</v>
      </c>
      <c r="H24" s="59" t="s">
        <v>428</v>
      </c>
      <c r="I24" s="59" t="s">
        <v>428</v>
      </c>
      <c r="J24" s="59" t="s">
        <v>428</v>
      </c>
      <c r="K24" s="59" t="s">
        <v>428</v>
      </c>
      <c r="L24" s="59" t="s">
        <v>428</v>
      </c>
      <c r="M24" s="59" t="s">
        <v>428</v>
      </c>
      <c r="N24" s="59" t="s">
        <v>428</v>
      </c>
      <c r="O24" s="59" t="s">
        <v>428</v>
      </c>
      <c r="P24" s="59" t="s">
        <v>428</v>
      </c>
      <c r="Q24" s="59" t="s">
        <v>428</v>
      </c>
      <c r="R24" s="59" t="s">
        <v>428</v>
      </c>
      <c r="S24" s="59" t="s">
        <v>428</v>
      </c>
      <c r="T24" s="59" t="s">
        <v>428</v>
      </c>
      <c r="U24" s="59" t="s">
        <v>428</v>
      </c>
      <c r="V24" s="59" t="s">
        <v>428</v>
      </c>
      <c r="W24" s="59" t="s">
        <v>428</v>
      </c>
      <c r="X24" s="59" t="s">
        <v>428</v>
      </c>
      <c r="Y24" s="59" t="s">
        <v>428</v>
      </c>
      <c r="Z24" s="59" t="s">
        <v>428</v>
      </c>
      <c r="AA24" s="59" t="s">
        <v>428</v>
      </c>
      <c r="AB24" s="59" t="s">
        <v>428</v>
      </c>
      <c r="AC24" s="59" t="s">
        <v>428</v>
      </c>
      <c r="AD24" s="59" t="s">
        <v>428</v>
      </c>
      <c r="AE24" s="59" t="s">
        <v>428</v>
      </c>
      <c r="AF24" s="59" t="s">
        <v>428</v>
      </c>
      <c r="AG24" s="59" t="s">
        <v>428</v>
      </c>
      <c r="AH24" s="59" t="s">
        <v>428</v>
      </c>
      <c r="AI24" s="59" t="s">
        <v>428</v>
      </c>
      <c r="AJ24" s="59" t="s">
        <v>428</v>
      </c>
      <c r="AK24" s="59" t="s">
        <v>428</v>
      </c>
      <c r="AL24" s="59" t="s">
        <v>428</v>
      </c>
      <c r="AM24" s="59" t="s">
        <v>428</v>
      </c>
      <c r="AN24" s="59" t="s">
        <v>428</v>
      </c>
      <c r="AO24" s="59" t="s">
        <v>428</v>
      </c>
      <c r="AP24" s="59" t="s">
        <v>428</v>
      </c>
      <c r="AQ24" s="59" t="s">
        <v>428</v>
      </c>
      <c r="AR24" s="59" t="s">
        <v>428</v>
      </c>
      <c r="AS24" s="59" t="s">
        <v>428</v>
      </c>
      <c r="AT24" s="59" t="s">
        <v>428</v>
      </c>
      <c r="AU24" s="59" t="s">
        <v>428</v>
      </c>
      <c r="AV24" s="59" t="s">
        <v>428</v>
      </c>
      <c r="AW24" s="59" t="s">
        <v>428</v>
      </c>
      <c r="AX24" s="59" t="s">
        <v>428</v>
      </c>
      <c r="AY24" s="59" t="s">
        <v>428</v>
      </c>
      <c r="AZ24" s="59" t="s">
        <v>428</v>
      </c>
      <c r="BA24" s="59" t="s">
        <v>428</v>
      </c>
      <c r="BB24" s="59" t="s">
        <v>428</v>
      </c>
      <c r="BC24" s="59" t="s">
        <v>428</v>
      </c>
      <c r="BD24" s="59" t="s">
        <v>428</v>
      </c>
      <c r="BE24" s="59" t="s">
        <v>428</v>
      </c>
      <c r="BF24" s="59" t="s">
        <v>428</v>
      </c>
      <c r="BG24" s="59" t="s">
        <v>428</v>
      </c>
      <c r="BH24" s="59" t="s">
        <v>428</v>
      </c>
      <c r="BI24" s="59" t="s">
        <v>428</v>
      </c>
      <c r="BJ24" s="59" t="s">
        <v>428</v>
      </c>
      <c r="BK24" s="59" t="s">
        <v>428</v>
      </c>
      <c r="BL24" s="59" t="s">
        <v>428</v>
      </c>
      <c r="BM24" s="59" t="s">
        <v>428</v>
      </c>
      <c r="BN24" s="59" t="s">
        <v>428</v>
      </c>
      <c r="BO24" s="59" t="s">
        <v>428</v>
      </c>
      <c r="BP24" s="59" t="s">
        <v>428</v>
      </c>
      <c r="BQ24" s="59" t="s">
        <v>428</v>
      </c>
      <c r="BR24" s="59" t="s">
        <v>428</v>
      </c>
      <c r="BS24" s="59" t="s">
        <v>428</v>
      </c>
      <c r="BT24" s="59" t="s">
        <v>428</v>
      </c>
      <c r="BU24" s="59" t="s">
        <v>428</v>
      </c>
      <c r="BV24" s="59" t="s">
        <v>428</v>
      </c>
      <c r="BW24" s="59" t="s">
        <v>428</v>
      </c>
      <c r="BX24" s="59">
        <v>-5042</v>
      </c>
      <c r="BY24" s="59" t="s">
        <v>428</v>
      </c>
      <c r="BZ24" s="59" t="s">
        <v>428</v>
      </c>
      <c r="CA24" s="59">
        <v>-102</v>
      </c>
      <c r="CB24" s="59" t="s">
        <v>428</v>
      </c>
      <c r="CC24" s="59" t="s">
        <v>428</v>
      </c>
      <c r="CD24" s="59">
        <v>-2</v>
      </c>
      <c r="CE24" s="59">
        <v>-1</v>
      </c>
      <c r="CF24" s="59" t="s">
        <v>428</v>
      </c>
      <c r="CG24" s="59" t="s">
        <v>428</v>
      </c>
      <c r="CH24" s="59" t="s">
        <v>428</v>
      </c>
      <c r="CI24" s="59" t="s">
        <v>428</v>
      </c>
      <c r="CJ24" s="59" t="s">
        <v>428</v>
      </c>
      <c r="CK24" s="59" t="s">
        <v>428</v>
      </c>
      <c r="CL24" s="59" t="s">
        <v>428</v>
      </c>
    </row>
    <row r="25" spans="1:90" s="52" customFormat="1" thickBot="1">
      <c r="A25" s="52">
        <v>22</v>
      </c>
      <c r="C25" s="63" t="s">
        <v>448</v>
      </c>
      <c r="D25" s="59" t="s">
        <v>428</v>
      </c>
      <c r="E25" s="59">
        <v>267</v>
      </c>
      <c r="F25" s="59">
        <v>664</v>
      </c>
      <c r="G25" s="59">
        <v>1180</v>
      </c>
      <c r="H25" s="59">
        <v>1745</v>
      </c>
      <c r="I25" s="59">
        <v>2398</v>
      </c>
      <c r="J25" s="59">
        <v>3227</v>
      </c>
      <c r="K25" s="59">
        <v>4268</v>
      </c>
      <c r="L25" s="59">
        <v>5446</v>
      </c>
      <c r="M25" s="59">
        <v>6613</v>
      </c>
      <c r="N25" s="59">
        <v>7641</v>
      </c>
      <c r="O25" s="59">
        <v>8798</v>
      </c>
      <c r="P25" s="59">
        <v>10047</v>
      </c>
      <c r="Q25" s="59">
        <v>11310</v>
      </c>
      <c r="R25" s="59">
        <v>12893</v>
      </c>
      <c r="S25" s="59">
        <v>14736</v>
      </c>
      <c r="T25" s="59">
        <v>16600</v>
      </c>
      <c r="U25" s="59">
        <v>18366</v>
      </c>
      <c r="V25" s="59">
        <v>20040</v>
      </c>
      <c r="W25" s="59">
        <v>21141</v>
      </c>
      <c r="X25" s="59">
        <v>22593</v>
      </c>
      <c r="Y25" s="59">
        <v>23029</v>
      </c>
      <c r="Z25" s="59">
        <v>22813</v>
      </c>
      <c r="AA25" s="59">
        <v>21545</v>
      </c>
      <c r="AB25" s="59">
        <v>20835</v>
      </c>
      <c r="AC25" s="59">
        <v>20929</v>
      </c>
      <c r="AD25" s="59">
        <v>19662</v>
      </c>
      <c r="AE25" s="59">
        <v>18987</v>
      </c>
      <c r="AF25" s="59">
        <v>19746</v>
      </c>
      <c r="AG25" s="59">
        <v>20198</v>
      </c>
      <c r="AH25" s="59">
        <v>19889</v>
      </c>
      <c r="AI25" s="59">
        <v>23531</v>
      </c>
      <c r="AJ25" s="59">
        <v>25548</v>
      </c>
      <c r="AK25" s="59">
        <v>28205</v>
      </c>
      <c r="AL25" s="59">
        <v>32631</v>
      </c>
      <c r="AM25" s="59">
        <v>34345</v>
      </c>
      <c r="AN25" s="59">
        <v>36413</v>
      </c>
      <c r="AO25" s="59">
        <v>36429</v>
      </c>
      <c r="AP25" s="59">
        <v>37881</v>
      </c>
      <c r="AQ25" s="59">
        <v>39961</v>
      </c>
      <c r="AR25" s="59">
        <v>37992</v>
      </c>
      <c r="AS25" s="59">
        <v>37068</v>
      </c>
      <c r="AT25" s="59">
        <v>35384</v>
      </c>
      <c r="AU25" s="59">
        <v>30990</v>
      </c>
      <c r="AV25" s="59">
        <v>27754</v>
      </c>
      <c r="AW25" s="59">
        <v>24578</v>
      </c>
      <c r="AX25" s="59">
        <v>23845</v>
      </c>
      <c r="AY25" s="59">
        <v>12545</v>
      </c>
      <c r="AZ25" s="59">
        <v>26661</v>
      </c>
      <c r="BA25" s="59">
        <v>27570</v>
      </c>
      <c r="BB25" s="59">
        <v>33879</v>
      </c>
      <c r="BC25" s="59">
        <v>37521</v>
      </c>
      <c r="BD25" s="59">
        <v>58266</v>
      </c>
      <c r="BE25" s="59">
        <v>96966</v>
      </c>
      <c r="BF25" s="59">
        <v>148320</v>
      </c>
      <c r="BG25" s="59">
        <v>203445</v>
      </c>
      <c r="BH25" s="59">
        <v>255417</v>
      </c>
      <c r="BI25" s="59">
        <v>306280</v>
      </c>
      <c r="BJ25" s="59">
        <v>355644</v>
      </c>
      <c r="BK25" s="59">
        <v>416335</v>
      </c>
      <c r="BL25" s="59">
        <v>447946</v>
      </c>
      <c r="BM25" s="59">
        <v>499479</v>
      </c>
      <c r="BN25" s="59">
        <v>567395</v>
      </c>
      <c r="BO25" s="59">
        <v>653314</v>
      </c>
      <c r="BP25" s="59">
        <v>762376</v>
      </c>
      <c r="BQ25" s="59">
        <v>893208</v>
      </c>
      <c r="BR25" s="59">
        <v>1034036</v>
      </c>
      <c r="BS25" s="59">
        <v>1173733</v>
      </c>
      <c r="BT25" s="59">
        <v>1313395</v>
      </c>
      <c r="BU25" s="59">
        <v>1452637</v>
      </c>
      <c r="BV25" s="59">
        <v>1615876</v>
      </c>
      <c r="BW25" s="59">
        <v>1792435</v>
      </c>
      <c r="BX25" s="59">
        <v>1967421</v>
      </c>
      <c r="BY25" s="59">
        <v>2150424</v>
      </c>
      <c r="BZ25" s="59">
        <v>2296208</v>
      </c>
      <c r="CA25" s="59">
        <v>2398648</v>
      </c>
      <c r="CB25" s="59">
        <v>2491926</v>
      </c>
      <c r="CC25" s="59">
        <v>2586208</v>
      </c>
      <c r="CD25" s="59">
        <v>2655320</v>
      </c>
      <c r="CE25" s="59">
        <v>2712699</v>
      </c>
      <c r="CF25" s="59">
        <v>2766554</v>
      </c>
      <c r="CG25" s="59">
        <v>2776713</v>
      </c>
      <c r="CH25" s="59">
        <v>2763505</v>
      </c>
      <c r="CI25" s="59">
        <v>2727252</v>
      </c>
      <c r="CJ25" s="59">
        <v>2696526</v>
      </c>
      <c r="CK25" s="59">
        <v>2646125</v>
      </c>
      <c r="CL25" s="59">
        <v>2579938</v>
      </c>
    </row>
    <row r="26" spans="1:90" s="52" customFormat="1" thickTop="1">
      <c r="A26" s="52">
        <v>23</v>
      </c>
      <c r="C26" s="63" t="s">
        <v>449</v>
      </c>
      <c r="D26" s="64" t="s">
        <v>428</v>
      </c>
      <c r="E26" s="64">
        <v>267</v>
      </c>
      <c r="F26" s="64">
        <v>662</v>
      </c>
      <c r="G26" s="64">
        <v>1177</v>
      </c>
      <c r="H26" s="64">
        <v>1738</v>
      </c>
      <c r="I26" s="64">
        <v>2381</v>
      </c>
      <c r="J26" s="64">
        <v>3202</v>
      </c>
      <c r="K26" s="64">
        <v>4237</v>
      </c>
      <c r="L26" s="64">
        <v>5409</v>
      </c>
      <c r="M26" s="64">
        <v>6546</v>
      </c>
      <c r="N26" s="64">
        <v>7549</v>
      </c>
      <c r="O26" s="64">
        <v>8742</v>
      </c>
      <c r="P26" s="64">
        <v>9937</v>
      </c>
      <c r="Q26" s="64">
        <v>11231</v>
      </c>
      <c r="R26" s="64">
        <v>12645</v>
      </c>
      <c r="S26" s="64">
        <v>14323</v>
      </c>
      <c r="T26" s="64">
        <v>16273</v>
      </c>
      <c r="U26" s="64">
        <v>17818</v>
      </c>
      <c r="V26" s="64">
        <v>19337</v>
      </c>
      <c r="W26" s="64">
        <v>20580</v>
      </c>
      <c r="X26" s="64">
        <v>22041</v>
      </c>
      <c r="Y26" s="64">
        <v>22263</v>
      </c>
      <c r="Z26" s="64">
        <v>21765</v>
      </c>
      <c r="AA26" s="64">
        <v>20478</v>
      </c>
      <c r="AB26" s="64">
        <v>19756</v>
      </c>
      <c r="AC26" s="64">
        <v>19553</v>
      </c>
      <c r="AD26" s="64">
        <v>18456</v>
      </c>
      <c r="AE26" s="64">
        <v>17633</v>
      </c>
      <c r="AF26" s="64">
        <v>18325</v>
      </c>
      <c r="AG26" s="64">
        <v>18783</v>
      </c>
      <c r="AH26" s="64">
        <v>17925</v>
      </c>
      <c r="AI26" s="64">
        <v>21780</v>
      </c>
      <c r="AJ26" s="64">
        <v>23250</v>
      </c>
      <c r="AK26" s="64">
        <v>26235</v>
      </c>
      <c r="AL26" s="64">
        <v>30121</v>
      </c>
      <c r="AM26" s="64">
        <v>31375</v>
      </c>
      <c r="AN26" s="64">
        <v>33203</v>
      </c>
      <c r="AO26" s="64">
        <v>35501</v>
      </c>
      <c r="AP26" s="64">
        <v>37717</v>
      </c>
      <c r="AQ26" s="64">
        <v>39892</v>
      </c>
      <c r="AR26" s="64">
        <v>37968</v>
      </c>
      <c r="AS26" s="64">
        <v>37055</v>
      </c>
      <c r="AT26" s="64">
        <v>35410</v>
      </c>
      <c r="AU26" s="64">
        <v>30967</v>
      </c>
      <c r="AV26" s="64">
        <v>27328</v>
      </c>
      <c r="AW26" s="64">
        <v>23577</v>
      </c>
      <c r="AX26" s="64">
        <v>23255</v>
      </c>
      <c r="AY26" s="64">
        <v>11932</v>
      </c>
      <c r="AZ26" s="64">
        <v>25503</v>
      </c>
      <c r="BA26" s="64">
        <v>27224</v>
      </c>
      <c r="BB26" s="64">
        <v>30971</v>
      </c>
      <c r="BC26" s="64">
        <v>36948</v>
      </c>
      <c r="BD26" s="64">
        <v>58356</v>
      </c>
      <c r="BE26" s="64">
        <v>97137</v>
      </c>
      <c r="BF26" s="64">
        <v>148565</v>
      </c>
      <c r="BG26" s="64">
        <v>203717</v>
      </c>
      <c r="BH26" s="64">
        <v>255557</v>
      </c>
      <c r="BI26" s="64">
        <v>306524</v>
      </c>
      <c r="BJ26" s="64">
        <v>355510</v>
      </c>
      <c r="BK26" s="64">
        <v>413425</v>
      </c>
      <c r="BL26" s="64">
        <v>447947</v>
      </c>
      <c r="BM26" s="64">
        <v>499403</v>
      </c>
      <c r="BN26" s="64">
        <v>567445</v>
      </c>
      <c r="BO26" s="64">
        <v>653282</v>
      </c>
      <c r="BP26" s="64">
        <v>762226</v>
      </c>
      <c r="BQ26" s="64">
        <v>893519</v>
      </c>
      <c r="BR26" s="64">
        <v>1034114</v>
      </c>
      <c r="BS26" s="64">
        <v>1173759</v>
      </c>
      <c r="BT26" s="64">
        <v>1313427</v>
      </c>
      <c r="BU26" s="64">
        <v>1452637</v>
      </c>
      <c r="BV26" s="64">
        <v>1616159</v>
      </c>
      <c r="BW26" s="64">
        <v>1793129</v>
      </c>
      <c r="BX26" s="64">
        <v>1968262</v>
      </c>
      <c r="BY26" s="64">
        <v>2150651</v>
      </c>
      <c r="BZ26" s="64">
        <v>2296316</v>
      </c>
      <c r="CA26" s="64">
        <v>2399111</v>
      </c>
      <c r="CB26" s="64">
        <v>2492531</v>
      </c>
      <c r="CC26" s="64">
        <v>2586697</v>
      </c>
      <c r="CD26" s="64">
        <v>2655599</v>
      </c>
      <c r="CE26" s="64">
        <v>2712805</v>
      </c>
      <c r="CF26" s="64">
        <v>2766649</v>
      </c>
      <c r="CG26" s="64">
        <v>2732659</v>
      </c>
      <c r="CH26" s="64">
        <v>2654972</v>
      </c>
      <c r="CI26" s="64">
        <v>2727252</v>
      </c>
      <c r="CJ26" s="64">
        <v>2696526</v>
      </c>
      <c r="CK26" s="64">
        <v>2646125</v>
      </c>
      <c r="CL26" s="64">
        <v>2579938</v>
      </c>
    </row>
    <row r="27" spans="1:90" s="52" customFormat="1" ht="13">
      <c r="A27" s="52">
        <v>24</v>
      </c>
      <c r="C27" s="63" t="s">
        <v>450</v>
      </c>
      <c r="D27" s="59" t="s">
        <v>428</v>
      </c>
      <c r="E27" s="59" t="s">
        <v>432</v>
      </c>
      <c r="F27" s="59">
        <v>2</v>
      </c>
      <c r="G27" s="59">
        <v>3</v>
      </c>
      <c r="H27" s="59">
        <v>7</v>
      </c>
      <c r="I27" s="59">
        <v>17</v>
      </c>
      <c r="J27" s="59">
        <v>26</v>
      </c>
      <c r="K27" s="59">
        <v>31</v>
      </c>
      <c r="L27" s="59">
        <v>38</v>
      </c>
      <c r="M27" s="59">
        <v>67</v>
      </c>
      <c r="N27" s="59">
        <v>93</v>
      </c>
      <c r="O27" s="59">
        <v>56</v>
      </c>
      <c r="P27" s="59">
        <v>110</v>
      </c>
      <c r="Q27" s="59">
        <v>79</v>
      </c>
      <c r="R27" s="59">
        <v>248</v>
      </c>
      <c r="S27" s="59">
        <v>413</v>
      </c>
      <c r="T27" s="59">
        <v>327</v>
      </c>
      <c r="U27" s="59">
        <v>549</v>
      </c>
      <c r="V27" s="59">
        <v>703</v>
      </c>
      <c r="W27" s="59">
        <v>560</v>
      </c>
      <c r="X27" s="59">
        <v>552</v>
      </c>
      <c r="Y27" s="59">
        <v>766</v>
      </c>
      <c r="Z27" s="59">
        <v>1048</v>
      </c>
      <c r="AA27" s="59">
        <v>1066</v>
      </c>
      <c r="AB27" s="59">
        <v>1079</v>
      </c>
      <c r="AC27" s="59">
        <v>1376</v>
      </c>
      <c r="AD27" s="59">
        <v>1206</v>
      </c>
      <c r="AE27" s="59">
        <v>1354</v>
      </c>
      <c r="AF27" s="59">
        <v>1421</v>
      </c>
      <c r="AG27" s="59">
        <v>1415</v>
      </c>
      <c r="AH27" s="59">
        <v>1964</v>
      </c>
      <c r="AI27" s="59">
        <v>1751</v>
      </c>
      <c r="AJ27" s="59">
        <v>2298</v>
      </c>
      <c r="AK27" s="59">
        <v>1971</v>
      </c>
      <c r="AL27" s="59">
        <v>2510</v>
      </c>
      <c r="AM27" s="59">
        <v>2970</v>
      </c>
      <c r="AN27" s="59">
        <v>3211</v>
      </c>
      <c r="AO27" s="59">
        <v>928</v>
      </c>
      <c r="AP27" s="59">
        <v>164</v>
      </c>
      <c r="AQ27" s="59">
        <v>69</v>
      </c>
      <c r="AR27" s="59">
        <v>25</v>
      </c>
      <c r="AS27" s="59">
        <v>13</v>
      </c>
      <c r="AT27" s="59">
        <v>-25</v>
      </c>
      <c r="AU27" s="59">
        <v>23</v>
      </c>
      <c r="AV27" s="59">
        <v>426</v>
      </c>
      <c r="AW27" s="59">
        <v>1000</v>
      </c>
      <c r="AX27" s="59">
        <v>590</v>
      </c>
      <c r="AY27" s="59">
        <v>614</v>
      </c>
      <c r="AZ27" s="59">
        <v>1158</v>
      </c>
      <c r="BA27" s="59">
        <v>346</v>
      </c>
      <c r="BB27" s="59">
        <v>2908</v>
      </c>
      <c r="BC27" s="59">
        <v>573</v>
      </c>
      <c r="BD27" s="59">
        <v>-89</v>
      </c>
      <c r="BE27" s="59">
        <v>-171</v>
      </c>
      <c r="BF27" s="59">
        <v>-245</v>
      </c>
      <c r="BG27" s="59">
        <v>-271</v>
      </c>
      <c r="BH27" s="59">
        <v>-140</v>
      </c>
      <c r="BI27" s="59">
        <v>-244</v>
      </c>
      <c r="BJ27" s="59">
        <v>134</v>
      </c>
      <c r="BK27" s="59">
        <v>2911</v>
      </c>
      <c r="BL27" s="59">
        <v>-1</v>
      </c>
      <c r="BM27" s="59">
        <v>75</v>
      </c>
      <c r="BN27" s="59">
        <v>-49</v>
      </c>
      <c r="BO27" s="59">
        <v>32</v>
      </c>
      <c r="BP27" s="59">
        <v>150</v>
      </c>
      <c r="BQ27" s="59">
        <v>-311</v>
      </c>
      <c r="BR27" s="59">
        <v>-78</v>
      </c>
      <c r="BS27" s="59">
        <v>-26</v>
      </c>
      <c r="BT27" s="59">
        <v>-32</v>
      </c>
      <c r="BU27" s="59" t="s">
        <v>428</v>
      </c>
      <c r="BV27" s="59">
        <v>-283</v>
      </c>
      <c r="BW27" s="59">
        <v>-694</v>
      </c>
      <c r="BX27" s="59">
        <v>-841</v>
      </c>
      <c r="BY27" s="59">
        <v>-227</v>
      </c>
      <c r="BZ27" s="59">
        <v>-108</v>
      </c>
      <c r="CA27" s="59">
        <v>-463</v>
      </c>
      <c r="CB27" s="59">
        <v>-605</v>
      </c>
      <c r="CC27" s="59">
        <v>-489</v>
      </c>
      <c r="CD27" s="59">
        <v>-279</v>
      </c>
      <c r="CE27" s="59">
        <v>-106</v>
      </c>
      <c r="CF27" s="59">
        <v>-95</v>
      </c>
      <c r="CG27" s="59">
        <v>44054</v>
      </c>
      <c r="CH27" s="59">
        <v>108533</v>
      </c>
      <c r="CI27" s="59" t="s">
        <v>428</v>
      </c>
      <c r="CJ27" s="59" t="s">
        <v>428</v>
      </c>
      <c r="CK27" s="59" t="s">
        <v>428</v>
      </c>
      <c r="CL27" s="59" t="s">
        <v>428</v>
      </c>
    </row>
    <row r="28" spans="1:90" s="52" customFormat="1" ht="13">
      <c r="A28" s="52">
        <v>25</v>
      </c>
      <c r="C28" s="55" t="s">
        <v>451</v>
      </c>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row>
    <row r="29" spans="1:90" s="52" customFormat="1" ht="13">
      <c r="A29" s="52">
        <v>26</v>
      </c>
      <c r="C29" s="57" t="s">
        <v>426</v>
      </c>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row>
    <row r="30" spans="1:90" s="52" customFormat="1" ht="13">
      <c r="A30" s="52">
        <v>27</v>
      </c>
      <c r="C30" s="58" t="s">
        <v>427</v>
      </c>
      <c r="D30" s="59" t="s">
        <v>428</v>
      </c>
      <c r="E30" s="59" t="s">
        <v>428</v>
      </c>
      <c r="F30" s="59" t="s">
        <v>428</v>
      </c>
      <c r="G30" s="59" t="s">
        <v>428</v>
      </c>
      <c r="H30" s="59" t="s">
        <v>428</v>
      </c>
      <c r="I30" s="59" t="s">
        <v>428</v>
      </c>
      <c r="J30" s="59" t="s">
        <v>428</v>
      </c>
      <c r="K30" s="59" t="s">
        <v>428</v>
      </c>
      <c r="L30" s="59" t="s">
        <v>428</v>
      </c>
      <c r="M30" s="59" t="s">
        <v>428</v>
      </c>
      <c r="N30" s="59" t="s">
        <v>428</v>
      </c>
      <c r="O30" s="59" t="s">
        <v>428</v>
      </c>
      <c r="P30" s="59" t="s">
        <v>428</v>
      </c>
      <c r="Q30" s="59" t="s">
        <v>428</v>
      </c>
      <c r="R30" s="59" t="s">
        <v>428</v>
      </c>
      <c r="S30" s="59" t="s">
        <v>428</v>
      </c>
      <c r="T30" s="59" t="s">
        <v>428</v>
      </c>
      <c r="U30" s="59" t="s">
        <v>428</v>
      </c>
      <c r="V30" s="59" t="s">
        <v>428</v>
      </c>
      <c r="W30" s="59" t="s">
        <v>428</v>
      </c>
      <c r="X30" s="59" t="s">
        <v>428</v>
      </c>
      <c r="Y30" s="59">
        <v>332</v>
      </c>
      <c r="Z30" s="59">
        <v>911</v>
      </c>
      <c r="AA30" s="59">
        <v>878</v>
      </c>
      <c r="AB30" s="59">
        <v>970</v>
      </c>
      <c r="AC30" s="59">
        <v>1005</v>
      </c>
      <c r="AD30" s="59">
        <v>1004</v>
      </c>
      <c r="AE30" s="59">
        <v>1058</v>
      </c>
      <c r="AF30" s="59">
        <v>1124</v>
      </c>
      <c r="AG30" s="59">
        <v>1156</v>
      </c>
      <c r="AH30" s="59">
        <v>1530</v>
      </c>
      <c r="AI30" s="59">
        <v>2204</v>
      </c>
      <c r="AJ30" s="59">
        <v>2651</v>
      </c>
      <c r="AK30" s="59">
        <v>3469</v>
      </c>
      <c r="AL30" s="59">
        <v>4063</v>
      </c>
      <c r="AM30" s="59">
        <v>4490</v>
      </c>
      <c r="AN30" s="59">
        <v>4775</v>
      </c>
      <c r="AO30" s="59">
        <v>5381</v>
      </c>
      <c r="AP30" s="59">
        <v>6147</v>
      </c>
      <c r="AQ30" s="59">
        <v>7250</v>
      </c>
      <c r="AR30" s="59">
        <v>7686</v>
      </c>
      <c r="AS30" s="59">
        <v>2130</v>
      </c>
      <c r="AT30" s="59">
        <v>8786</v>
      </c>
      <c r="AU30" s="59">
        <v>12250</v>
      </c>
      <c r="AV30" s="59">
        <v>14584</v>
      </c>
      <c r="AW30" s="59">
        <v>16628</v>
      </c>
      <c r="AX30" s="59">
        <v>12418</v>
      </c>
      <c r="AY30" s="59">
        <v>20626</v>
      </c>
      <c r="AZ30" s="59">
        <v>18348</v>
      </c>
      <c r="BA30" s="59">
        <v>15763</v>
      </c>
      <c r="BB30" s="59">
        <v>16348</v>
      </c>
      <c r="BC30" s="59">
        <v>17711</v>
      </c>
      <c r="BD30" s="59">
        <v>18861</v>
      </c>
      <c r="BE30" s="59">
        <v>21154</v>
      </c>
      <c r="BF30" s="59">
        <v>23071</v>
      </c>
      <c r="BG30" s="59">
        <v>26625</v>
      </c>
      <c r="BH30" s="59">
        <v>28382</v>
      </c>
      <c r="BI30" s="59">
        <v>29289</v>
      </c>
      <c r="BJ30" s="59">
        <v>30199</v>
      </c>
      <c r="BK30" s="59">
        <v>32419</v>
      </c>
      <c r="BL30" s="59">
        <v>66988</v>
      </c>
      <c r="BM30" s="59">
        <v>55623</v>
      </c>
      <c r="BN30" s="59">
        <v>55261</v>
      </c>
      <c r="BO30" s="59">
        <v>57015</v>
      </c>
      <c r="BP30" s="59">
        <v>60909</v>
      </c>
      <c r="BQ30" s="59">
        <v>68907</v>
      </c>
      <c r="BR30" s="59">
        <v>73462</v>
      </c>
      <c r="BS30" s="59">
        <v>74780</v>
      </c>
      <c r="BT30" s="59">
        <v>76036</v>
      </c>
      <c r="BU30" s="59">
        <v>77625</v>
      </c>
      <c r="BV30" s="59">
        <v>83830</v>
      </c>
      <c r="BW30" s="59">
        <v>88313</v>
      </c>
      <c r="BX30" s="59">
        <v>92188</v>
      </c>
      <c r="BY30" s="59">
        <v>95527</v>
      </c>
      <c r="BZ30" s="59">
        <v>94942</v>
      </c>
      <c r="CA30" s="59">
        <v>91691</v>
      </c>
      <c r="CB30" s="59">
        <v>82105</v>
      </c>
      <c r="CC30" s="59">
        <v>82718</v>
      </c>
      <c r="CD30" s="59">
        <v>97719</v>
      </c>
      <c r="CE30" s="59">
        <v>106773</v>
      </c>
      <c r="CF30" s="59">
        <v>111829</v>
      </c>
      <c r="CG30" s="59">
        <v>142512</v>
      </c>
      <c r="CH30" s="59">
        <v>158034</v>
      </c>
      <c r="CI30" s="59">
        <v>165024</v>
      </c>
      <c r="CJ30" s="59">
        <v>141349</v>
      </c>
      <c r="CK30" s="59">
        <v>135269</v>
      </c>
      <c r="CL30" s="59">
        <v>142290</v>
      </c>
    </row>
    <row r="31" spans="1:90" s="52" customFormat="1" ht="13">
      <c r="A31" s="52">
        <v>28</v>
      </c>
      <c r="C31" s="58" t="s">
        <v>429</v>
      </c>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row>
    <row r="32" spans="1:90" s="52" customFormat="1" ht="13">
      <c r="A32" s="52">
        <v>29</v>
      </c>
      <c r="C32" s="60" t="s">
        <v>430</v>
      </c>
      <c r="D32" s="59" t="s">
        <v>428</v>
      </c>
      <c r="E32" s="59" t="s">
        <v>428</v>
      </c>
      <c r="F32" s="59" t="s">
        <v>428</v>
      </c>
      <c r="G32" s="59" t="s">
        <v>428</v>
      </c>
      <c r="H32" s="59" t="s">
        <v>428</v>
      </c>
      <c r="I32" s="59" t="s">
        <v>428</v>
      </c>
      <c r="J32" s="59" t="s">
        <v>428</v>
      </c>
      <c r="K32" s="59" t="s">
        <v>428</v>
      </c>
      <c r="L32" s="59" t="s">
        <v>428</v>
      </c>
      <c r="M32" s="59" t="s">
        <v>428</v>
      </c>
      <c r="N32" s="59" t="s">
        <v>428</v>
      </c>
      <c r="O32" s="59" t="s">
        <v>428</v>
      </c>
      <c r="P32" s="59" t="s">
        <v>428</v>
      </c>
      <c r="Q32" s="59" t="s">
        <v>428</v>
      </c>
      <c r="R32" s="59" t="s">
        <v>428</v>
      </c>
      <c r="S32" s="59" t="s">
        <v>428</v>
      </c>
      <c r="T32" s="59" t="s">
        <v>428</v>
      </c>
      <c r="U32" s="59" t="s">
        <v>428</v>
      </c>
      <c r="V32" s="59" t="s">
        <v>428</v>
      </c>
      <c r="W32" s="59" t="s">
        <v>428</v>
      </c>
      <c r="X32" s="59" t="s">
        <v>428</v>
      </c>
      <c r="Y32" s="59">
        <v>5</v>
      </c>
      <c r="Z32" s="59">
        <v>15</v>
      </c>
      <c r="AA32" s="59">
        <v>17</v>
      </c>
      <c r="AB32" s="59">
        <v>17</v>
      </c>
      <c r="AC32" s="59">
        <v>17</v>
      </c>
      <c r="AD32" s="59">
        <v>18</v>
      </c>
      <c r="AE32" s="59">
        <v>18</v>
      </c>
      <c r="AF32" s="59">
        <v>19</v>
      </c>
      <c r="AG32" s="59">
        <v>19</v>
      </c>
      <c r="AH32" s="59">
        <v>27</v>
      </c>
      <c r="AI32" s="59">
        <v>45</v>
      </c>
      <c r="AJ32" s="59">
        <v>48</v>
      </c>
      <c r="AK32" s="59">
        <v>63</v>
      </c>
      <c r="AL32" s="59">
        <v>78</v>
      </c>
      <c r="AM32" s="59">
        <v>79</v>
      </c>
      <c r="AN32" s="59">
        <v>78</v>
      </c>
      <c r="AO32" s="59">
        <v>80</v>
      </c>
      <c r="AP32" s="59">
        <v>87</v>
      </c>
      <c r="AQ32" s="59">
        <v>106</v>
      </c>
      <c r="AR32" s="59">
        <v>111</v>
      </c>
      <c r="AS32" s="59">
        <v>29</v>
      </c>
      <c r="AT32" s="59">
        <v>114</v>
      </c>
      <c r="AU32" s="59">
        <v>154</v>
      </c>
      <c r="AV32" s="59">
        <v>166</v>
      </c>
      <c r="AW32" s="59">
        <v>177</v>
      </c>
      <c r="AX32" s="59">
        <v>171</v>
      </c>
      <c r="AY32" s="59">
        <v>240</v>
      </c>
      <c r="AZ32" s="59">
        <v>244</v>
      </c>
      <c r="BA32" s="59">
        <v>192</v>
      </c>
      <c r="BB32" s="59">
        <v>221</v>
      </c>
      <c r="BC32" s="59">
        <v>249</v>
      </c>
      <c r="BD32" s="59">
        <v>289</v>
      </c>
      <c r="BE32" s="59">
        <v>382</v>
      </c>
      <c r="BF32" s="59">
        <v>426</v>
      </c>
      <c r="BG32" s="59">
        <v>529</v>
      </c>
      <c r="BH32" s="59">
        <v>562</v>
      </c>
      <c r="BI32" s="59">
        <v>593</v>
      </c>
      <c r="BJ32" s="59">
        <v>620</v>
      </c>
      <c r="BK32" s="59">
        <v>622</v>
      </c>
      <c r="BL32" s="59">
        <v>998</v>
      </c>
      <c r="BM32" s="59">
        <v>952</v>
      </c>
      <c r="BN32" s="59">
        <v>901</v>
      </c>
      <c r="BO32" s="59">
        <v>966</v>
      </c>
      <c r="BP32" s="59">
        <v>1011</v>
      </c>
      <c r="BQ32" s="59">
        <v>1095</v>
      </c>
      <c r="BR32" s="59">
        <v>1149</v>
      </c>
      <c r="BS32" s="59">
        <v>1287</v>
      </c>
      <c r="BT32" s="59">
        <v>1395</v>
      </c>
      <c r="BU32" s="59">
        <v>1645</v>
      </c>
      <c r="BV32" s="59">
        <v>1589</v>
      </c>
      <c r="BW32" s="59">
        <v>1688</v>
      </c>
      <c r="BX32" s="59">
        <v>1785</v>
      </c>
      <c r="BY32" s="59">
        <v>1914</v>
      </c>
      <c r="BZ32" s="59">
        <v>2065</v>
      </c>
      <c r="CA32" s="59">
        <v>2171</v>
      </c>
      <c r="CB32" s="59">
        <v>2191</v>
      </c>
      <c r="CC32" s="59">
        <v>2261</v>
      </c>
      <c r="CD32" s="59">
        <v>2348</v>
      </c>
      <c r="CE32" s="59">
        <v>2285</v>
      </c>
      <c r="CF32" s="59">
        <v>2324</v>
      </c>
      <c r="CG32" s="59">
        <v>3059</v>
      </c>
      <c r="CH32" s="59">
        <v>3315</v>
      </c>
      <c r="CI32" s="59">
        <v>3442</v>
      </c>
      <c r="CJ32" s="59">
        <v>2926</v>
      </c>
      <c r="CK32" s="59">
        <v>2837</v>
      </c>
      <c r="CL32" s="59">
        <v>2948</v>
      </c>
    </row>
    <row r="33" spans="1:90" s="52" customFormat="1" ht="13">
      <c r="A33" s="52">
        <v>30</v>
      </c>
      <c r="C33" s="60" t="s">
        <v>431</v>
      </c>
      <c r="D33" s="59" t="s">
        <v>428</v>
      </c>
      <c r="E33" s="59" t="s">
        <v>428</v>
      </c>
      <c r="F33" s="59" t="s">
        <v>428</v>
      </c>
      <c r="G33" s="59" t="s">
        <v>428</v>
      </c>
      <c r="H33" s="59" t="s">
        <v>428</v>
      </c>
      <c r="I33" s="59" t="s">
        <v>428</v>
      </c>
      <c r="J33" s="59" t="s">
        <v>428</v>
      </c>
      <c r="K33" s="59" t="s">
        <v>428</v>
      </c>
      <c r="L33" s="59" t="s">
        <v>428</v>
      </c>
      <c r="M33" s="59" t="s">
        <v>428</v>
      </c>
      <c r="N33" s="59" t="s">
        <v>428</v>
      </c>
      <c r="O33" s="59" t="s">
        <v>428</v>
      </c>
      <c r="P33" s="59" t="s">
        <v>428</v>
      </c>
      <c r="Q33" s="59" t="s">
        <v>428</v>
      </c>
      <c r="R33" s="59" t="s">
        <v>428</v>
      </c>
      <c r="S33" s="59" t="s">
        <v>428</v>
      </c>
      <c r="T33" s="59" t="s">
        <v>428</v>
      </c>
      <c r="U33" s="59" t="s">
        <v>428</v>
      </c>
      <c r="V33" s="59" t="s">
        <v>428</v>
      </c>
      <c r="W33" s="59" t="s">
        <v>428</v>
      </c>
      <c r="X33" s="59" t="s">
        <v>428</v>
      </c>
      <c r="Y33" s="59">
        <v>1</v>
      </c>
      <c r="Z33" s="59">
        <v>16</v>
      </c>
      <c r="AA33" s="59">
        <v>33</v>
      </c>
      <c r="AB33" s="59">
        <v>47</v>
      </c>
      <c r="AC33" s="59">
        <v>61</v>
      </c>
      <c r="AD33" s="59">
        <v>70</v>
      </c>
      <c r="AE33" s="59">
        <v>70</v>
      </c>
      <c r="AF33" s="59">
        <v>68</v>
      </c>
      <c r="AG33" s="59">
        <v>65</v>
      </c>
      <c r="AH33" s="59">
        <v>54</v>
      </c>
      <c r="AI33" s="59">
        <v>67</v>
      </c>
      <c r="AJ33" s="59">
        <v>83</v>
      </c>
      <c r="AK33" s="59">
        <v>140</v>
      </c>
      <c r="AL33" s="59">
        <v>221</v>
      </c>
      <c r="AM33" s="59">
        <v>324</v>
      </c>
      <c r="AN33" s="59">
        <v>388</v>
      </c>
      <c r="AO33" s="59">
        <v>434</v>
      </c>
      <c r="AP33" s="59">
        <v>482</v>
      </c>
      <c r="AQ33" s="59">
        <v>512</v>
      </c>
      <c r="AR33" s="59">
        <v>468</v>
      </c>
      <c r="AS33" s="59">
        <v>13</v>
      </c>
      <c r="AT33" s="59">
        <v>372</v>
      </c>
      <c r="AU33" s="59">
        <v>251</v>
      </c>
      <c r="AV33" s="59">
        <v>305</v>
      </c>
      <c r="AW33" s="59">
        <v>454</v>
      </c>
      <c r="AX33" s="59">
        <v>273</v>
      </c>
      <c r="AY33" s="59">
        <v>363</v>
      </c>
      <c r="AZ33" s="59">
        <v>449</v>
      </c>
      <c r="BA33" s="59">
        <v>558</v>
      </c>
      <c r="BB33" s="59">
        <v>580</v>
      </c>
      <c r="BC33" s="59">
        <v>631</v>
      </c>
      <c r="BD33" s="59">
        <v>795</v>
      </c>
      <c r="BE33" s="59">
        <v>657</v>
      </c>
      <c r="BF33" s="59">
        <v>745</v>
      </c>
      <c r="BG33" s="59">
        <v>866</v>
      </c>
      <c r="BH33" s="59">
        <v>1058</v>
      </c>
      <c r="BI33" s="59">
        <v>1080</v>
      </c>
      <c r="BJ33" s="59">
        <v>966</v>
      </c>
      <c r="BK33" s="59">
        <v>698</v>
      </c>
      <c r="BL33" s="59">
        <v>1888</v>
      </c>
      <c r="BM33" s="59">
        <v>2481</v>
      </c>
      <c r="BN33" s="59">
        <v>3526</v>
      </c>
      <c r="BO33" s="59">
        <v>4433</v>
      </c>
      <c r="BP33" s="59">
        <v>5224</v>
      </c>
      <c r="BQ33" s="59">
        <v>6265</v>
      </c>
      <c r="BR33" s="59">
        <v>7572</v>
      </c>
      <c r="BS33" s="59">
        <v>8715</v>
      </c>
      <c r="BT33" s="59">
        <v>9565</v>
      </c>
      <c r="BU33" s="59">
        <v>9787</v>
      </c>
      <c r="BV33" s="59">
        <v>10128</v>
      </c>
      <c r="BW33" s="59">
        <v>10406</v>
      </c>
      <c r="BX33" s="59">
        <v>10934</v>
      </c>
      <c r="BY33" s="59">
        <v>10998</v>
      </c>
      <c r="BZ33" s="59">
        <v>10727</v>
      </c>
      <c r="CA33" s="59">
        <v>9901</v>
      </c>
      <c r="CB33" s="59">
        <v>8568</v>
      </c>
      <c r="CC33" s="59">
        <v>7154</v>
      </c>
      <c r="CD33" s="59">
        <v>5537</v>
      </c>
      <c r="CE33" s="59">
        <v>3996</v>
      </c>
      <c r="CF33" s="59">
        <v>2733</v>
      </c>
      <c r="CG33" s="59">
        <v>1525</v>
      </c>
      <c r="CH33" s="59">
        <v>1567</v>
      </c>
      <c r="CI33" s="59">
        <v>2069</v>
      </c>
      <c r="CJ33" s="59">
        <v>2454</v>
      </c>
      <c r="CK33" s="59">
        <v>1625</v>
      </c>
      <c r="CL33" s="59">
        <v>469</v>
      </c>
    </row>
    <row r="34" spans="1:90" s="52" customFormat="1" ht="13">
      <c r="A34" s="52">
        <v>31</v>
      </c>
      <c r="C34" s="60" t="s">
        <v>175</v>
      </c>
      <c r="D34" s="59" t="s">
        <v>428</v>
      </c>
      <c r="E34" s="59" t="s">
        <v>428</v>
      </c>
      <c r="F34" s="59" t="s">
        <v>428</v>
      </c>
      <c r="G34" s="59" t="s">
        <v>428</v>
      </c>
      <c r="H34" s="59" t="s">
        <v>428</v>
      </c>
      <c r="I34" s="59" t="s">
        <v>428</v>
      </c>
      <c r="J34" s="59" t="s">
        <v>428</v>
      </c>
      <c r="K34" s="59" t="s">
        <v>428</v>
      </c>
      <c r="L34" s="59" t="s">
        <v>428</v>
      </c>
      <c r="M34" s="59" t="s">
        <v>428</v>
      </c>
      <c r="N34" s="59" t="s">
        <v>428</v>
      </c>
      <c r="O34" s="59" t="s">
        <v>428</v>
      </c>
      <c r="P34" s="59" t="s">
        <v>428</v>
      </c>
      <c r="Q34" s="59" t="s">
        <v>428</v>
      </c>
      <c r="R34" s="59" t="s">
        <v>428</v>
      </c>
      <c r="S34" s="59" t="s">
        <v>428</v>
      </c>
      <c r="T34" s="59" t="s">
        <v>428</v>
      </c>
      <c r="U34" s="59" t="s">
        <v>428</v>
      </c>
      <c r="V34" s="59" t="s">
        <v>428</v>
      </c>
      <c r="W34" s="59" t="s">
        <v>428</v>
      </c>
      <c r="X34" s="59" t="s">
        <v>428</v>
      </c>
      <c r="Y34" s="59" t="s">
        <v>428</v>
      </c>
      <c r="Z34" s="59" t="s">
        <v>428</v>
      </c>
      <c r="AA34" s="59" t="s">
        <v>428</v>
      </c>
      <c r="AB34" s="59">
        <v>27</v>
      </c>
      <c r="AC34" s="59" t="s">
        <v>428</v>
      </c>
      <c r="AD34" s="59" t="s">
        <v>428</v>
      </c>
      <c r="AE34" s="59" t="s">
        <v>428</v>
      </c>
      <c r="AF34" s="59" t="s">
        <v>428</v>
      </c>
      <c r="AG34" s="59" t="s">
        <v>428</v>
      </c>
      <c r="AH34" s="59" t="s">
        <v>428</v>
      </c>
      <c r="AI34" s="59">
        <v>16</v>
      </c>
      <c r="AJ34" s="59">
        <v>16</v>
      </c>
      <c r="AK34" s="59">
        <v>32</v>
      </c>
      <c r="AL34" s="59">
        <v>16</v>
      </c>
      <c r="AM34" s="59">
        <v>16</v>
      </c>
      <c r="AN34" s="59">
        <v>50</v>
      </c>
      <c r="AO34" s="59">
        <v>51</v>
      </c>
      <c r="AP34" s="59">
        <v>52</v>
      </c>
      <c r="AQ34" s="59">
        <v>52</v>
      </c>
      <c r="AR34" s="59">
        <v>90</v>
      </c>
      <c r="AS34" s="59" t="s">
        <v>428</v>
      </c>
      <c r="AT34" s="59">
        <v>103</v>
      </c>
      <c r="AU34" s="59">
        <v>128</v>
      </c>
      <c r="AV34" s="59">
        <v>142</v>
      </c>
      <c r="AW34" s="59">
        <v>129</v>
      </c>
      <c r="AX34" s="59">
        <v>130</v>
      </c>
      <c r="AY34" s="59">
        <v>168</v>
      </c>
      <c r="AZ34" s="59">
        <v>2866</v>
      </c>
      <c r="BA34" s="59">
        <v>1299</v>
      </c>
      <c r="BB34" s="59">
        <v>912</v>
      </c>
      <c r="BC34" s="59">
        <v>1586</v>
      </c>
      <c r="BD34" s="59">
        <v>167</v>
      </c>
      <c r="BE34" s="59">
        <v>266</v>
      </c>
      <c r="BF34" s="59">
        <v>335</v>
      </c>
      <c r="BG34" s="59">
        <v>302</v>
      </c>
      <c r="BH34" s="59">
        <v>133</v>
      </c>
      <c r="BI34" s="59">
        <v>217</v>
      </c>
      <c r="BJ34" s="59">
        <v>279</v>
      </c>
      <c r="BK34" s="59">
        <v>307</v>
      </c>
      <c r="BL34" s="59">
        <v>338</v>
      </c>
      <c r="BM34" s="59">
        <v>370</v>
      </c>
      <c r="BN34" s="59">
        <v>403</v>
      </c>
      <c r="BO34" s="59">
        <v>530</v>
      </c>
      <c r="BP34" s="59">
        <v>636</v>
      </c>
      <c r="BQ34" s="59">
        <v>761</v>
      </c>
      <c r="BR34" s="59">
        <v>738</v>
      </c>
      <c r="BS34" s="59">
        <v>942</v>
      </c>
      <c r="BT34" s="59">
        <v>925</v>
      </c>
      <c r="BU34" s="59">
        <v>1054</v>
      </c>
      <c r="BV34" s="59">
        <v>1170</v>
      </c>
      <c r="BW34" s="59">
        <v>1768</v>
      </c>
      <c r="BX34" s="59">
        <v>1479</v>
      </c>
      <c r="BY34" s="59">
        <v>1380</v>
      </c>
      <c r="BZ34" s="59">
        <v>1847</v>
      </c>
      <c r="CA34" s="59">
        <v>1752</v>
      </c>
      <c r="CB34" s="59">
        <v>13367</v>
      </c>
      <c r="CC34" s="59">
        <v>16716</v>
      </c>
      <c r="CD34" s="59">
        <v>5662</v>
      </c>
      <c r="CE34" s="59">
        <v>1050</v>
      </c>
      <c r="CF34" s="59">
        <v>1079</v>
      </c>
      <c r="CG34" s="59">
        <v>1226</v>
      </c>
      <c r="CH34" s="59">
        <v>2080</v>
      </c>
      <c r="CI34" s="59">
        <v>2256</v>
      </c>
      <c r="CJ34" s="59">
        <v>2442</v>
      </c>
      <c r="CK34" s="59">
        <v>2626</v>
      </c>
      <c r="CL34" s="59">
        <v>2803</v>
      </c>
    </row>
    <row r="35" spans="1:90" s="52" customFormat="1" ht="13">
      <c r="A35" s="52">
        <v>32</v>
      </c>
      <c r="C35" s="61" t="s">
        <v>433</v>
      </c>
      <c r="D35" s="62" t="s">
        <v>428</v>
      </c>
      <c r="E35" s="62" t="s">
        <v>428</v>
      </c>
      <c r="F35" s="62" t="s">
        <v>428</v>
      </c>
      <c r="G35" s="62" t="s">
        <v>428</v>
      </c>
      <c r="H35" s="62" t="s">
        <v>428</v>
      </c>
      <c r="I35" s="62" t="s">
        <v>428</v>
      </c>
      <c r="J35" s="62" t="s">
        <v>428</v>
      </c>
      <c r="K35" s="62" t="s">
        <v>428</v>
      </c>
      <c r="L35" s="62" t="s">
        <v>428</v>
      </c>
      <c r="M35" s="62" t="s">
        <v>428</v>
      </c>
      <c r="N35" s="62" t="s">
        <v>428</v>
      </c>
      <c r="O35" s="62" t="s">
        <v>428</v>
      </c>
      <c r="P35" s="62" t="s">
        <v>428</v>
      </c>
      <c r="Q35" s="62" t="s">
        <v>428</v>
      </c>
      <c r="R35" s="62" t="s">
        <v>428</v>
      </c>
      <c r="S35" s="62" t="s">
        <v>428</v>
      </c>
      <c r="T35" s="62" t="s">
        <v>428</v>
      </c>
      <c r="U35" s="62" t="s">
        <v>428</v>
      </c>
      <c r="V35" s="62" t="s">
        <v>428</v>
      </c>
      <c r="W35" s="62" t="s">
        <v>428</v>
      </c>
      <c r="X35" s="62" t="s">
        <v>428</v>
      </c>
      <c r="Y35" s="62">
        <v>6</v>
      </c>
      <c r="Z35" s="62">
        <v>31</v>
      </c>
      <c r="AA35" s="62">
        <v>51</v>
      </c>
      <c r="AB35" s="62">
        <v>91</v>
      </c>
      <c r="AC35" s="62">
        <v>78</v>
      </c>
      <c r="AD35" s="62">
        <v>88</v>
      </c>
      <c r="AE35" s="62">
        <v>88</v>
      </c>
      <c r="AF35" s="62">
        <v>87</v>
      </c>
      <c r="AG35" s="62">
        <v>85</v>
      </c>
      <c r="AH35" s="62">
        <v>81</v>
      </c>
      <c r="AI35" s="62">
        <v>128</v>
      </c>
      <c r="AJ35" s="62">
        <v>147</v>
      </c>
      <c r="AK35" s="62">
        <v>235</v>
      </c>
      <c r="AL35" s="62">
        <v>315</v>
      </c>
      <c r="AM35" s="62">
        <v>419</v>
      </c>
      <c r="AN35" s="62">
        <v>516</v>
      </c>
      <c r="AO35" s="62">
        <v>565</v>
      </c>
      <c r="AP35" s="62">
        <v>621</v>
      </c>
      <c r="AQ35" s="62">
        <v>670</v>
      </c>
      <c r="AR35" s="62">
        <v>669</v>
      </c>
      <c r="AS35" s="62">
        <v>42</v>
      </c>
      <c r="AT35" s="62">
        <v>589</v>
      </c>
      <c r="AU35" s="62">
        <v>533</v>
      </c>
      <c r="AV35" s="62">
        <v>612</v>
      </c>
      <c r="AW35" s="62">
        <v>760</v>
      </c>
      <c r="AX35" s="62">
        <v>574</v>
      </c>
      <c r="AY35" s="62">
        <v>772</v>
      </c>
      <c r="AZ35" s="62">
        <v>3559</v>
      </c>
      <c r="BA35" s="62">
        <v>2049</v>
      </c>
      <c r="BB35" s="62">
        <v>1714</v>
      </c>
      <c r="BC35" s="62">
        <v>2466</v>
      </c>
      <c r="BD35" s="62">
        <v>1251</v>
      </c>
      <c r="BE35" s="62">
        <v>1306</v>
      </c>
      <c r="BF35" s="62">
        <v>1506</v>
      </c>
      <c r="BG35" s="62">
        <v>1697</v>
      </c>
      <c r="BH35" s="62">
        <v>1753</v>
      </c>
      <c r="BI35" s="62">
        <v>1890</v>
      </c>
      <c r="BJ35" s="62">
        <v>1865</v>
      </c>
      <c r="BK35" s="62">
        <v>1627</v>
      </c>
      <c r="BL35" s="62">
        <v>3224</v>
      </c>
      <c r="BM35" s="62">
        <v>3803</v>
      </c>
      <c r="BN35" s="62">
        <v>4830</v>
      </c>
      <c r="BO35" s="62">
        <v>5929</v>
      </c>
      <c r="BP35" s="62">
        <v>6871</v>
      </c>
      <c r="BQ35" s="62">
        <v>8121</v>
      </c>
      <c r="BR35" s="62">
        <v>9459</v>
      </c>
      <c r="BS35" s="62">
        <v>10944</v>
      </c>
      <c r="BT35" s="62">
        <v>11885</v>
      </c>
      <c r="BU35" s="62">
        <v>12486</v>
      </c>
      <c r="BV35" s="62">
        <v>12887</v>
      </c>
      <c r="BW35" s="62">
        <v>13862</v>
      </c>
      <c r="BX35" s="62">
        <v>14198</v>
      </c>
      <c r="BY35" s="62">
        <v>14292</v>
      </c>
      <c r="BZ35" s="62">
        <v>14639</v>
      </c>
      <c r="CA35" s="62">
        <v>13824</v>
      </c>
      <c r="CB35" s="62">
        <v>24126</v>
      </c>
      <c r="CC35" s="62">
        <v>26131</v>
      </c>
      <c r="CD35" s="62">
        <v>13547</v>
      </c>
      <c r="CE35" s="62">
        <v>7331</v>
      </c>
      <c r="CF35" s="62">
        <v>6136</v>
      </c>
      <c r="CG35" s="62">
        <v>5810</v>
      </c>
      <c r="CH35" s="62">
        <v>6962</v>
      </c>
      <c r="CI35" s="62">
        <v>7767</v>
      </c>
      <c r="CJ35" s="62">
        <v>7822</v>
      </c>
      <c r="CK35" s="62">
        <v>7088</v>
      </c>
      <c r="CL35" s="62">
        <v>6220</v>
      </c>
    </row>
    <row r="36" spans="1:90" s="52" customFormat="1" ht="13">
      <c r="A36" s="52">
        <v>33</v>
      </c>
      <c r="C36" s="58" t="s">
        <v>434</v>
      </c>
      <c r="D36" s="59" t="s">
        <v>428</v>
      </c>
      <c r="E36" s="59" t="s">
        <v>428</v>
      </c>
      <c r="F36" s="59" t="s">
        <v>428</v>
      </c>
      <c r="G36" s="59" t="s">
        <v>428</v>
      </c>
      <c r="H36" s="59" t="s">
        <v>428</v>
      </c>
      <c r="I36" s="59" t="s">
        <v>428</v>
      </c>
      <c r="J36" s="59" t="s">
        <v>428</v>
      </c>
      <c r="K36" s="59" t="s">
        <v>428</v>
      </c>
      <c r="L36" s="59" t="s">
        <v>428</v>
      </c>
      <c r="M36" s="59" t="s">
        <v>428</v>
      </c>
      <c r="N36" s="59" t="s">
        <v>428</v>
      </c>
      <c r="O36" s="59" t="s">
        <v>428</v>
      </c>
      <c r="P36" s="59" t="s">
        <v>428</v>
      </c>
      <c r="Q36" s="59" t="s">
        <v>428</v>
      </c>
      <c r="R36" s="59" t="s">
        <v>428</v>
      </c>
      <c r="S36" s="59" t="s">
        <v>428</v>
      </c>
      <c r="T36" s="59" t="s">
        <v>428</v>
      </c>
      <c r="U36" s="59" t="s">
        <v>428</v>
      </c>
      <c r="V36" s="59" t="s">
        <v>428</v>
      </c>
      <c r="W36" s="59" t="s">
        <v>428</v>
      </c>
      <c r="X36" s="59" t="s">
        <v>428</v>
      </c>
      <c r="Y36" s="59" t="s">
        <v>428</v>
      </c>
      <c r="Z36" s="59" t="s">
        <v>428</v>
      </c>
      <c r="AA36" s="59" t="s">
        <v>428</v>
      </c>
      <c r="AB36" s="59" t="s">
        <v>428</v>
      </c>
      <c r="AC36" s="59" t="s">
        <v>428</v>
      </c>
      <c r="AD36" s="59" t="s">
        <v>428</v>
      </c>
      <c r="AE36" s="59" t="s">
        <v>428</v>
      </c>
      <c r="AF36" s="59" t="s">
        <v>428</v>
      </c>
      <c r="AG36" s="59" t="s">
        <v>432</v>
      </c>
      <c r="AH36" s="59" t="s">
        <v>432</v>
      </c>
      <c r="AI36" s="59" t="s">
        <v>432</v>
      </c>
      <c r="AJ36" s="59">
        <v>2</v>
      </c>
      <c r="AK36" s="59">
        <v>1</v>
      </c>
      <c r="AL36" s="59">
        <v>1</v>
      </c>
      <c r="AM36" s="59">
        <v>1</v>
      </c>
      <c r="AN36" s="59" t="s">
        <v>432</v>
      </c>
      <c r="AO36" s="59" t="s">
        <v>432</v>
      </c>
      <c r="AP36" s="59" t="s">
        <v>432</v>
      </c>
      <c r="AQ36" s="59" t="s">
        <v>428</v>
      </c>
      <c r="AR36" s="59" t="s">
        <v>432</v>
      </c>
      <c r="AS36" s="59" t="s">
        <v>428</v>
      </c>
      <c r="AT36" s="59" t="s">
        <v>432</v>
      </c>
      <c r="AU36" s="59" t="s">
        <v>432</v>
      </c>
      <c r="AV36" s="59" t="s">
        <v>432</v>
      </c>
      <c r="AW36" s="59" t="s">
        <v>432</v>
      </c>
      <c r="AX36" s="59" t="s">
        <v>432</v>
      </c>
      <c r="AY36" s="59" t="s">
        <v>432</v>
      </c>
      <c r="AZ36" s="59" t="s">
        <v>432</v>
      </c>
      <c r="BA36" s="59" t="s">
        <v>432</v>
      </c>
      <c r="BB36" s="59" t="s">
        <v>432</v>
      </c>
      <c r="BC36" s="59" t="s">
        <v>432</v>
      </c>
      <c r="BD36" s="59">
        <v>3</v>
      </c>
      <c r="BE36" s="59" t="s">
        <v>432</v>
      </c>
      <c r="BF36" s="59" t="s">
        <v>428</v>
      </c>
      <c r="BG36" s="59" t="s">
        <v>432</v>
      </c>
      <c r="BH36" s="59" t="s">
        <v>432</v>
      </c>
      <c r="BI36" s="59" t="s">
        <v>432</v>
      </c>
      <c r="BJ36" s="59">
        <v>2</v>
      </c>
      <c r="BK36" s="59">
        <v>4</v>
      </c>
      <c r="BL36" s="59">
        <v>3</v>
      </c>
      <c r="BM36" s="59">
        <v>8</v>
      </c>
      <c r="BN36" s="59">
        <v>9</v>
      </c>
      <c r="BO36" s="59">
        <v>9</v>
      </c>
      <c r="BP36" s="59">
        <v>11</v>
      </c>
      <c r="BQ36" s="59">
        <v>34</v>
      </c>
      <c r="BR36" s="59">
        <v>59</v>
      </c>
      <c r="BS36" s="59">
        <v>66</v>
      </c>
      <c r="BT36" s="59">
        <v>64</v>
      </c>
      <c r="BU36" s="59">
        <v>74</v>
      </c>
      <c r="BV36" s="59">
        <v>47</v>
      </c>
      <c r="BW36" s="59">
        <v>38</v>
      </c>
      <c r="BX36" s="59">
        <v>60</v>
      </c>
      <c r="BY36" s="59">
        <v>83</v>
      </c>
      <c r="BZ36" s="59">
        <v>71</v>
      </c>
      <c r="CA36" s="59">
        <v>76</v>
      </c>
      <c r="CB36" s="59">
        <v>77</v>
      </c>
      <c r="CC36" s="59">
        <v>82</v>
      </c>
      <c r="CD36" s="59">
        <v>87</v>
      </c>
      <c r="CE36" s="59">
        <v>84</v>
      </c>
      <c r="CF36" s="59">
        <v>71</v>
      </c>
      <c r="CG36" s="59">
        <v>69</v>
      </c>
      <c r="CH36" s="59">
        <v>70</v>
      </c>
      <c r="CI36" s="59">
        <v>72</v>
      </c>
      <c r="CJ36" s="59">
        <v>72</v>
      </c>
      <c r="CK36" s="59">
        <v>73</v>
      </c>
      <c r="CL36" s="59">
        <v>73</v>
      </c>
    </row>
    <row r="37" spans="1:90" s="52" customFormat="1" ht="13">
      <c r="A37" s="52">
        <v>34</v>
      </c>
      <c r="C37" s="60" t="s">
        <v>435</v>
      </c>
      <c r="D37" s="62" t="s">
        <v>428</v>
      </c>
      <c r="E37" s="62" t="s">
        <v>428</v>
      </c>
      <c r="F37" s="62" t="s">
        <v>428</v>
      </c>
      <c r="G37" s="62" t="s">
        <v>428</v>
      </c>
      <c r="H37" s="62" t="s">
        <v>428</v>
      </c>
      <c r="I37" s="62" t="s">
        <v>428</v>
      </c>
      <c r="J37" s="62" t="s">
        <v>428</v>
      </c>
      <c r="K37" s="62" t="s">
        <v>428</v>
      </c>
      <c r="L37" s="62" t="s">
        <v>428</v>
      </c>
      <c r="M37" s="62" t="s">
        <v>428</v>
      </c>
      <c r="N37" s="62" t="s">
        <v>428</v>
      </c>
      <c r="O37" s="62" t="s">
        <v>428</v>
      </c>
      <c r="P37" s="62" t="s">
        <v>428</v>
      </c>
      <c r="Q37" s="62" t="s">
        <v>428</v>
      </c>
      <c r="R37" s="62" t="s">
        <v>428</v>
      </c>
      <c r="S37" s="62" t="s">
        <v>428</v>
      </c>
      <c r="T37" s="62" t="s">
        <v>428</v>
      </c>
      <c r="U37" s="62" t="s">
        <v>428</v>
      </c>
      <c r="V37" s="62" t="s">
        <v>428</v>
      </c>
      <c r="W37" s="62" t="s">
        <v>428</v>
      </c>
      <c r="X37" s="62" t="s">
        <v>428</v>
      </c>
      <c r="Y37" s="62">
        <v>339</v>
      </c>
      <c r="Z37" s="62">
        <v>942</v>
      </c>
      <c r="AA37" s="62">
        <v>928</v>
      </c>
      <c r="AB37" s="62">
        <v>1061</v>
      </c>
      <c r="AC37" s="62">
        <v>1083</v>
      </c>
      <c r="AD37" s="62">
        <v>1092</v>
      </c>
      <c r="AE37" s="62">
        <v>1145</v>
      </c>
      <c r="AF37" s="62">
        <v>1211</v>
      </c>
      <c r="AG37" s="62">
        <v>1241</v>
      </c>
      <c r="AH37" s="62">
        <v>1611</v>
      </c>
      <c r="AI37" s="62">
        <v>2332</v>
      </c>
      <c r="AJ37" s="62">
        <v>2800</v>
      </c>
      <c r="AK37" s="62">
        <v>3705</v>
      </c>
      <c r="AL37" s="62">
        <v>4380</v>
      </c>
      <c r="AM37" s="62">
        <v>4910</v>
      </c>
      <c r="AN37" s="62">
        <v>5291</v>
      </c>
      <c r="AO37" s="62">
        <v>5946</v>
      </c>
      <c r="AP37" s="62">
        <v>6768</v>
      </c>
      <c r="AQ37" s="62">
        <v>7920</v>
      </c>
      <c r="AR37" s="62">
        <v>8355</v>
      </c>
      <c r="AS37" s="62">
        <v>2172</v>
      </c>
      <c r="AT37" s="62">
        <v>9374</v>
      </c>
      <c r="AU37" s="62">
        <v>12784</v>
      </c>
      <c r="AV37" s="62">
        <v>15196</v>
      </c>
      <c r="AW37" s="62">
        <v>17388</v>
      </c>
      <c r="AX37" s="62">
        <v>12992</v>
      </c>
      <c r="AY37" s="62">
        <v>21398</v>
      </c>
      <c r="AZ37" s="62">
        <v>21907</v>
      </c>
      <c r="BA37" s="62">
        <v>17812</v>
      </c>
      <c r="BB37" s="62">
        <v>18062</v>
      </c>
      <c r="BC37" s="62">
        <v>20177</v>
      </c>
      <c r="BD37" s="62">
        <v>20115</v>
      </c>
      <c r="BE37" s="62">
        <v>22460</v>
      </c>
      <c r="BF37" s="62">
        <v>24577</v>
      </c>
      <c r="BG37" s="62">
        <v>28322</v>
      </c>
      <c r="BH37" s="62">
        <v>30135</v>
      </c>
      <c r="BI37" s="62">
        <v>31179</v>
      </c>
      <c r="BJ37" s="62">
        <v>32065</v>
      </c>
      <c r="BK37" s="62">
        <v>34049</v>
      </c>
      <c r="BL37" s="62">
        <v>70215</v>
      </c>
      <c r="BM37" s="62">
        <v>59434</v>
      </c>
      <c r="BN37" s="62">
        <v>60100</v>
      </c>
      <c r="BO37" s="62">
        <v>62953</v>
      </c>
      <c r="BP37" s="62">
        <v>67791</v>
      </c>
      <c r="BQ37" s="62">
        <v>77062</v>
      </c>
      <c r="BR37" s="62">
        <v>82980</v>
      </c>
      <c r="BS37" s="62">
        <v>85790</v>
      </c>
      <c r="BT37" s="62">
        <v>87985</v>
      </c>
      <c r="BU37" s="62">
        <v>90185</v>
      </c>
      <c r="BV37" s="62">
        <v>96764</v>
      </c>
      <c r="BW37" s="62">
        <v>102213</v>
      </c>
      <c r="BX37" s="62">
        <v>106446</v>
      </c>
      <c r="BY37" s="62">
        <v>109902</v>
      </c>
      <c r="BZ37" s="62">
        <v>109652</v>
      </c>
      <c r="CA37" s="62">
        <v>105591</v>
      </c>
      <c r="CB37" s="62">
        <v>106308</v>
      </c>
      <c r="CC37" s="62">
        <v>108931</v>
      </c>
      <c r="CD37" s="62">
        <v>111353</v>
      </c>
      <c r="CE37" s="62">
        <v>114188</v>
      </c>
      <c r="CF37" s="62">
        <v>118036</v>
      </c>
      <c r="CG37" s="62">
        <v>148391</v>
      </c>
      <c r="CH37" s="62">
        <v>165066</v>
      </c>
      <c r="CI37" s="62">
        <v>172863</v>
      </c>
      <c r="CJ37" s="62">
        <v>149243</v>
      </c>
      <c r="CK37" s="62">
        <v>142430</v>
      </c>
      <c r="CL37" s="62">
        <v>148583</v>
      </c>
    </row>
    <row r="38" spans="1:90" s="52" customFormat="1" ht="13">
      <c r="A38" s="52">
        <v>35</v>
      </c>
      <c r="C38" s="57" t="s">
        <v>436</v>
      </c>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row>
    <row r="39" spans="1:90" s="52" customFormat="1">
      <c r="A39" s="52">
        <v>36</v>
      </c>
      <c r="C39" s="58" t="s">
        <v>437</v>
      </c>
      <c r="D39" s="59" t="s">
        <v>428</v>
      </c>
      <c r="E39" s="59" t="s">
        <v>428</v>
      </c>
      <c r="F39" s="59" t="s">
        <v>428</v>
      </c>
      <c r="G39" s="59" t="s">
        <v>428</v>
      </c>
      <c r="H39" s="59" t="s">
        <v>428</v>
      </c>
      <c r="I39" s="59" t="s">
        <v>428</v>
      </c>
      <c r="J39" s="59" t="s">
        <v>428</v>
      </c>
      <c r="K39" s="59" t="s">
        <v>428</v>
      </c>
      <c r="L39" s="59" t="s">
        <v>428</v>
      </c>
      <c r="M39" s="59" t="s">
        <v>428</v>
      </c>
      <c r="N39" s="59" t="s">
        <v>428</v>
      </c>
      <c r="O39" s="59" t="s">
        <v>428</v>
      </c>
      <c r="P39" s="59" t="s">
        <v>428</v>
      </c>
      <c r="Q39" s="59" t="s">
        <v>428</v>
      </c>
      <c r="R39" s="59" t="s">
        <v>428</v>
      </c>
      <c r="S39" s="59" t="s">
        <v>428</v>
      </c>
      <c r="T39" s="59" t="s">
        <v>428</v>
      </c>
      <c r="U39" s="59" t="s">
        <v>428</v>
      </c>
      <c r="V39" s="59" t="s">
        <v>428</v>
      </c>
      <c r="W39" s="59" t="s">
        <v>428</v>
      </c>
      <c r="X39" s="59" t="s">
        <v>428</v>
      </c>
      <c r="Y39" s="59" t="s">
        <v>428</v>
      </c>
      <c r="Z39" s="59">
        <v>168</v>
      </c>
      <c r="AA39" s="59">
        <v>339</v>
      </c>
      <c r="AB39" s="59">
        <v>528</v>
      </c>
      <c r="AC39" s="59">
        <v>704</v>
      </c>
      <c r="AD39" s="59">
        <v>1011</v>
      </c>
      <c r="AE39" s="59">
        <v>1171</v>
      </c>
      <c r="AF39" s="59">
        <v>1251</v>
      </c>
      <c r="AG39" s="59">
        <v>1392</v>
      </c>
      <c r="AH39" s="59">
        <v>1721</v>
      </c>
      <c r="AI39" s="59">
        <v>1861</v>
      </c>
      <c r="AJ39" s="59">
        <v>2088</v>
      </c>
      <c r="AK39" s="59">
        <v>2443</v>
      </c>
      <c r="AL39" s="59">
        <v>2778</v>
      </c>
      <c r="AM39" s="59">
        <v>3381</v>
      </c>
      <c r="AN39" s="59">
        <v>4046</v>
      </c>
      <c r="AO39" s="59">
        <v>5162</v>
      </c>
      <c r="AP39" s="59">
        <v>6159</v>
      </c>
      <c r="AQ39" s="59">
        <v>7630</v>
      </c>
      <c r="AR39" s="59">
        <v>9222</v>
      </c>
      <c r="AS39" s="59">
        <v>2555</v>
      </c>
      <c r="AT39" s="59">
        <v>11135</v>
      </c>
      <c r="AU39" s="59">
        <v>12214</v>
      </c>
      <c r="AV39" s="59">
        <v>13428</v>
      </c>
      <c r="AW39" s="59">
        <v>14899</v>
      </c>
      <c r="AX39" s="59">
        <v>16853</v>
      </c>
      <c r="AY39" s="59">
        <v>17399</v>
      </c>
      <c r="AZ39" s="59">
        <v>17588</v>
      </c>
      <c r="BA39" s="59">
        <v>17735</v>
      </c>
      <c r="BB39" s="59">
        <v>18654</v>
      </c>
      <c r="BC39" s="59">
        <v>19526</v>
      </c>
      <c r="BD39" s="59">
        <v>20421</v>
      </c>
      <c r="BE39" s="59">
        <v>21395</v>
      </c>
      <c r="BF39" s="59">
        <v>22516</v>
      </c>
      <c r="BG39" s="59">
        <v>24306</v>
      </c>
      <c r="BH39" s="59">
        <v>26871</v>
      </c>
      <c r="BI39" s="59">
        <v>30360</v>
      </c>
      <c r="BJ39" s="59">
        <v>33588</v>
      </c>
      <c r="BK39" s="59">
        <v>36823</v>
      </c>
      <c r="BL39" s="59">
        <v>40201</v>
      </c>
      <c r="BM39" s="59">
        <v>43231</v>
      </c>
      <c r="BN39" s="59">
        <v>45367</v>
      </c>
      <c r="BO39" s="59">
        <v>47680</v>
      </c>
      <c r="BP39" s="59">
        <v>50424</v>
      </c>
      <c r="BQ39" s="59">
        <v>54210</v>
      </c>
      <c r="BR39" s="59">
        <v>58159</v>
      </c>
      <c r="BS39" s="59">
        <v>64202</v>
      </c>
      <c r="BT39" s="59">
        <v>69789</v>
      </c>
      <c r="BU39" s="59">
        <v>76212</v>
      </c>
      <c r="BV39" s="59">
        <v>83765</v>
      </c>
      <c r="BW39" s="59">
        <v>90698</v>
      </c>
      <c r="BX39" s="59">
        <v>96988</v>
      </c>
      <c r="BY39" s="59">
        <v>104228</v>
      </c>
      <c r="BZ39" s="59">
        <v>114951</v>
      </c>
      <c r="CA39" s="59">
        <v>122931</v>
      </c>
      <c r="CB39" s="59">
        <v>128005</v>
      </c>
      <c r="CC39" s="59">
        <v>135126</v>
      </c>
      <c r="CD39" s="59">
        <v>139428</v>
      </c>
      <c r="CE39" s="59">
        <v>141291</v>
      </c>
      <c r="CF39" s="59">
        <v>142846</v>
      </c>
      <c r="CG39" s="59">
        <v>146448</v>
      </c>
      <c r="CH39" s="59">
        <v>149215</v>
      </c>
      <c r="CI39" s="59">
        <v>154535</v>
      </c>
      <c r="CJ39" s="59">
        <v>160403</v>
      </c>
      <c r="CK39" s="59">
        <v>166229</v>
      </c>
      <c r="CL39" s="59">
        <v>172450</v>
      </c>
    </row>
    <row r="40" spans="1:90" s="52" customFormat="1" ht="13">
      <c r="A40" s="52">
        <v>37</v>
      </c>
      <c r="C40" s="58" t="s">
        <v>438</v>
      </c>
      <c r="D40" s="59" t="s">
        <v>428</v>
      </c>
      <c r="E40" s="59" t="s">
        <v>428</v>
      </c>
      <c r="F40" s="59" t="s">
        <v>428</v>
      </c>
      <c r="G40" s="59" t="s">
        <v>428</v>
      </c>
      <c r="H40" s="59" t="s">
        <v>428</v>
      </c>
      <c r="I40" s="59" t="s">
        <v>428</v>
      </c>
      <c r="J40" s="59" t="s">
        <v>428</v>
      </c>
      <c r="K40" s="59" t="s">
        <v>428</v>
      </c>
      <c r="L40" s="59" t="s">
        <v>428</v>
      </c>
      <c r="M40" s="59" t="s">
        <v>428</v>
      </c>
      <c r="N40" s="59" t="s">
        <v>428</v>
      </c>
      <c r="O40" s="59" t="s">
        <v>428</v>
      </c>
      <c r="P40" s="59" t="s">
        <v>428</v>
      </c>
      <c r="Q40" s="59" t="s">
        <v>428</v>
      </c>
      <c r="R40" s="59" t="s">
        <v>428</v>
      </c>
      <c r="S40" s="59" t="s">
        <v>428</v>
      </c>
      <c r="T40" s="59" t="s">
        <v>428</v>
      </c>
      <c r="U40" s="59" t="s">
        <v>428</v>
      </c>
      <c r="V40" s="59" t="s">
        <v>428</v>
      </c>
      <c r="W40" s="59" t="s">
        <v>428</v>
      </c>
      <c r="X40" s="59" t="s">
        <v>428</v>
      </c>
      <c r="Y40" s="59" t="s">
        <v>428</v>
      </c>
      <c r="Z40" s="59" t="s">
        <v>428</v>
      </c>
      <c r="AA40" s="59" t="s">
        <v>428</v>
      </c>
      <c r="AB40" s="59" t="s">
        <v>428</v>
      </c>
      <c r="AC40" s="59">
        <v>5</v>
      </c>
      <c r="AD40" s="59">
        <v>11</v>
      </c>
      <c r="AE40" s="59">
        <v>20</v>
      </c>
      <c r="AF40" s="59">
        <v>19</v>
      </c>
      <c r="AG40" s="59">
        <v>24</v>
      </c>
      <c r="AH40" s="59">
        <v>25</v>
      </c>
      <c r="AI40" s="59">
        <v>31</v>
      </c>
      <c r="AJ40" s="59">
        <v>20</v>
      </c>
      <c r="AK40" s="59">
        <v>21</v>
      </c>
      <c r="AL40" s="59">
        <v>10</v>
      </c>
      <c r="AM40" s="59">
        <v>13</v>
      </c>
      <c r="AN40" s="59">
        <v>24</v>
      </c>
      <c r="AO40" s="59">
        <v>20</v>
      </c>
      <c r="AP40" s="59">
        <v>22</v>
      </c>
      <c r="AQ40" s="59">
        <v>29</v>
      </c>
      <c r="AR40" s="59">
        <v>26</v>
      </c>
      <c r="AS40" s="59" t="s">
        <v>428</v>
      </c>
      <c r="AT40" s="59" t="s">
        <v>440</v>
      </c>
      <c r="AU40" s="59">
        <v>30</v>
      </c>
      <c r="AV40" s="59">
        <v>30</v>
      </c>
      <c r="AW40" s="59" t="s">
        <v>428</v>
      </c>
      <c r="AX40" s="59">
        <v>29</v>
      </c>
      <c r="AY40" s="59">
        <v>26</v>
      </c>
      <c r="AZ40" s="59">
        <v>28</v>
      </c>
      <c r="BA40" s="59">
        <v>22</v>
      </c>
      <c r="BB40" s="59">
        <v>43</v>
      </c>
      <c r="BC40" s="59">
        <v>68</v>
      </c>
      <c r="BD40" s="59">
        <v>57</v>
      </c>
      <c r="BE40" s="59">
        <v>61</v>
      </c>
      <c r="BF40" s="59">
        <v>88</v>
      </c>
      <c r="BG40" s="59">
        <v>80</v>
      </c>
      <c r="BH40" s="59">
        <v>82</v>
      </c>
      <c r="BI40" s="59">
        <v>58</v>
      </c>
      <c r="BJ40" s="59">
        <v>83</v>
      </c>
      <c r="BK40" s="59">
        <v>106</v>
      </c>
      <c r="BL40" s="59">
        <v>68</v>
      </c>
      <c r="BM40" s="59">
        <v>2</v>
      </c>
      <c r="BN40" s="59">
        <v>59</v>
      </c>
      <c r="BO40" s="59">
        <v>157</v>
      </c>
      <c r="BP40" s="59">
        <v>135</v>
      </c>
      <c r="BQ40" s="59">
        <v>159</v>
      </c>
      <c r="BR40" s="59">
        <v>10</v>
      </c>
      <c r="BS40" s="59">
        <v>154</v>
      </c>
      <c r="BT40" s="59">
        <v>167</v>
      </c>
      <c r="BU40" s="59">
        <v>215</v>
      </c>
      <c r="BV40" s="59">
        <v>338</v>
      </c>
      <c r="BW40" s="59">
        <v>388</v>
      </c>
      <c r="BX40" s="59">
        <v>445</v>
      </c>
      <c r="BY40" s="59">
        <v>418</v>
      </c>
      <c r="BZ40" s="59">
        <v>448</v>
      </c>
      <c r="CA40" s="59">
        <v>462</v>
      </c>
      <c r="CB40" s="59">
        <v>465</v>
      </c>
      <c r="CC40" s="59">
        <v>512</v>
      </c>
      <c r="CD40" s="59">
        <v>551</v>
      </c>
      <c r="CE40" s="59">
        <v>444</v>
      </c>
      <c r="CF40" s="59">
        <v>419</v>
      </c>
      <c r="CG40" s="59">
        <v>314</v>
      </c>
      <c r="CH40" s="59">
        <v>178</v>
      </c>
      <c r="CI40" s="59">
        <v>104</v>
      </c>
      <c r="CJ40" s="59">
        <v>59</v>
      </c>
      <c r="CK40" s="59">
        <v>114</v>
      </c>
      <c r="CL40" s="59">
        <v>99</v>
      </c>
    </row>
    <row r="41" spans="1:90" s="52" customFormat="1" ht="13">
      <c r="A41" s="52">
        <v>38</v>
      </c>
      <c r="C41" s="58" t="s">
        <v>441</v>
      </c>
      <c r="D41" s="59" t="s">
        <v>428</v>
      </c>
      <c r="E41" s="59" t="s">
        <v>428</v>
      </c>
      <c r="F41" s="59" t="s">
        <v>428</v>
      </c>
      <c r="G41" s="59" t="s">
        <v>428</v>
      </c>
      <c r="H41" s="59" t="s">
        <v>428</v>
      </c>
      <c r="I41" s="59" t="s">
        <v>428</v>
      </c>
      <c r="J41" s="59" t="s">
        <v>428</v>
      </c>
      <c r="K41" s="59" t="s">
        <v>428</v>
      </c>
      <c r="L41" s="59" t="s">
        <v>428</v>
      </c>
      <c r="M41" s="59" t="s">
        <v>428</v>
      </c>
      <c r="N41" s="59" t="s">
        <v>428</v>
      </c>
      <c r="O41" s="59" t="s">
        <v>428</v>
      </c>
      <c r="P41" s="59" t="s">
        <v>428</v>
      </c>
      <c r="Q41" s="59" t="s">
        <v>428</v>
      </c>
      <c r="R41" s="59" t="s">
        <v>428</v>
      </c>
      <c r="S41" s="59" t="s">
        <v>428</v>
      </c>
      <c r="T41" s="59" t="s">
        <v>428</v>
      </c>
      <c r="U41" s="59" t="s">
        <v>428</v>
      </c>
      <c r="V41" s="59" t="s">
        <v>428</v>
      </c>
      <c r="W41" s="59" t="s">
        <v>428</v>
      </c>
      <c r="X41" s="59" t="s">
        <v>428</v>
      </c>
      <c r="Y41" s="59">
        <v>1</v>
      </c>
      <c r="Z41" s="59">
        <v>12</v>
      </c>
      <c r="AA41" s="59">
        <v>21</v>
      </c>
      <c r="AB41" s="59">
        <v>32</v>
      </c>
      <c r="AC41" s="59">
        <v>36</v>
      </c>
      <c r="AD41" s="59">
        <v>66</v>
      </c>
      <c r="AE41" s="59">
        <v>69</v>
      </c>
      <c r="AF41" s="59">
        <v>70</v>
      </c>
      <c r="AG41" s="59">
        <v>82</v>
      </c>
      <c r="AH41" s="59">
        <v>184</v>
      </c>
      <c r="AI41" s="59">
        <v>99</v>
      </c>
      <c r="AJ41" s="59">
        <v>112</v>
      </c>
      <c r="AK41" s="59">
        <v>134</v>
      </c>
      <c r="AL41" s="59">
        <v>149</v>
      </c>
      <c r="AM41" s="59">
        <v>190</v>
      </c>
      <c r="AN41" s="59">
        <v>212</v>
      </c>
      <c r="AO41" s="59">
        <v>247</v>
      </c>
      <c r="AP41" s="59">
        <v>154</v>
      </c>
      <c r="AQ41" s="59">
        <v>253</v>
      </c>
      <c r="AR41" s="59">
        <v>266</v>
      </c>
      <c r="AS41" s="59">
        <v>71</v>
      </c>
      <c r="AT41" s="59">
        <v>378</v>
      </c>
      <c r="AU41" s="59">
        <v>327</v>
      </c>
      <c r="AV41" s="59">
        <v>402</v>
      </c>
      <c r="AW41" s="59">
        <v>334</v>
      </c>
      <c r="AX41" s="59">
        <v>402</v>
      </c>
      <c r="AY41" s="59">
        <v>572</v>
      </c>
      <c r="AZ41" s="59">
        <v>659</v>
      </c>
      <c r="BA41" s="59">
        <v>585</v>
      </c>
      <c r="BB41" s="59">
        <v>603</v>
      </c>
      <c r="BC41" s="59">
        <v>600</v>
      </c>
      <c r="BD41" s="59">
        <v>738</v>
      </c>
      <c r="BE41" s="59">
        <v>803</v>
      </c>
      <c r="BF41" s="59">
        <v>747</v>
      </c>
      <c r="BG41" s="59">
        <v>707</v>
      </c>
      <c r="BH41" s="59">
        <v>785</v>
      </c>
      <c r="BI41" s="59">
        <v>843</v>
      </c>
      <c r="BJ41" s="59">
        <v>932</v>
      </c>
      <c r="BK41" s="59">
        <v>1018</v>
      </c>
      <c r="BL41" s="59">
        <v>1064</v>
      </c>
      <c r="BM41" s="59">
        <v>1074</v>
      </c>
      <c r="BN41" s="59">
        <v>1211</v>
      </c>
      <c r="BO41" s="59">
        <v>1565</v>
      </c>
      <c r="BP41" s="59">
        <v>1520</v>
      </c>
      <c r="BQ41" s="59">
        <v>1611</v>
      </c>
      <c r="BR41" s="59">
        <v>1764</v>
      </c>
      <c r="BS41" s="59">
        <v>2008</v>
      </c>
      <c r="BT41" s="59">
        <v>1968</v>
      </c>
      <c r="BU41" s="59">
        <v>2072</v>
      </c>
      <c r="BV41" s="59">
        <v>2316</v>
      </c>
      <c r="BW41" s="59">
        <v>2409</v>
      </c>
      <c r="BX41" s="59">
        <v>2343</v>
      </c>
      <c r="BY41" s="59">
        <v>2493</v>
      </c>
      <c r="BZ41" s="59">
        <v>2581</v>
      </c>
      <c r="CA41" s="59">
        <v>2923</v>
      </c>
      <c r="CB41" s="59">
        <v>3009</v>
      </c>
      <c r="CC41" s="59">
        <v>2896</v>
      </c>
      <c r="CD41" s="59">
        <v>2741</v>
      </c>
      <c r="CE41" s="59">
        <v>2776</v>
      </c>
      <c r="CF41" s="59">
        <v>2881</v>
      </c>
      <c r="CG41" s="59">
        <v>3089</v>
      </c>
      <c r="CH41" s="59">
        <v>3124</v>
      </c>
      <c r="CI41" s="59">
        <v>3118</v>
      </c>
      <c r="CJ41" s="59">
        <v>3182</v>
      </c>
      <c r="CK41" s="59">
        <v>3249</v>
      </c>
      <c r="CL41" s="59">
        <v>3314</v>
      </c>
    </row>
    <row r="42" spans="1:90" s="52" customFormat="1" ht="13">
      <c r="A42" s="52">
        <v>39</v>
      </c>
      <c r="C42" s="58" t="s">
        <v>439</v>
      </c>
      <c r="D42" s="59" t="s">
        <v>428</v>
      </c>
      <c r="E42" s="59" t="s">
        <v>428</v>
      </c>
      <c r="F42" s="59" t="s">
        <v>428</v>
      </c>
      <c r="G42" s="59" t="s">
        <v>428</v>
      </c>
      <c r="H42" s="59" t="s">
        <v>428</v>
      </c>
      <c r="I42" s="59" t="s">
        <v>428</v>
      </c>
      <c r="J42" s="59" t="s">
        <v>428</v>
      </c>
      <c r="K42" s="59" t="s">
        <v>428</v>
      </c>
      <c r="L42" s="59" t="s">
        <v>428</v>
      </c>
      <c r="M42" s="59" t="s">
        <v>428</v>
      </c>
      <c r="N42" s="59" t="s">
        <v>428</v>
      </c>
      <c r="O42" s="59" t="s">
        <v>428</v>
      </c>
      <c r="P42" s="59" t="s">
        <v>428</v>
      </c>
      <c r="Q42" s="59" t="s">
        <v>428</v>
      </c>
      <c r="R42" s="59" t="s">
        <v>428</v>
      </c>
      <c r="S42" s="59" t="s">
        <v>428</v>
      </c>
      <c r="T42" s="59" t="s">
        <v>428</v>
      </c>
      <c r="U42" s="59" t="s">
        <v>428</v>
      </c>
      <c r="V42" s="59" t="s">
        <v>428</v>
      </c>
      <c r="W42" s="59" t="s">
        <v>428</v>
      </c>
      <c r="X42" s="59" t="s">
        <v>428</v>
      </c>
      <c r="Y42" s="59" t="s">
        <v>428</v>
      </c>
      <c r="Z42" s="59" t="s">
        <v>428</v>
      </c>
      <c r="AA42" s="59" t="s">
        <v>428</v>
      </c>
      <c r="AB42" s="59" t="s">
        <v>428</v>
      </c>
      <c r="AC42" s="59" t="s">
        <v>428</v>
      </c>
      <c r="AD42" s="59" t="s">
        <v>428</v>
      </c>
      <c r="AE42" s="59" t="s">
        <v>428</v>
      </c>
      <c r="AF42" s="59" t="s">
        <v>428</v>
      </c>
      <c r="AG42" s="59" t="s">
        <v>428</v>
      </c>
      <c r="AH42" s="59" t="s">
        <v>428</v>
      </c>
      <c r="AI42" s="59" t="s">
        <v>428</v>
      </c>
      <c r="AJ42" s="59" t="s">
        <v>428</v>
      </c>
      <c r="AK42" s="59" t="s">
        <v>428</v>
      </c>
      <c r="AL42" s="59" t="s">
        <v>428</v>
      </c>
      <c r="AM42" s="59" t="s">
        <v>428</v>
      </c>
      <c r="AN42" s="59" t="s">
        <v>428</v>
      </c>
      <c r="AO42" s="59" t="s">
        <v>428</v>
      </c>
      <c r="AP42" s="59" t="s">
        <v>428</v>
      </c>
      <c r="AQ42" s="59" t="s">
        <v>428</v>
      </c>
      <c r="AR42" s="59" t="s">
        <v>428</v>
      </c>
      <c r="AS42" s="59" t="s">
        <v>428</v>
      </c>
      <c r="AT42" s="59" t="s">
        <v>428</v>
      </c>
      <c r="AU42" s="59" t="s">
        <v>428</v>
      </c>
      <c r="AV42" s="59" t="s">
        <v>428</v>
      </c>
      <c r="AW42" s="59" t="s">
        <v>428</v>
      </c>
      <c r="AX42" s="59" t="s">
        <v>428</v>
      </c>
      <c r="AY42" s="59" t="s">
        <v>428</v>
      </c>
      <c r="AZ42" s="59">
        <v>13</v>
      </c>
      <c r="BA42" s="59">
        <v>77</v>
      </c>
      <c r="BB42" s="59">
        <v>69</v>
      </c>
      <c r="BC42" s="59">
        <v>45</v>
      </c>
      <c r="BD42" s="59">
        <v>60</v>
      </c>
      <c r="BE42" s="59">
        <v>80</v>
      </c>
      <c r="BF42" s="59">
        <v>95</v>
      </c>
      <c r="BG42" s="59">
        <v>100</v>
      </c>
      <c r="BH42" s="59">
        <v>45</v>
      </c>
      <c r="BI42" s="59" t="s">
        <v>428</v>
      </c>
      <c r="BJ42" s="59" t="s">
        <v>428</v>
      </c>
      <c r="BK42" s="59" t="s">
        <v>428</v>
      </c>
      <c r="BL42" s="59" t="s">
        <v>428</v>
      </c>
      <c r="BM42" s="59" t="s">
        <v>428</v>
      </c>
      <c r="BN42" s="59" t="s">
        <v>428</v>
      </c>
      <c r="BO42" s="59" t="s">
        <v>428</v>
      </c>
      <c r="BP42" s="59" t="s">
        <v>428</v>
      </c>
      <c r="BQ42" s="59" t="s">
        <v>428</v>
      </c>
      <c r="BR42" s="59" t="s">
        <v>428</v>
      </c>
      <c r="BS42" s="59" t="s">
        <v>428</v>
      </c>
      <c r="BT42" s="59" t="s">
        <v>428</v>
      </c>
      <c r="BU42" s="59" t="s">
        <v>428</v>
      </c>
      <c r="BV42" s="59" t="s">
        <v>428</v>
      </c>
      <c r="BW42" s="59" t="s">
        <v>428</v>
      </c>
      <c r="BX42" s="59" t="s">
        <v>428</v>
      </c>
      <c r="BY42" s="59" t="s">
        <v>428</v>
      </c>
      <c r="BZ42" s="59" t="s">
        <v>428</v>
      </c>
      <c r="CA42" s="59" t="s">
        <v>428</v>
      </c>
      <c r="CB42" s="59" t="s">
        <v>428</v>
      </c>
      <c r="CC42" s="59" t="s">
        <v>428</v>
      </c>
      <c r="CD42" s="59" t="s">
        <v>428</v>
      </c>
      <c r="CE42" s="59" t="s">
        <v>428</v>
      </c>
      <c r="CF42" s="59" t="s">
        <v>428</v>
      </c>
      <c r="CG42" s="59" t="s">
        <v>428</v>
      </c>
      <c r="CH42" s="59" t="s">
        <v>428</v>
      </c>
      <c r="CI42" s="59" t="s">
        <v>428</v>
      </c>
      <c r="CJ42" s="59" t="s">
        <v>428</v>
      </c>
      <c r="CK42" s="59" t="s">
        <v>428</v>
      </c>
      <c r="CL42" s="59" t="s">
        <v>428</v>
      </c>
    </row>
    <row r="43" spans="1:90" s="52" customFormat="1" ht="13">
      <c r="A43" s="52">
        <v>40</v>
      </c>
      <c r="C43" s="58" t="s">
        <v>442</v>
      </c>
      <c r="D43" s="59" t="s">
        <v>428</v>
      </c>
      <c r="E43" s="59" t="s">
        <v>428</v>
      </c>
      <c r="F43" s="59" t="s">
        <v>428</v>
      </c>
      <c r="G43" s="59" t="s">
        <v>428</v>
      </c>
      <c r="H43" s="59" t="s">
        <v>428</v>
      </c>
      <c r="I43" s="59" t="s">
        <v>428</v>
      </c>
      <c r="J43" s="59" t="s">
        <v>428</v>
      </c>
      <c r="K43" s="59" t="s">
        <v>428</v>
      </c>
      <c r="L43" s="59" t="s">
        <v>428</v>
      </c>
      <c r="M43" s="59" t="s">
        <v>428</v>
      </c>
      <c r="N43" s="59" t="s">
        <v>428</v>
      </c>
      <c r="O43" s="59" t="s">
        <v>428</v>
      </c>
      <c r="P43" s="59" t="s">
        <v>428</v>
      </c>
      <c r="Q43" s="59" t="s">
        <v>428</v>
      </c>
      <c r="R43" s="59" t="s">
        <v>428</v>
      </c>
      <c r="S43" s="59" t="s">
        <v>428</v>
      </c>
      <c r="T43" s="59" t="s">
        <v>428</v>
      </c>
      <c r="U43" s="59" t="s">
        <v>428</v>
      </c>
      <c r="V43" s="59" t="s">
        <v>428</v>
      </c>
      <c r="W43" s="59" t="s">
        <v>428</v>
      </c>
      <c r="X43" s="59" t="s">
        <v>428</v>
      </c>
      <c r="Y43" s="59" t="s">
        <v>428</v>
      </c>
      <c r="Z43" s="59" t="s">
        <v>428</v>
      </c>
      <c r="AA43" s="59" t="s">
        <v>428</v>
      </c>
      <c r="AB43" s="59" t="s">
        <v>428</v>
      </c>
      <c r="AC43" s="59" t="s">
        <v>428</v>
      </c>
      <c r="AD43" s="59" t="s">
        <v>428</v>
      </c>
      <c r="AE43" s="59" t="s">
        <v>428</v>
      </c>
      <c r="AF43" s="59" t="s">
        <v>428</v>
      </c>
      <c r="AG43" s="59" t="s">
        <v>428</v>
      </c>
      <c r="AH43" s="59" t="s">
        <v>428</v>
      </c>
      <c r="AI43" s="59" t="s">
        <v>428</v>
      </c>
      <c r="AJ43" s="59" t="s">
        <v>428</v>
      </c>
      <c r="AK43" s="59" t="s">
        <v>428</v>
      </c>
      <c r="AL43" s="59" t="s">
        <v>428</v>
      </c>
      <c r="AM43" s="59" t="s">
        <v>428</v>
      </c>
      <c r="AN43" s="59" t="s">
        <v>428</v>
      </c>
      <c r="AO43" s="59" t="s">
        <v>428</v>
      </c>
      <c r="AP43" s="59" t="s">
        <v>428</v>
      </c>
      <c r="AQ43" s="59" t="s">
        <v>428</v>
      </c>
      <c r="AR43" s="59" t="s">
        <v>428</v>
      </c>
      <c r="AS43" s="59" t="s">
        <v>428</v>
      </c>
      <c r="AT43" s="59" t="s">
        <v>428</v>
      </c>
      <c r="AU43" s="59" t="s">
        <v>428</v>
      </c>
      <c r="AV43" s="59" t="s">
        <v>428</v>
      </c>
      <c r="AW43" s="59" t="s">
        <v>428</v>
      </c>
      <c r="AX43" s="59" t="s">
        <v>428</v>
      </c>
      <c r="AY43" s="59" t="s">
        <v>428</v>
      </c>
      <c r="AZ43" s="59" t="s">
        <v>428</v>
      </c>
      <c r="BA43" s="59" t="s">
        <v>428</v>
      </c>
      <c r="BB43" s="59" t="s">
        <v>428</v>
      </c>
      <c r="BC43" s="59" t="s">
        <v>428</v>
      </c>
      <c r="BD43" s="59" t="s">
        <v>428</v>
      </c>
      <c r="BE43" s="59" t="s">
        <v>428</v>
      </c>
      <c r="BF43" s="59" t="s">
        <v>428</v>
      </c>
      <c r="BG43" s="59" t="s">
        <v>428</v>
      </c>
      <c r="BH43" s="59">
        <v>775</v>
      </c>
      <c r="BI43" s="59" t="s">
        <v>428</v>
      </c>
      <c r="BJ43" s="59" t="s">
        <v>428</v>
      </c>
      <c r="BK43" s="59" t="s">
        <v>428</v>
      </c>
      <c r="BL43" s="59" t="s">
        <v>428</v>
      </c>
      <c r="BM43" s="59">
        <v>203</v>
      </c>
      <c r="BN43" s="59" t="s">
        <v>428</v>
      </c>
      <c r="BO43" s="59" t="s">
        <v>428</v>
      </c>
      <c r="BP43" s="59" t="s">
        <v>428</v>
      </c>
      <c r="BQ43" s="59" t="s">
        <v>428</v>
      </c>
      <c r="BR43" s="59">
        <v>836</v>
      </c>
      <c r="BS43" s="59" t="s">
        <v>428</v>
      </c>
      <c r="BT43" s="59" t="s">
        <v>428</v>
      </c>
      <c r="BU43" s="59" t="s">
        <v>428</v>
      </c>
      <c r="BV43" s="59" t="s">
        <v>428</v>
      </c>
      <c r="BW43" s="59" t="s">
        <v>428</v>
      </c>
      <c r="BX43" s="59" t="s">
        <v>428</v>
      </c>
      <c r="BY43" s="59" t="s">
        <v>428</v>
      </c>
      <c r="BZ43" s="59" t="s">
        <v>428</v>
      </c>
      <c r="CA43" s="59" t="s">
        <v>428</v>
      </c>
      <c r="CB43" s="59">
        <v>3</v>
      </c>
      <c r="CC43" s="59" t="s">
        <v>428</v>
      </c>
      <c r="CD43" s="59" t="s">
        <v>428</v>
      </c>
      <c r="CE43" s="59" t="s">
        <v>428</v>
      </c>
      <c r="CF43" s="59" t="s">
        <v>428</v>
      </c>
      <c r="CG43" s="59" t="s">
        <v>428</v>
      </c>
      <c r="CH43" s="59" t="s">
        <v>428</v>
      </c>
      <c r="CI43" s="59" t="s">
        <v>428</v>
      </c>
      <c r="CJ43" s="59" t="s">
        <v>428</v>
      </c>
      <c r="CK43" s="59" t="s">
        <v>428</v>
      </c>
      <c r="CL43" s="59" t="s">
        <v>428</v>
      </c>
    </row>
    <row r="44" spans="1:90" s="52" customFormat="1">
      <c r="A44" s="52">
        <v>41</v>
      </c>
      <c r="C44" s="58" t="s">
        <v>452</v>
      </c>
      <c r="D44" s="59" t="s">
        <v>428</v>
      </c>
      <c r="E44" s="59" t="s">
        <v>428</v>
      </c>
      <c r="F44" s="59" t="s">
        <v>428</v>
      </c>
      <c r="G44" s="59" t="s">
        <v>428</v>
      </c>
      <c r="H44" s="59" t="s">
        <v>428</v>
      </c>
      <c r="I44" s="59" t="s">
        <v>428</v>
      </c>
      <c r="J44" s="59" t="s">
        <v>428</v>
      </c>
      <c r="K44" s="59" t="s">
        <v>428</v>
      </c>
      <c r="L44" s="59" t="s">
        <v>428</v>
      </c>
      <c r="M44" s="59" t="s">
        <v>428</v>
      </c>
      <c r="N44" s="59" t="s">
        <v>428</v>
      </c>
      <c r="O44" s="59" t="s">
        <v>428</v>
      </c>
      <c r="P44" s="59" t="s">
        <v>428</v>
      </c>
      <c r="Q44" s="59" t="s">
        <v>428</v>
      </c>
      <c r="R44" s="59" t="s">
        <v>428</v>
      </c>
      <c r="S44" s="59" t="s">
        <v>428</v>
      </c>
      <c r="T44" s="59" t="s">
        <v>428</v>
      </c>
      <c r="U44" s="59" t="s">
        <v>428</v>
      </c>
      <c r="V44" s="59" t="s">
        <v>428</v>
      </c>
      <c r="W44" s="59" t="s">
        <v>428</v>
      </c>
      <c r="X44" s="59" t="s">
        <v>428</v>
      </c>
      <c r="Y44" s="59" t="s">
        <v>428</v>
      </c>
      <c r="Z44" s="59" t="s">
        <v>440</v>
      </c>
      <c r="AA44" s="59" t="s">
        <v>440</v>
      </c>
      <c r="AB44" s="59" t="s">
        <v>432</v>
      </c>
      <c r="AC44" s="59">
        <v>-1</v>
      </c>
      <c r="AD44" s="59" t="s">
        <v>432</v>
      </c>
      <c r="AE44" s="59" t="s">
        <v>432</v>
      </c>
      <c r="AF44" s="59">
        <v>-2</v>
      </c>
      <c r="AG44" s="59" t="s">
        <v>432</v>
      </c>
      <c r="AH44" s="59">
        <v>2</v>
      </c>
      <c r="AI44" s="59">
        <v>7</v>
      </c>
      <c r="AJ44" s="59">
        <v>15</v>
      </c>
      <c r="AK44" s="59">
        <v>15</v>
      </c>
      <c r="AL44" s="59">
        <v>16</v>
      </c>
      <c r="AM44" s="59">
        <v>21</v>
      </c>
      <c r="AN44" s="59">
        <v>28</v>
      </c>
      <c r="AO44" s="59">
        <v>39</v>
      </c>
      <c r="AP44" s="59">
        <v>49</v>
      </c>
      <c r="AQ44" s="59">
        <v>71</v>
      </c>
      <c r="AR44" s="59">
        <v>92</v>
      </c>
      <c r="AS44" s="59">
        <v>27</v>
      </c>
      <c r="AT44" s="59">
        <v>77</v>
      </c>
      <c r="AU44" s="59">
        <v>84</v>
      </c>
      <c r="AV44" s="59">
        <v>84</v>
      </c>
      <c r="AW44" s="59">
        <v>99</v>
      </c>
      <c r="AX44" s="59">
        <v>-4</v>
      </c>
      <c r="AY44" s="59">
        <v>37</v>
      </c>
      <c r="AZ44" s="59">
        <v>4</v>
      </c>
      <c r="BA44" s="59">
        <v>40</v>
      </c>
      <c r="BB44" s="59">
        <v>3</v>
      </c>
      <c r="BC44" s="59">
        <v>4</v>
      </c>
      <c r="BD44" s="59">
        <v>15</v>
      </c>
      <c r="BE44" s="59">
        <v>21</v>
      </c>
      <c r="BF44" s="59">
        <v>40</v>
      </c>
      <c r="BG44" s="59">
        <v>38</v>
      </c>
      <c r="BH44" s="59">
        <v>34</v>
      </c>
      <c r="BI44" s="59">
        <v>34</v>
      </c>
      <c r="BJ44" s="59">
        <v>38</v>
      </c>
      <c r="BK44" s="59">
        <v>37</v>
      </c>
      <c r="BL44" s="59">
        <v>47</v>
      </c>
      <c r="BM44" s="59">
        <v>48</v>
      </c>
      <c r="BN44" s="59">
        <v>64</v>
      </c>
      <c r="BO44" s="59">
        <v>57</v>
      </c>
      <c r="BP44" s="59">
        <v>63</v>
      </c>
      <c r="BQ44" s="59">
        <v>66</v>
      </c>
      <c r="BR44" s="59">
        <v>62</v>
      </c>
      <c r="BS44" s="59">
        <v>68</v>
      </c>
      <c r="BT44" s="59">
        <v>58</v>
      </c>
      <c r="BU44" s="59">
        <v>51</v>
      </c>
      <c r="BV44" s="59">
        <v>49</v>
      </c>
      <c r="BW44" s="59">
        <v>77</v>
      </c>
      <c r="BX44" s="59">
        <v>74</v>
      </c>
      <c r="BY44" s="59">
        <v>101</v>
      </c>
      <c r="BZ44" s="59">
        <v>134</v>
      </c>
      <c r="CA44" s="59">
        <v>107</v>
      </c>
      <c r="CB44" s="59">
        <v>89</v>
      </c>
      <c r="CC44" s="59">
        <v>98</v>
      </c>
      <c r="CD44" s="59">
        <v>127</v>
      </c>
      <c r="CE44" s="59">
        <v>129</v>
      </c>
      <c r="CF44" s="59">
        <v>160</v>
      </c>
      <c r="CG44" s="59">
        <v>159</v>
      </c>
      <c r="CH44" s="59">
        <v>153</v>
      </c>
      <c r="CI44" s="59" t="s">
        <v>428</v>
      </c>
      <c r="CJ44" s="59" t="s">
        <v>428</v>
      </c>
      <c r="CK44" s="59" t="s">
        <v>428</v>
      </c>
      <c r="CL44" s="59" t="s">
        <v>428</v>
      </c>
    </row>
    <row r="45" spans="1:90" s="52" customFormat="1" thickBot="1">
      <c r="A45" s="52">
        <v>42</v>
      </c>
      <c r="C45" s="60" t="s">
        <v>444</v>
      </c>
      <c r="D45" s="62" t="s">
        <v>428</v>
      </c>
      <c r="E45" s="62" t="s">
        <v>428</v>
      </c>
      <c r="F45" s="62" t="s">
        <v>428</v>
      </c>
      <c r="G45" s="62" t="s">
        <v>428</v>
      </c>
      <c r="H45" s="62" t="s">
        <v>428</v>
      </c>
      <c r="I45" s="62" t="s">
        <v>428</v>
      </c>
      <c r="J45" s="62" t="s">
        <v>428</v>
      </c>
      <c r="K45" s="62" t="s">
        <v>428</v>
      </c>
      <c r="L45" s="62" t="s">
        <v>428</v>
      </c>
      <c r="M45" s="62" t="s">
        <v>428</v>
      </c>
      <c r="N45" s="62" t="s">
        <v>428</v>
      </c>
      <c r="O45" s="62" t="s">
        <v>428</v>
      </c>
      <c r="P45" s="62" t="s">
        <v>428</v>
      </c>
      <c r="Q45" s="62" t="s">
        <v>428</v>
      </c>
      <c r="R45" s="62" t="s">
        <v>428</v>
      </c>
      <c r="S45" s="62" t="s">
        <v>428</v>
      </c>
      <c r="T45" s="62" t="s">
        <v>428</v>
      </c>
      <c r="U45" s="62" t="s">
        <v>428</v>
      </c>
      <c r="V45" s="62" t="s">
        <v>428</v>
      </c>
      <c r="W45" s="62" t="s">
        <v>428</v>
      </c>
      <c r="X45" s="62" t="s">
        <v>428</v>
      </c>
      <c r="Y45" s="62">
        <v>1</v>
      </c>
      <c r="Z45" s="62">
        <v>180</v>
      </c>
      <c r="AA45" s="62">
        <v>360</v>
      </c>
      <c r="AB45" s="62">
        <v>560</v>
      </c>
      <c r="AC45" s="62">
        <v>745</v>
      </c>
      <c r="AD45" s="62">
        <v>1089</v>
      </c>
      <c r="AE45" s="62">
        <v>1259</v>
      </c>
      <c r="AF45" s="62">
        <v>1339</v>
      </c>
      <c r="AG45" s="62">
        <v>1498</v>
      </c>
      <c r="AH45" s="62">
        <v>1931</v>
      </c>
      <c r="AI45" s="62">
        <v>1997</v>
      </c>
      <c r="AJ45" s="62">
        <v>2237</v>
      </c>
      <c r="AK45" s="62">
        <v>2613</v>
      </c>
      <c r="AL45" s="62">
        <v>2954</v>
      </c>
      <c r="AM45" s="62">
        <v>3606</v>
      </c>
      <c r="AN45" s="62">
        <v>4309</v>
      </c>
      <c r="AO45" s="62">
        <v>5467</v>
      </c>
      <c r="AP45" s="62">
        <v>6384</v>
      </c>
      <c r="AQ45" s="62">
        <v>7982</v>
      </c>
      <c r="AR45" s="62">
        <v>9606</v>
      </c>
      <c r="AS45" s="62">
        <v>2653</v>
      </c>
      <c r="AT45" s="62">
        <v>11590</v>
      </c>
      <c r="AU45" s="62">
        <v>12655</v>
      </c>
      <c r="AV45" s="62">
        <v>13944</v>
      </c>
      <c r="AW45" s="62">
        <v>15332</v>
      </c>
      <c r="AX45" s="62">
        <v>17280</v>
      </c>
      <c r="AY45" s="62">
        <v>18035</v>
      </c>
      <c r="AZ45" s="62">
        <v>18291</v>
      </c>
      <c r="BA45" s="62">
        <v>18459</v>
      </c>
      <c r="BB45" s="62">
        <v>19372</v>
      </c>
      <c r="BC45" s="62">
        <v>20243</v>
      </c>
      <c r="BD45" s="62">
        <v>21290</v>
      </c>
      <c r="BE45" s="62">
        <v>22360</v>
      </c>
      <c r="BF45" s="62">
        <v>23487</v>
      </c>
      <c r="BG45" s="62">
        <v>25230</v>
      </c>
      <c r="BH45" s="62">
        <v>28592</v>
      </c>
      <c r="BI45" s="62">
        <v>31295</v>
      </c>
      <c r="BJ45" s="62">
        <v>34641</v>
      </c>
      <c r="BK45" s="62">
        <v>37984</v>
      </c>
      <c r="BL45" s="62">
        <v>41380</v>
      </c>
      <c r="BM45" s="62">
        <v>44558</v>
      </c>
      <c r="BN45" s="62">
        <v>46701</v>
      </c>
      <c r="BO45" s="62">
        <v>49459</v>
      </c>
      <c r="BP45" s="62">
        <v>52142</v>
      </c>
      <c r="BQ45" s="62">
        <v>56046</v>
      </c>
      <c r="BR45" s="62">
        <v>60831</v>
      </c>
      <c r="BS45" s="62">
        <v>66432</v>
      </c>
      <c r="BT45" s="62">
        <v>71982</v>
      </c>
      <c r="BU45" s="62">
        <v>78550</v>
      </c>
      <c r="BV45" s="62">
        <v>86468</v>
      </c>
      <c r="BW45" s="62">
        <v>93572</v>
      </c>
      <c r="BX45" s="62">
        <v>99850</v>
      </c>
      <c r="BY45" s="62">
        <v>107240</v>
      </c>
      <c r="BZ45" s="62">
        <v>118114</v>
      </c>
      <c r="CA45" s="62">
        <v>126423</v>
      </c>
      <c r="CB45" s="62">
        <v>131571</v>
      </c>
      <c r="CC45" s="62">
        <v>138632</v>
      </c>
      <c r="CD45" s="62">
        <v>142847</v>
      </c>
      <c r="CE45" s="62">
        <v>144640</v>
      </c>
      <c r="CF45" s="62">
        <v>146306</v>
      </c>
      <c r="CG45" s="62">
        <v>150010</v>
      </c>
      <c r="CH45" s="62">
        <v>152670</v>
      </c>
      <c r="CI45" s="62">
        <v>157757</v>
      </c>
      <c r="CJ45" s="62">
        <v>163644</v>
      </c>
      <c r="CK45" s="62">
        <v>169592</v>
      </c>
      <c r="CL45" s="62">
        <v>175863</v>
      </c>
    </row>
    <row r="46" spans="1:90" s="52" customFormat="1" ht="15" thickTop="1" thickBot="1">
      <c r="A46" s="52">
        <v>43</v>
      </c>
      <c r="C46" s="63" t="s">
        <v>445</v>
      </c>
      <c r="D46" s="64" t="s">
        <v>428</v>
      </c>
      <c r="E46" s="64" t="s">
        <v>428</v>
      </c>
      <c r="F46" s="64" t="s">
        <v>428</v>
      </c>
      <c r="G46" s="64" t="s">
        <v>428</v>
      </c>
      <c r="H46" s="64" t="s">
        <v>428</v>
      </c>
      <c r="I46" s="64" t="s">
        <v>428</v>
      </c>
      <c r="J46" s="64" t="s">
        <v>428</v>
      </c>
      <c r="K46" s="64" t="s">
        <v>428</v>
      </c>
      <c r="L46" s="64" t="s">
        <v>428</v>
      </c>
      <c r="M46" s="64" t="s">
        <v>428</v>
      </c>
      <c r="N46" s="64" t="s">
        <v>428</v>
      </c>
      <c r="O46" s="64" t="s">
        <v>428</v>
      </c>
      <c r="P46" s="64" t="s">
        <v>428</v>
      </c>
      <c r="Q46" s="64" t="s">
        <v>428</v>
      </c>
      <c r="R46" s="64" t="s">
        <v>428</v>
      </c>
      <c r="S46" s="64" t="s">
        <v>428</v>
      </c>
      <c r="T46" s="64" t="s">
        <v>428</v>
      </c>
      <c r="U46" s="64" t="s">
        <v>428</v>
      </c>
      <c r="V46" s="64" t="s">
        <v>428</v>
      </c>
      <c r="W46" s="64" t="s">
        <v>428</v>
      </c>
      <c r="X46" s="64" t="s">
        <v>428</v>
      </c>
      <c r="Y46" s="64">
        <v>337</v>
      </c>
      <c r="Z46" s="64">
        <v>762</v>
      </c>
      <c r="AA46" s="64">
        <v>568</v>
      </c>
      <c r="AB46" s="64">
        <v>501</v>
      </c>
      <c r="AC46" s="64">
        <v>338</v>
      </c>
      <c r="AD46" s="64">
        <v>3</v>
      </c>
      <c r="AE46" s="64">
        <v>-114</v>
      </c>
      <c r="AF46" s="64">
        <v>-128</v>
      </c>
      <c r="AG46" s="64">
        <v>-258</v>
      </c>
      <c r="AH46" s="64">
        <v>-321</v>
      </c>
      <c r="AI46" s="64">
        <v>335</v>
      </c>
      <c r="AJ46" s="64">
        <v>564</v>
      </c>
      <c r="AK46" s="64">
        <v>1092</v>
      </c>
      <c r="AL46" s="64">
        <v>1426</v>
      </c>
      <c r="AM46" s="64">
        <v>1305</v>
      </c>
      <c r="AN46" s="64">
        <v>982</v>
      </c>
      <c r="AO46" s="64">
        <v>479</v>
      </c>
      <c r="AP46" s="64">
        <v>384</v>
      </c>
      <c r="AQ46" s="64">
        <v>-62</v>
      </c>
      <c r="AR46" s="64">
        <v>-1251</v>
      </c>
      <c r="AS46" s="64">
        <v>-481</v>
      </c>
      <c r="AT46" s="64">
        <v>-2216</v>
      </c>
      <c r="AU46" s="64">
        <v>128</v>
      </c>
      <c r="AV46" s="64">
        <v>1252</v>
      </c>
      <c r="AW46" s="64">
        <v>2057</v>
      </c>
      <c r="AX46" s="64">
        <v>-4288</v>
      </c>
      <c r="AY46" s="64">
        <v>3363</v>
      </c>
      <c r="AZ46" s="64">
        <v>3615</v>
      </c>
      <c r="BA46" s="64">
        <v>-647</v>
      </c>
      <c r="BB46" s="64">
        <v>-1310</v>
      </c>
      <c r="BC46" s="64">
        <v>-66</v>
      </c>
      <c r="BD46" s="64">
        <v>-1175</v>
      </c>
      <c r="BE46" s="64">
        <v>100</v>
      </c>
      <c r="BF46" s="64">
        <v>1090</v>
      </c>
      <c r="BG46" s="64">
        <v>3091</v>
      </c>
      <c r="BH46" s="64">
        <v>1543</v>
      </c>
      <c r="BI46" s="64">
        <v>-116</v>
      </c>
      <c r="BJ46" s="64">
        <v>-2576</v>
      </c>
      <c r="BK46" s="64">
        <v>-3935</v>
      </c>
      <c r="BL46" s="64">
        <v>28835</v>
      </c>
      <c r="BM46" s="64">
        <v>14876</v>
      </c>
      <c r="BN46" s="64">
        <v>13399</v>
      </c>
      <c r="BO46" s="64">
        <v>13494</v>
      </c>
      <c r="BP46" s="64">
        <v>15649</v>
      </c>
      <c r="BQ46" s="64">
        <v>21016</v>
      </c>
      <c r="BR46" s="64">
        <v>22149</v>
      </c>
      <c r="BS46" s="64">
        <v>19358</v>
      </c>
      <c r="BT46" s="64">
        <v>16003</v>
      </c>
      <c r="BU46" s="64">
        <v>11635</v>
      </c>
      <c r="BV46" s="64">
        <v>10296</v>
      </c>
      <c r="BW46" s="64">
        <v>8641</v>
      </c>
      <c r="BX46" s="64">
        <v>6596</v>
      </c>
      <c r="BY46" s="64">
        <v>2662</v>
      </c>
      <c r="BZ46" s="64">
        <v>-8462</v>
      </c>
      <c r="CA46" s="64">
        <v>-20832</v>
      </c>
      <c r="CB46" s="64">
        <v>-25263</v>
      </c>
      <c r="CC46" s="64">
        <v>-29701</v>
      </c>
      <c r="CD46" s="64">
        <v>-31494</v>
      </c>
      <c r="CE46" s="64">
        <v>-30452</v>
      </c>
      <c r="CF46" s="64">
        <v>-28270</v>
      </c>
      <c r="CG46" s="64">
        <v>-1619</v>
      </c>
      <c r="CH46" s="64">
        <v>12396</v>
      </c>
      <c r="CI46" s="64">
        <v>15106</v>
      </c>
      <c r="CJ46" s="64">
        <v>-14401</v>
      </c>
      <c r="CK46" s="64">
        <v>-27162</v>
      </c>
      <c r="CL46" s="64">
        <v>-27280</v>
      </c>
    </row>
    <row r="47" spans="1:90" s="52" customFormat="1" thickTop="1">
      <c r="A47" s="52">
        <v>44</v>
      </c>
      <c r="C47" s="63" t="s">
        <v>453</v>
      </c>
      <c r="D47" s="64" t="s">
        <v>428</v>
      </c>
      <c r="E47" s="64" t="s">
        <v>428</v>
      </c>
      <c r="F47" s="64" t="s">
        <v>428</v>
      </c>
      <c r="G47" s="64" t="s">
        <v>428</v>
      </c>
      <c r="H47" s="64" t="s">
        <v>428</v>
      </c>
      <c r="I47" s="64" t="s">
        <v>428</v>
      </c>
      <c r="J47" s="64" t="s">
        <v>428</v>
      </c>
      <c r="K47" s="64" t="s">
        <v>428</v>
      </c>
      <c r="L47" s="64" t="s">
        <v>428</v>
      </c>
      <c r="M47" s="64" t="s">
        <v>428</v>
      </c>
      <c r="N47" s="64" t="s">
        <v>428</v>
      </c>
      <c r="O47" s="64" t="s">
        <v>428</v>
      </c>
      <c r="P47" s="64" t="s">
        <v>428</v>
      </c>
      <c r="Q47" s="64" t="s">
        <v>428</v>
      </c>
      <c r="R47" s="64" t="s">
        <v>428</v>
      </c>
      <c r="S47" s="64" t="s">
        <v>428</v>
      </c>
      <c r="T47" s="64" t="s">
        <v>428</v>
      </c>
      <c r="U47" s="64" t="s">
        <v>428</v>
      </c>
      <c r="V47" s="64" t="s">
        <v>428</v>
      </c>
      <c r="W47" s="64" t="s">
        <v>428</v>
      </c>
      <c r="X47" s="64" t="s">
        <v>428</v>
      </c>
      <c r="Y47" s="64" t="s">
        <v>428</v>
      </c>
      <c r="Z47" s="64" t="s">
        <v>428</v>
      </c>
      <c r="AA47" s="64" t="s">
        <v>428</v>
      </c>
      <c r="AB47" s="64" t="s">
        <v>428</v>
      </c>
      <c r="AC47" s="64" t="s">
        <v>428</v>
      </c>
      <c r="AD47" s="64" t="s">
        <v>428</v>
      </c>
      <c r="AE47" s="64" t="s">
        <v>428</v>
      </c>
      <c r="AF47" s="64" t="s">
        <v>428</v>
      </c>
      <c r="AG47" s="64" t="s">
        <v>428</v>
      </c>
      <c r="AH47" s="64" t="s">
        <v>428</v>
      </c>
      <c r="AI47" s="64" t="s">
        <v>428</v>
      </c>
      <c r="AJ47" s="64" t="s">
        <v>428</v>
      </c>
      <c r="AK47" s="64" t="s">
        <v>428</v>
      </c>
      <c r="AL47" s="64" t="s">
        <v>428</v>
      </c>
      <c r="AM47" s="64" t="s">
        <v>428</v>
      </c>
      <c r="AN47" s="64" t="s">
        <v>428</v>
      </c>
      <c r="AO47" s="64" t="s">
        <v>428</v>
      </c>
      <c r="AP47" s="64" t="s">
        <v>428</v>
      </c>
      <c r="AQ47" s="64" t="s">
        <v>428</v>
      </c>
      <c r="AR47" s="64" t="s">
        <v>428</v>
      </c>
      <c r="AS47" s="64" t="s">
        <v>428</v>
      </c>
      <c r="AT47" s="64" t="s">
        <v>428</v>
      </c>
      <c r="AU47" s="64" t="s">
        <v>428</v>
      </c>
      <c r="AV47" s="64" t="s">
        <v>428</v>
      </c>
      <c r="AW47" s="64" t="s">
        <v>428</v>
      </c>
      <c r="AX47" s="64" t="s">
        <v>428</v>
      </c>
      <c r="AY47" s="64" t="s">
        <v>428</v>
      </c>
      <c r="AZ47" s="64">
        <v>-5081</v>
      </c>
      <c r="BA47" s="64" t="s">
        <v>428</v>
      </c>
      <c r="BB47" s="64">
        <v>2540</v>
      </c>
      <c r="BC47" s="64">
        <v>2541</v>
      </c>
      <c r="BD47" s="64" t="s">
        <v>428</v>
      </c>
      <c r="BE47" s="64" t="s">
        <v>428</v>
      </c>
      <c r="BF47" s="64" t="s">
        <v>428</v>
      </c>
      <c r="BG47" s="64" t="s">
        <v>428</v>
      </c>
      <c r="BH47" s="64" t="s">
        <v>428</v>
      </c>
      <c r="BI47" s="64" t="s">
        <v>428</v>
      </c>
      <c r="BJ47" s="64" t="s">
        <v>428</v>
      </c>
      <c r="BK47" s="64" t="s">
        <v>428</v>
      </c>
      <c r="BL47" s="64" t="s">
        <v>428</v>
      </c>
      <c r="BM47" s="64" t="s">
        <v>428</v>
      </c>
      <c r="BN47" s="64" t="s">
        <v>428</v>
      </c>
      <c r="BO47" s="64" t="s">
        <v>428</v>
      </c>
      <c r="BP47" s="64" t="s">
        <v>428</v>
      </c>
      <c r="BQ47" s="64" t="s">
        <v>428</v>
      </c>
      <c r="BR47" s="64" t="s">
        <v>428</v>
      </c>
      <c r="BS47" s="64" t="s">
        <v>428</v>
      </c>
      <c r="BT47" s="64" t="s">
        <v>428</v>
      </c>
      <c r="BU47" s="64" t="s">
        <v>428</v>
      </c>
      <c r="BV47" s="64" t="s">
        <v>428</v>
      </c>
      <c r="BW47" s="64" t="s">
        <v>428</v>
      </c>
      <c r="BX47" s="64" t="s">
        <v>428</v>
      </c>
      <c r="BY47" s="64" t="s">
        <v>428</v>
      </c>
      <c r="BZ47" s="64" t="s">
        <v>428</v>
      </c>
      <c r="CA47" s="64" t="s">
        <v>428</v>
      </c>
      <c r="CB47" s="64" t="s">
        <v>428</v>
      </c>
      <c r="CC47" s="64" t="s">
        <v>428</v>
      </c>
      <c r="CD47" s="64" t="s">
        <v>428</v>
      </c>
      <c r="CE47" s="64" t="s">
        <v>428</v>
      </c>
      <c r="CF47" s="64" t="s">
        <v>428</v>
      </c>
      <c r="CG47" s="64" t="s">
        <v>428</v>
      </c>
      <c r="CH47" s="64" t="s">
        <v>428</v>
      </c>
      <c r="CI47" s="64" t="s">
        <v>428</v>
      </c>
      <c r="CJ47" s="64" t="s">
        <v>428</v>
      </c>
      <c r="CK47" s="64" t="s">
        <v>428</v>
      </c>
      <c r="CL47" s="64" t="s">
        <v>428</v>
      </c>
    </row>
    <row r="48" spans="1:90" s="52" customFormat="1" ht="13">
      <c r="A48" s="52">
        <v>45</v>
      </c>
      <c r="C48" s="63" t="s">
        <v>447</v>
      </c>
      <c r="D48" s="59" t="s">
        <v>428</v>
      </c>
      <c r="E48" s="59" t="s">
        <v>428</v>
      </c>
      <c r="F48" s="59" t="s">
        <v>428</v>
      </c>
      <c r="G48" s="59" t="s">
        <v>428</v>
      </c>
      <c r="H48" s="59" t="s">
        <v>428</v>
      </c>
      <c r="I48" s="59" t="s">
        <v>428</v>
      </c>
      <c r="J48" s="59" t="s">
        <v>428</v>
      </c>
      <c r="K48" s="59" t="s">
        <v>428</v>
      </c>
      <c r="L48" s="59" t="s">
        <v>428</v>
      </c>
      <c r="M48" s="59" t="s">
        <v>428</v>
      </c>
      <c r="N48" s="59" t="s">
        <v>428</v>
      </c>
      <c r="O48" s="59" t="s">
        <v>428</v>
      </c>
      <c r="P48" s="59" t="s">
        <v>428</v>
      </c>
      <c r="Q48" s="59" t="s">
        <v>428</v>
      </c>
      <c r="R48" s="59" t="s">
        <v>428</v>
      </c>
      <c r="S48" s="59" t="s">
        <v>428</v>
      </c>
      <c r="T48" s="59" t="s">
        <v>428</v>
      </c>
      <c r="U48" s="59" t="s">
        <v>428</v>
      </c>
      <c r="V48" s="59" t="s">
        <v>428</v>
      </c>
      <c r="W48" s="59" t="s">
        <v>428</v>
      </c>
      <c r="X48" s="59" t="s">
        <v>428</v>
      </c>
      <c r="Y48" s="59" t="s">
        <v>428</v>
      </c>
      <c r="Z48" s="59" t="s">
        <v>428</v>
      </c>
      <c r="AA48" s="59" t="s">
        <v>428</v>
      </c>
      <c r="AB48" s="59" t="s">
        <v>428</v>
      </c>
      <c r="AC48" s="59" t="s">
        <v>428</v>
      </c>
      <c r="AD48" s="59" t="s">
        <v>428</v>
      </c>
      <c r="AE48" s="59" t="s">
        <v>428</v>
      </c>
      <c r="AF48" s="59" t="s">
        <v>428</v>
      </c>
      <c r="AG48" s="59" t="s">
        <v>428</v>
      </c>
      <c r="AH48" s="59" t="s">
        <v>428</v>
      </c>
      <c r="AI48" s="59" t="s">
        <v>428</v>
      </c>
      <c r="AJ48" s="59" t="s">
        <v>428</v>
      </c>
      <c r="AK48" s="59" t="s">
        <v>428</v>
      </c>
      <c r="AL48" s="59" t="s">
        <v>428</v>
      </c>
      <c r="AM48" s="59" t="s">
        <v>428</v>
      </c>
      <c r="AN48" s="59" t="s">
        <v>428</v>
      </c>
      <c r="AO48" s="59" t="s">
        <v>428</v>
      </c>
      <c r="AP48" s="59" t="s">
        <v>428</v>
      </c>
      <c r="AQ48" s="59" t="s">
        <v>428</v>
      </c>
      <c r="AR48" s="59" t="s">
        <v>428</v>
      </c>
      <c r="AS48" s="59" t="s">
        <v>428</v>
      </c>
      <c r="AT48" s="59" t="s">
        <v>428</v>
      </c>
      <c r="AU48" s="59" t="s">
        <v>428</v>
      </c>
      <c r="AV48" s="59" t="s">
        <v>428</v>
      </c>
      <c r="AW48" s="59" t="s">
        <v>428</v>
      </c>
      <c r="AX48" s="59" t="s">
        <v>428</v>
      </c>
      <c r="AY48" s="59" t="s">
        <v>428</v>
      </c>
      <c r="AZ48" s="59" t="s">
        <v>428</v>
      </c>
      <c r="BA48" s="59" t="s">
        <v>428</v>
      </c>
      <c r="BB48" s="59" t="s">
        <v>428</v>
      </c>
      <c r="BC48" s="59" t="s">
        <v>428</v>
      </c>
      <c r="BD48" s="59" t="s">
        <v>428</v>
      </c>
      <c r="BE48" s="59" t="s">
        <v>428</v>
      </c>
      <c r="BF48" s="59" t="s">
        <v>428</v>
      </c>
      <c r="BG48" s="59" t="s">
        <v>428</v>
      </c>
      <c r="BH48" s="59" t="s">
        <v>428</v>
      </c>
      <c r="BI48" s="59" t="s">
        <v>428</v>
      </c>
      <c r="BJ48" s="59" t="s">
        <v>428</v>
      </c>
      <c r="BK48" s="59" t="s">
        <v>428</v>
      </c>
      <c r="BL48" s="59" t="s">
        <v>428</v>
      </c>
      <c r="BM48" s="59" t="s">
        <v>428</v>
      </c>
      <c r="BN48" s="59" t="s">
        <v>428</v>
      </c>
      <c r="BO48" s="59" t="s">
        <v>428</v>
      </c>
      <c r="BP48" s="59" t="s">
        <v>428</v>
      </c>
      <c r="BQ48" s="59" t="s">
        <v>428</v>
      </c>
      <c r="BR48" s="59" t="s">
        <v>428</v>
      </c>
      <c r="BS48" s="59" t="s">
        <v>428</v>
      </c>
      <c r="BT48" s="59" t="s">
        <v>428</v>
      </c>
      <c r="BU48" s="59" t="s">
        <v>428</v>
      </c>
      <c r="BV48" s="59" t="s">
        <v>428</v>
      </c>
      <c r="BW48" s="59" t="s">
        <v>428</v>
      </c>
      <c r="BX48" s="59">
        <v>5042</v>
      </c>
      <c r="BY48" s="59" t="s">
        <v>428</v>
      </c>
      <c r="BZ48" s="59" t="s">
        <v>428</v>
      </c>
      <c r="CA48" s="59">
        <v>105</v>
      </c>
      <c r="CB48" s="59" t="s">
        <v>428</v>
      </c>
      <c r="CC48" s="59" t="s">
        <v>428</v>
      </c>
      <c r="CD48" s="59" t="s">
        <v>428</v>
      </c>
      <c r="CE48" s="59" t="s">
        <v>428</v>
      </c>
      <c r="CF48" s="59" t="s">
        <v>428</v>
      </c>
      <c r="CG48" s="59" t="s">
        <v>428</v>
      </c>
      <c r="CH48" s="59" t="s">
        <v>428</v>
      </c>
      <c r="CI48" s="59" t="s">
        <v>428</v>
      </c>
      <c r="CJ48" s="59" t="s">
        <v>428</v>
      </c>
      <c r="CK48" s="59" t="s">
        <v>428</v>
      </c>
      <c r="CL48" s="59" t="s">
        <v>428</v>
      </c>
    </row>
    <row r="49" spans="1:90" s="52" customFormat="1" thickBot="1">
      <c r="A49" s="52">
        <v>46</v>
      </c>
      <c r="C49" s="63" t="s">
        <v>448</v>
      </c>
      <c r="D49" s="59" t="s">
        <v>428</v>
      </c>
      <c r="E49" s="59" t="s">
        <v>428</v>
      </c>
      <c r="F49" s="59" t="s">
        <v>428</v>
      </c>
      <c r="G49" s="59" t="s">
        <v>428</v>
      </c>
      <c r="H49" s="59" t="s">
        <v>428</v>
      </c>
      <c r="I49" s="59" t="s">
        <v>428</v>
      </c>
      <c r="J49" s="59" t="s">
        <v>428</v>
      </c>
      <c r="K49" s="59" t="s">
        <v>428</v>
      </c>
      <c r="L49" s="59" t="s">
        <v>428</v>
      </c>
      <c r="M49" s="59" t="s">
        <v>428</v>
      </c>
      <c r="N49" s="59" t="s">
        <v>428</v>
      </c>
      <c r="O49" s="59" t="s">
        <v>428</v>
      </c>
      <c r="P49" s="59" t="s">
        <v>428</v>
      </c>
      <c r="Q49" s="59" t="s">
        <v>428</v>
      </c>
      <c r="R49" s="59" t="s">
        <v>428</v>
      </c>
      <c r="S49" s="59" t="s">
        <v>428</v>
      </c>
      <c r="T49" s="59" t="s">
        <v>428</v>
      </c>
      <c r="U49" s="59" t="s">
        <v>428</v>
      </c>
      <c r="V49" s="59" t="s">
        <v>428</v>
      </c>
      <c r="W49" s="59" t="s">
        <v>428</v>
      </c>
      <c r="X49" s="59" t="s">
        <v>428</v>
      </c>
      <c r="Y49" s="59">
        <v>337</v>
      </c>
      <c r="Z49" s="59">
        <v>1099</v>
      </c>
      <c r="AA49" s="59">
        <v>1667</v>
      </c>
      <c r="AB49" s="59">
        <v>2168</v>
      </c>
      <c r="AC49" s="59">
        <v>2505</v>
      </c>
      <c r="AD49" s="59">
        <v>2509</v>
      </c>
      <c r="AE49" s="59">
        <v>2394</v>
      </c>
      <c r="AF49" s="59">
        <v>2266</v>
      </c>
      <c r="AG49" s="59">
        <v>2009</v>
      </c>
      <c r="AH49" s="59">
        <v>1688</v>
      </c>
      <c r="AI49" s="59">
        <v>2024</v>
      </c>
      <c r="AJ49" s="59">
        <v>2587</v>
      </c>
      <c r="AK49" s="59">
        <v>3679</v>
      </c>
      <c r="AL49" s="59">
        <v>5105</v>
      </c>
      <c r="AM49" s="59">
        <v>6410</v>
      </c>
      <c r="AN49" s="59">
        <v>7392</v>
      </c>
      <c r="AO49" s="59">
        <v>7871</v>
      </c>
      <c r="AP49" s="59">
        <v>8255</v>
      </c>
      <c r="AQ49" s="59">
        <v>8192</v>
      </c>
      <c r="AR49" s="59">
        <v>6941</v>
      </c>
      <c r="AS49" s="59">
        <v>6460</v>
      </c>
      <c r="AT49" s="59">
        <v>4245</v>
      </c>
      <c r="AU49" s="59">
        <v>4373</v>
      </c>
      <c r="AV49" s="59">
        <v>5625</v>
      </c>
      <c r="AW49" s="59">
        <v>7682</v>
      </c>
      <c r="AX49" s="59">
        <v>3394</v>
      </c>
      <c r="AY49" s="59">
        <v>6757</v>
      </c>
      <c r="AZ49" s="59">
        <v>5291</v>
      </c>
      <c r="BA49" s="59">
        <v>4644</v>
      </c>
      <c r="BB49" s="59">
        <v>5874</v>
      </c>
      <c r="BC49" s="59">
        <v>8349</v>
      </c>
      <c r="BD49" s="59">
        <v>7174</v>
      </c>
      <c r="BE49" s="59">
        <v>7273</v>
      </c>
      <c r="BF49" s="59">
        <v>8364</v>
      </c>
      <c r="BG49" s="59">
        <v>11455</v>
      </c>
      <c r="BH49" s="59">
        <v>12998</v>
      </c>
      <c r="BI49" s="59">
        <v>12881</v>
      </c>
      <c r="BJ49" s="59">
        <v>10305</v>
      </c>
      <c r="BK49" s="59">
        <v>6371</v>
      </c>
      <c r="BL49" s="59">
        <v>35206</v>
      </c>
      <c r="BM49" s="59">
        <v>50083</v>
      </c>
      <c r="BN49" s="59">
        <v>63483</v>
      </c>
      <c r="BO49" s="59">
        <v>76979</v>
      </c>
      <c r="BP49" s="59">
        <v>92628</v>
      </c>
      <c r="BQ49" s="59">
        <v>113644</v>
      </c>
      <c r="BR49" s="59">
        <v>135793</v>
      </c>
      <c r="BS49" s="59">
        <v>155151</v>
      </c>
      <c r="BT49" s="59">
        <v>171153</v>
      </c>
      <c r="BU49" s="59">
        <v>182788</v>
      </c>
      <c r="BV49" s="59">
        <v>193084</v>
      </c>
      <c r="BW49" s="59">
        <v>201725</v>
      </c>
      <c r="BX49" s="59">
        <v>213363</v>
      </c>
      <c r="BY49" s="59">
        <v>216025</v>
      </c>
      <c r="BZ49" s="59">
        <v>207563</v>
      </c>
      <c r="CA49" s="59">
        <v>186836</v>
      </c>
      <c r="CB49" s="59">
        <v>161573</v>
      </c>
      <c r="CC49" s="59">
        <v>131872</v>
      </c>
      <c r="CD49" s="59">
        <v>100378</v>
      </c>
      <c r="CE49" s="59">
        <v>69926</v>
      </c>
      <c r="CF49" s="59">
        <v>41656</v>
      </c>
      <c r="CG49" s="59">
        <v>40037</v>
      </c>
      <c r="CH49" s="59">
        <v>52433</v>
      </c>
      <c r="CI49" s="59">
        <v>67539</v>
      </c>
      <c r="CJ49" s="59">
        <v>53138</v>
      </c>
      <c r="CK49" s="59">
        <v>25976</v>
      </c>
      <c r="CL49" s="59">
        <v>-1304</v>
      </c>
    </row>
    <row r="50" spans="1:90" s="52" customFormat="1" thickTop="1">
      <c r="A50" s="52">
        <v>47</v>
      </c>
      <c r="C50" s="63" t="s">
        <v>449</v>
      </c>
      <c r="D50" s="64" t="s">
        <v>428</v>
      </c>
      <c r="E50" s="64" t="s">
        <v>428</v>
      </c>
      <c r="F50" s="64" t="s">
        <v>428</v>
      </c>
      <c r="G50" s="64" t="s">
        <v>428</v>
      </c>
      <c r="H50" s="64" t="s">
        <v>428</v>
      </c>
      <c r="I50" s="64" t="s">
        <v>428</v>
      </c>
      <c r="J50" s="64" t="s">
        <v>428</v>
      </c>
      <c r="K50" s="64" t="s">
        <v>428</v>
      </c>
      <c r="L50" s="64" t="s">
        <v>428</v>
      </c>
      <c r="M50" s="64" t="s">
        <v>428</v>
      </c>
      <c r="N50" s="64" t="s">
        <v>428</v>
      </c>
      <c r="O50" s="64" t="s">
        <v>428</v>
      </c>
      <c r="P50" s="64" t="s">
        <v>428</v>
      </c>
      <c r="Q50" s="64" t="s">
        <v>428</v>
      </c>
      <c r="R50" s="64" t="s">
        <v>428</v>
      </c>
      <c r="S50" s="64" t="s">
        <v>428</v>
      </c>
      <c r="T50" s="64" t="s">
        <v>428</v>
      </c>
      <c r="U50" s="64" t="s">
        <v>428</v>
      </c>
      <c r="V50" s="64" t="s">
        <v>428</v>
      </c>
      <c r="W50" s="64" t="s">
        <v>428</v>
      </c>
      <c r="X50" s="64" t="s">
        <v>428</v>
      </c>
      <c r="Y50" s="64">
        <v>325</v>
      </c>
      <c r="Z50" s="64">
        <v>1055</v>
      </c>
      <c r="AA50" s="64">
        <v>1607</v>
      </c>
      <c r="AB50" s="64">
        <v>2101</v>
      </c>
      <c r="AC50" s="64">
        <v>2386</v>
      </c>
      <c r="AD50" s="64">
        <v>2407</v>
      </c>
      <c r="AE50" s="64">
        <v>2278</v>
      </c>
      <c r="AF50" s="64">
        <v>2141</v>
      </c>
      <c r="AG50" s="64">
        <v>1878</v>
      </c>
      <c r="AH50" s="64">
        <v>1465</v>
      </c>
      <c r="AI50" s="64">
        <v>1835</v>
      </c>
      <c r="AJ50" s="64">
        <v>2351</v>
      </c>
      <c r="AK50" s="64">
        <v>3492</v>
      </c>
      <c r="AL50" s="64">
        <v>4835</v>
      </c>
      <c r="AM50" s="64">
        <v>6078</v>
      </c>
      <c r="AN50" s="64">
        <v>7012</v>
      </c>
      <c r="AO50" s="64">
        <v>7803</v>
      </c>
      <c r="AP50" s="64">
        <v>8195</v>
      </c>
      <c r="AQ50" s="64">
        <v>8158</v>
      </c>
      <c r="AR50" s="64">
        <v>6931</v>
      </c>
      <c r="AS50" s="64">
        <v>6453</v>
      </c>
      <c r="AT50" s="64">
        <v>4242</v>
      </c>
      <c r="AU50" s="64">
        <v>4352</v>
      </c>
      <c r="AV50" s="64">
        <v>5583</v>
      </c>
      <c r="AW50" s="64">
        <v>7674</v>
      </c>
      <c r="AX50" s="64">
        <v>3392</v>
      </c>
      <c r="AY50" s="64">
        <v>6753</v>
      </c>
      <c r="AZ50" s="64">
        <v>5288</v>
      </c>
      <c r="BA50" s="64">
        <v>4656</v>
      </c>
      <c r="BB50" s="64">
        <v>5704</v>
      </c>
      <c r="BC50" s="64">
        <v>8335</v>
      </c>
      <c r="BD50" s="64">
        <v>7193</v>
      </c>
      <c r="BE50" s="64">
        <v>7345</v>
      </c>
      <c r="BF50" s="64">
        <v>8428</v>
      </c>
      <c r="BG50" s="64">
        <v>11505</v>
      </c>
      <c r="BH50" s="64">
        <v>13105</v>
      </c>
      <c r="BI50" s="64">
        <v>12918</v>
      </c>
      <c r="BJ50" s="64">
        <v>10237</v>
      </c>
      <c r="BK50" s="64">
        <v>6100</v>
      </c>
      <c r="BL50" s="64">
        <v>35225</v>
      </c>
      <c r="BM50" s="64">
        <v>50100</v>
      </c>
      <c r="BN50" s="64">
        <v>63562</v>
      </c>
      <c r="BO50" s="64">
        <v>76996</v>
      </c>
      <c r="BP50" s="64">
        <v>92666</v>
      </c>
      <c r="BQ50" s="64">
        <v>113707</v>
      </c>
      <c r="BR50" s="64">
        <v>135842</v>
      </c>
      <c r="BS50" s="64">
        <v>155287</v>
      </c>
      <c r="BT50" s="64">
        <v>170793</v>
      </c>
      <c r="BU50" s="64">
        <v>182799</v>
      </c>
      <c r="BV50" s="64">
        <v>193263</v>
      </c>
      <c r="BW50" s="64">
        <v>202178</v>
      </c>
      <c r="BX50" s="64">
        <v>213830</v>
      </c>
      <c r="BY50" s="64">
        <v>216487</v>
      </c>
      <c r="BZ50" s="64">
        <v>207932</v>
      </c>
      <c r="CA50" s="64">
        <v>187222</v>
      </c>
      <c r="CB50" s="64">
        <v>161965</v>
      </c>
      <c r="CC50" s="64">
        <v>132345</v>
      </c>
      <c r="CD50" s="64">
        <v>100791</v>
      </c>
      <c r="CE50" s="64">
        <v>70113</v>
      </c>
      <c r="CF50" s="64">
        <v>41638</v>
      </c>
      <c r="CG50" s="64">
        <v>40045</v>
      </c>
      <c r="CH50" s="64">
        <v>96218</v>
      </c>
      <c r="CI50" s="64">
        <v>67539</v>
      </c>
      <c r="CJ50" s="64">
        <v>53138</v>
      </c>
      <c r="CK50" s="64">
        <v>25976</v>
      </c>
      <c r="CL50" s="64">
        <v>-1304</v>
      </c>
    </row>
    <row r="51" spans="1:90" s="52" customFormat="1" ht="13">
      <c r="A51" s="52">
        <v>48</v>
      </c>
      <c r="C51" s="63" t="s">
        <v>450</v>
      </c>
      <c r="D51" s="59" t="s">
        <v>428</v>
      </c>
      <c r="E51" s="59" t="s">
        <v>428</v>
      </c>
      <c r="F51" s="59" t="s">
        <v>428</v>
      </c>
      <c r="G51" s="59" t="s">
        <v>428</v>
      </c>
      <c r="H51" s="59" t="s">
        <v>428</v>
      </c>
      <c r="I51" s="59" t="s">
        <v>428</v>
      </c>
      <c r="J51" s="59" t="s">
        <v>428</v>
      </c>
      <c r="K51" s="59" t="s">
        <v>428</v>
      </c>
      <c r="L51" s="59" t="s">
        <v>428</v>
      </c>
      <c r="M51" s="59" t="s">
        <v>428</v>
      </c>
      <c r="N51" s="59" t="s">
        <v>428</v>
      </c>
      <c r="O51" s="59" t="s">
        <v>428</v>
      </c>
      <c r="P51" s="59" t="s">
        <v>428</v>
      </c>
      <c r="Q51" s="59" t="s">
        <v>428</v>
      </c>
      <c r="R51" s="59" t="s">
        <v>428</v>
      </c>
      <c r="S51" s="59" t="s">
        <v>428</v>
      </c>
      <c r="T51" s="59" t="s">
        <v>428</v>
      </c>
      <c r="U51" s="59" t="s">
        <v>428</v>
      </c>
      <c r="V51" s="59" t="s">
        <v>428</v>
      </c>
      <c r="W51" s="59" t="s">
        <v>428</v>
      </c>
      <c r="X51" s="59" t="s">
        <v>428</v>
      </c>
      <c r="Y51" s="59">
        <v>12</v>
      </c>
      <c r="Z51" s="59">
        <v>45</v>
      </c>
      <c r="AA51" s="59">
        <v>60</v>
      </c>
      <c r="AB51" s="59">
        <v>66</v>
      </c>
      <c r="AC51" s="59">
        <v>119</v>
      </c>
      <c r="AD51" s="59">
        <v>102</v>
      </c>
      <c r="AE51" s="59">
        <v>116</v>
      </c>
      <c r="AF51" s="59">
        <v>125</v>
      </c>
      <c r="AG51" s="59">
        <v>131</v>
      </c>
      <c r="AH51" s="59">
        <v>224</v>
      </c>
      <c r="AI51" s="59">
        <v>189</v>
      </c>
      <c r="AJ51" s="59">
        <v>236</v>
      </c>
      <c r="AK51" s="59">
        <v>187</v>
      </c>
      <c r="AL51" s="59">
        <v>270</v>
      </c>
      <c r="AM51" s="59">
        <v>332</v>
      </c>
      <c r="AN51" s="59">
        <v>380</v>
      </c>
      <c r="AO51" s="59">
        <v>68</v>
      </c>
      <c r="AP51" s="59">
        <v>60</v>
      </c>
      <c r="AQ51" s="59">
        <v>35</v>
      </c>
      <c r="AR51" s="59">
        <v>10</v>
      </c>
      <c r="AS51" s="59">
        <v>7</v>
      </c>
      <c r="AT51" s="59">
        <v>3</v>
      </c>
      <c r="AU51" s="59">
        <v>21</v>
      </c>
      <c r="AV51" s="59">
        <v>43</v>
      </c>
      <c r="AW51" s="59">
        <v>7</v>
      </c>
      <c r="AX51" s="59">
        <v>2</v>
      </c>
      <c r="AY51" s="59">
        <v>4</v>
      </c>
      <c r="AZ51" s="59">
        <v>2</v>
      </c>
      <c r="BA51" s="59">
        <v>-12</v>
      </c>
      <c r="BB51" s="59">
        <v>170</v>
      </c>
      <c r="BC51" s="59">
        <v>14</v>
      </c>
      <c r="BD51" s="59">
        <v>-19</v>
      </c>
      <c r="BE51" s="59">
        <v>-72</v>
      </c>
      <c r="BF51" s="59">
        <v>-65</v>
      </c>
      <c r="BG51" s="59">
        <v>-50</v>
      </c>
      <c r="BH51" s="59">
        <v>-107</v>
      </c>
      <c r="BI51" s="59">
        <v>-36</v>
      </c>
      <c r="BJ51" s="59">
        <v>69</v>
      </c>
      <c r="BK51" s="59">
        <v>271</v>
      </c>
      <c r="BL51" s="59">
        <v>-19</v>
      </c>
      <c r="BM51" s="59">
        <v>-17</v>
      </c>
      <c r="BN51" s="59">
        <v>-79</v>
      </c>
      <c r="BO51" s="59">
        <v>-17</v>
      </c>
      <c r="BP51" s="59">
        <v>-37</v>
      </c>
      <c r="BQ51" s="59">
        <v>-64</v>
      </c>
      <c r="BR51" s="59">
        <v>-49</v>
      </c>
      <c r="BS51" s="59">
        <v>-137</v>
      </c>
      <c r="BT51" s="59">
        <v>360</v>
      </c>
      <c r="BU51" s="59">
        <v>-11</v>
      </c>
      <c r="BV51" s="59">
        <v>-179</v>
      </c>
      <c r="BW51" s="59">
        <v>-453</v>
      </c>
      <c r="BX51" s="59">
        <v>-467</v>
      </c>
      <c r="BY51" s="59">
        <v>-462</v>
      </c>
      <c r="BZ51" s="59">
        <v>-369</v>
      </c>
      <c r="CA51" s="59">
        <v>-386</v>
      </c>
      <c r="CB51" s="59">
        <v>-392</v>
      </c>
      <c r="CC51" s="59">
        <v>-473</v>
      </c>
      <c r="CD51" s="59">
        <v>-413</v>
      </c>
      <c r="CE51" s="59">
        <v>-187</v>
      </c>
      <c r="CF51" s="59">
        <v>18</v>
      </c>
      <c r="CG51" s="59">
        <v>-8</v>
      </c>
      <c r="CH51" s="59">
        <v>-43785</v>
      </c>
      <c r="CI51" s="59" t="s">
        <v>428</v>
      </c>
      <c r="CJ51" s="59" t="s">
        <v>428</v>
      </c>
      <c r="CK51" s="59" t="s">
        <v>428</v>
      </c>
      <c r="CL51" s="59" t="s">
        <v>428</v>
      </c>
    </row>
    <row r="52" spans="1:90" s="52" customFormat="1" ht="13">
      <c r="A52" s="52">
        <v>49</v>
      </c>
      <c r="C52" s="55" t="s">
        <v>454</v>
      </c>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row>
    <row r="53" spans="1:90" s="52" customFormat="1" ht="13">
      <c r="A53" s="52">
        <v>50</v>
      </c>
      <c r="C53" s="57" t="s">
        <v>426</v>
      </c>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row>
    <row r="54" spans="1:90" s="52" customFormat="1" ht="13">
      <c r="A54" s="52">
        <v>51</v>
      </c>
      <c r="C54" s="58" t="s">
        <v>427</v>
      </c>
      <c r="D54" s="59" t="s">
        <v>428</v>
      </c>
      <c r="E54" s="59" t="s">
        <v>428</v>
      </c>
      <c r="F54" s="59" t="s">
        <v>428</v>
      </c>
      <c r="G54" s="59" t="s">
        <v>428</v>
      </c>
      <c r="H54" s="59" t="s">
        <v>428</v>
      </c>
      <c r="I54" s="59" t="s">
        <v>428</v>
      </c>
      <c r="J54" s="59" t="s">
        <v>428</v>
      </c>
      <c r="K54" s="59" t="s">
        <v>428</v>
      </c>
      <c r="L54" s="59" t="s">
        <v>428</v>
      </c>
      <c r="M54" s="59" t="s">
        <v>428</v>
      </c>
      <c r="N54" s="59" t="s">
        <v>428</v>
      </c>
      <c r="O54" s="59" t="s">
        <v>428</v>
      </c>
      <c r="P54" s="59" t="s">
        <v>428</v>
      </c>
      <c r="Q54" s="59" t="s">
        <v>428</v>
      </c>
      <c r="R54" s="59" t="s">
        <v>428</v>
      </c>
      <c r="S54" s="59" t="s">
        <v>428</v>
      </c>
      <c r="T54" s="59" t="s">
        <v>428</v>
      </c>
      <c r="U54" s="59" t="s">
        <v>428</v>
      </c>
      <c r="V54" s="59" t="s">
        <v>428</v>
      </c>
      <c r="W54" s="59" t="s">
        <v>428</v>
      </c>
      <c r="X54" s="59" t="s">
        <v>428</v>
      </c>
      <c r="Y54" s="59" t="s">
        <v>428</v>
      </c>
      <c r="Z54" s="59" t="s">
        <v>428</v>
      </c>
      <c r="AA54" s="59" t="s">
        <v>428</v>
      </c>
      <c r="AB54" s="59" t="s">
        <v>428</v>
      </c>
      <c r="AC54" s="59" t="s">
        <v>428</v>
      </c>
      <c r="AD54" s="59" t="s">
        <v>428</v>
      </c>
      <c r="AE54" s="59" t="s">
        <v>428</v>
      </c>
      <c r="AF54" s="59" t="s">
        <v>428</v>
      </c>
      <c r="AG54" s="59" t="s">
        <v>428</v>
      </c>
      <c r="AH54" s="59">
        <v>893</v>
      </c>
      <c r="AI54" s="59">
        <v>2645</v>
      </c>
      <c r="AJ54" s="59">
        <v>3493</v>
      </c>
      <c r="AK54" s="59">
        <v>4398</v>
      </c>
      <c r="AL54" s="59">
        <v>4755</v>
      </c>
      <c r="AM54" s="59">
        <v>4874</v>
      </c>
      <c r="AN54" s="59">
        <v>5205</v>
      </c>
      <c r="AO54" s="59">
        <v>7603</v>
      </c>
      <c r="AP54" s="59">
        <v>10551</v>
      </c>
      <c r="AQ54" s="59">
        <v>11252</v>
      </c>
      <c r="AR54" s="59">
        <v>11987</v>
      </c>
      <c r="AS54" s="59">
        <v>3457</v>
      </c>
      <c r="AT54" s="59">
        <v>13474</v>
      </c>
      <c r="AU54" s="59">
        <v>16668</v>
      </c>
      <c r="AV54" s="59">
        <v>19874</v>
      </c>
      <c r="AW54" s="59">
        <v>23217</v>
      </c>
      <c r="AX54" s="59">
        <v>30340</v>
      </c>
      <c r="AY54" s="59">
        <v>34301</v>
      </c>
      <c r="AZ54" s="59">
        <v>35641</v>
      </c>
      <c r="BA54" s="59">
        <v>40262</v>
      </c>
      <c r="BB54" s="59">
        <v>44871</v>
      </c>
      <c r="BC54" s="59">
        <v>51335</v>
      </c>
      <c r="BD54" s="59">
        <v>55992</v>
      </c>
      <c r="BE54" s="59">
        <v>59859</v>
      </c>
      <c r="BF54" s="59">
        <v>65396</v>
      </c>
      <c r="BG54" s="59">
        <v>68556</v>
      </c>
      <c r="BH54" s="59">
        <v>72842</v>
      </c>
      <c r="BI54" s="59">
        <v>79108</v>
      </c>
      <c r="BJ54" s="59">
        <v>81224</v>
      </c>
      <c r="BK54" s="59">
        <v>90062</v>
      </c>
      <c r="BL54" s="59">
        <v>96024</v>
      </c>
      <c r="BM54" s="59">
        <v>104997</v>
      </c>
      <c r="BN54" s="59">
        <v>110710</v>
      </c>
      <c r="BO54" s="59">
        <v>119863</v>
      </c>
      <c r="BP54" s="59">
        <v>132268</v>
      </c>
      <c r="BQ54" s="59">
        <v>135529</v>
      </c>
      <c r="BR54" s="59">
        <v>149651</v>
      </c>
      <c r="BS54" s="59">
        <v>149049</v>
      </c>
      <c r="BT54" s="59">
        <v>147186</v>
      </c>
      <c r="BU54" s="59">
        <v>150589</v>
      </c>
      <c r="BV54" s="59">
        <v>166068</v>
      </c>
      <c r="BW54" s="59">
        <v>177429</v>
      </c>
      <c r="BX54" s="59">
        <v>184908</v>
      </c>
      <c r="BY54" s="59">
        <v>193980</v>
      </c>
      <c r="BZ54" s="59">
        <v>190663</v>
      </c>
      <c r="CA54" s="59">
        <v>180068</v>
      </c>
      <c r="CB54" s="59">
        <v>188490</v>
      </c>
      <c r="CC54" s="59">
        <v>201143</v>
      </c>
      <c r="CD54" s="59">
        <v>209270</v>
      </c>
      <c r="CE54" s="59">
        <v>224107</v>
      </c>
      <c r="CF54" s="59">
        <v>234189</v>
      </c>
      <c r="CG54" s="59">
        <v>243546</v>
      </c>
      <c r="CH54" s="59">
        <v>253799</v>
      </c>
      <c r="CI54" s="59">
        <v>265403</v>
      </c>
      <c r="CJ54" s="59">
        <v>277514</v>
      </c>
      <c r="CK54" s="59">
        <v>288622</v>
      </c>
      <c r="CL54" s="59">
        <v>303834</v>
      </c>
    </row>
    <row r="55" spans="1:90" s="52" customFormat="1" ht="13">
      <c r="A55" s="52">
        <v>52</v>
      </c>
      <c r="C55" s="58" t="s">
        <v>429</v>
      </c>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row>
    <row r="56" spans="1:90" s="52" customFormat="1">
      <c r="A56" s="52">
        <v>53</v>
      </c>
      <c r="C56" s="60" t="s">
        <v>455</v>
      </c>
      <c r="D56" s="59" t="s">
        <v>428</v>
      </c>
      <c r="E56" s="59" t="s">
        <v>428</v>
      </c>
      <c r="F56" s="59" t="s">
        <v>428</v>
      </c>
      <c r="G56" s="59" t="s">
        <v>428</v>
      </c>
      <c r="H56" s="59" t="s">
        <v>428</v>
      </c>
      <c r="I56" s="59" t="s">
        <v>428</v>
      </c>
      <c r="J56" s="59" t="s">
        <v>428</v>
      </c>
      <c r="K56" s="59" t="s">
        <v>428</v>
      </c>
      <c r="L56" s="59" t="s">
        <v>428</v>
      </c>
      <c r="M56" s="59" t="s">
        <v>428</v>
      </c>
      <c r="N56" s="59" t="s">
        <v>428</v>
      </c>
      <c r="O56" s="59" t="s">
        <v>428</v>
      </c>
      <c r="P56" s="59" t="s">
        <v>428</v>
      </c>
      <c r="Q56" s="59" t="s">
        <v>428</v>
      </c>
      <c r="R56" s="59" t="s">
        <v>428</v>
      </c>
      <c r="S56" s="59" t="s">
        <v>428</v>
      </c>
      <c r="T56" s="59" t="s">
        <v>428</v>
      </c>
      <c r="U56" s="59" t="s">
        <v>428</v>
      </c>
      <c r="V56" s="59" t="s">
        <v>428</v>
      </c>
      <c r="W56" s="59" t="s">
        <v>428</v>
      </c>
      <c r="X56" s="59" t="s">
        <v>428</v>
      </c>
      <c r="Y56" s="59" t="s">
        <v>428</v>
      </c>
      <c r="Z56" s="59" t="s">
        <v>428</v>
      </c>
      <c r="AA56" s="59" t="s">
        <v>428</v>
      </c>
      <c r="AB56" s="59" t="s">
        <v>428</v>
      </c>
      <c r="AC56" s="59" t="s">
        <v>428</v>
      </c>
      <c r="AD56" s="59" t="s">
        <v>428</v>
      </c>
      <c r="AE56" s="59" t="s">
        <v>428</v>
      </c>
      <c r="AF56" s="59" t="s">
        <v>428</v>
      </c>
      <c r="AG56" s="59" t="s">
        <v>428</v>
      </c>
      <c r="AH56" s="59">
        <v>16</v>
      </c>
      <c r="AI56" s="59">
        <v>60</v>
      </c>
      <c r="AJ56" s="59">
        <v>65</v>
      </c>
      <c r="AK56" s="59">
        <v>79</v>
      </c>
      <c r="AL56" s="59">
        <v>91</v>
      </c>
      <c r="AM56" s="59">
        <v>87</v>
      </c>
      <c r="AN56" s="59">
        <v>85</v>
      </c>
      <c r="AO56" s="59">
        <v>121</v>
      </c>
      <c r="AP56" s="59">
        <v>147</v>
      </c>
      <c r="AQ56" s="59">
        <v>166</v>
      </c>
      <c r="AR56" s="59">
        <v>175</v>
      </c>
      <c r="AS56" s="59">
        <v>45</v>
      </c>
      <c r="AT56" s="59">
        <v>175</v>
      </c>
      <c r="AU56" s="59">
        <v>206</v>
      </c>
      <c r="AV56" s="59">
        <v>228</v>
      </c>
      <c r="AW56" s="59">
        <v>249</v>
      </c>
      <c r="AX56" s="59">
        <v>332</v>
      </c>
      <c r="AY56" s="59">
        <v>397</v>
      </c>
      <c r="AZ56" s="59">
        <v>1054</v>
      </c>
      <c r="BA56" s="59">
        <v>1306</v>
      </c>
      <c r="BB56" s="59">
        <v>1449</v>
      </c>
      <c r="BC56" s="59">
        <v>1604</v>
      </c>
      <c r="BD56" s="59">
        <v>1700</v>
      </c>
      <c r="BE56" s="59">
        <v>1884</v>
      </c>
      <c r="BF56" s="59">
        <v>2007</v>
      </c>
      <c r="BG56" s="59">
        <v>2153</v>
      </c>
      <c r="BH56" s="59">
        <v>2205</v>
      </c>
      <c r="BI56" s="59">
        <v>2324</v>
      </c>
      <c r="BJ56" s="59">
        <v>2375</v>
      </c>
      <c r="BK56" s="59">
        <v>2440</v>
      </c>
      <c r="BL56" s="59">
        <v>2449</v>
      </c>
      <c r="BM56" s="59">
        <v>2382</v>
      </c>
      <c r="BN56" s="59">
        <v>2465</v>
      </c>
      <c r="BO56" s="59">
        <v>2499</v>
      </c>
      <c r="BP56" s="59">
        <v>2576</v>
      </c>
      <c r="BQ56" s="59">
        <v>2630</v>
      </c>
      <c r="BR56" s="59">
        <v>2704</v>
      </c>
      <c r="BS56" s="59">
        <v>2913</v>
      </c>
      <c r="BT56" s="59">
        <v>3049</v>
      </c>
      <c r="BU56" s="59">
        <v>3423</v>
      </c>
      <c r="BV56" s="59">
        <v>3302</v>
      </c>
      <c r="BW56" s="59">
        <v>3404</v>
      </c>
      <c r="BX56" s="59">
        <v>3538</v>
      </c>
      <c r="BY56" s="59">
        <v>3710</v>
      </c>
      <c r="BZ56" s="59">
        <v>3935</v>
      </c>
      <c r="CA56" s="59">
        <v>4042</v>
      </c>
      <c r="CB56" s="59">
        <v>4025</v>
      </c>
      <c r="CC56" s="59">
        <v>4093</v>
      </c>
      <c r="CD56" s="59">
        <v>4178</v>
      </c>
      <c r="CE56" s="59">
        <v>4052</v>
      </c>
      <c r="CF56" s="59">
        <v>4073</v>
      </c>
      <c r="CG56" s="59">
        <v>4279</v>
      </c>
      <c r="CH56" s="59">
        <v>4382</v>
      </c>
      <c r="CI56" s="59">
        <v>4497</v>
      </c>
      <c r="CJ56" s="59">
        <v>4681</v>
      </c>
      <c r="CK56" s="59">
        <v>4845</v>
      </c>
      <c r="CL56" s="59">
        <v>5016</v>
      </c>
    </row>
    <row r="57" spans="1:90" s="52" customFormat="1" ht="13">
      <c r="A57" s="52">
        <v>54</v>
      </c>
      <c r="C57" s="60" t="s">
        <v>456</v>
      </c>
      <c r="D57" s="59" t="s">
        <v>428</v>
      </c>
      <c r="E57" s="59" t="s">
        <v>428</v>
      </c>
      <c r="F57" s="59" t="s">
        <v>428</v>
      </c>
      <c r="G57" s="59" t="s">
        <v>428</v>
      </c>
      <c r="H57" s="59" t="s">
        <v>428</v>
      </c>
      <c r="I57" s="59" t="s">
        <v>428</v>
      </c>
      <c r="J57" s="59" t="s">
        <v>428</v>
      </c>
      <c r="K57" s="59" t="s">
        <v>428</v>
      </c>
      <c r="L57" s="59" t="s">
        <v>428</v>
      </c>
      <c r="M57" s="59" t="s">
        <v>428</v>
      </c>
      <c r="N57" s="59" t="s">
        <v>428</v>
      </c>
      <c r="O57" s="59" t="s">
        <v>428</v>
      </c>
      <c r="P57" s="59" t="s">
        <v>428</v>
      </c>
      <c r="Q57" s="59" t="s">
        <v>428</v>
      </c>
      <c r="R57" s="59" t="s">
        <v>428</v>
      </c>
      <c r="S57" s="59" t="s">
        <v>428</v>
      </c>
      <c r="T57" s="59" t="s">
        <v>428</v>
      </c>
      <c r="U57" s="59" t="s">
        <v>428</v>
      </c>
      <c r="V57" s="59" t="s">
        <v>428</v>
      </c>
      <c r="W57" s="59" t="s">
        <v>428</v>
      </c>
      <c r="X57" s="59" t="s">
        <v>428</v>
      </c>
      <c r="Y57" s="59" t="s">
        <v>428</v>
      </c>
      <c r="Z57" s="59" t="s">
        <v>428</v>
      </c>
      <c r="AA57" s="59" t="s">
        <v>428</v>
      </c>
      <c r="AB57" s="59" t="s">
        <v>428</v>
      </c>
      <c r="AC57" s="59" t="s">
        <v>428</v>
      </c>
      <c r="AD57" s="59" t="s">
        <v>428</v>
      </c>
      <c r="AE57" s="59" t="s">
        <v>428</v>
      </c>
      <c r="AF57" s="59" t="s">
        <v>428</v>
      </c>
      <c r="AG57" s="59" t="s">
        <v>428</v>
      </c>
      <c r="AH57" s="59">
        <v>6</v>
      </c>
      <c r="AI57" s="59">
        <v>46</v>
      </c>
      <c r="AJ57" s="59">
        <v>61</v>
      </c>
      <c r="AK57" s="59">
        <v>96</v>
      </c>
      <c r="AL57" s="59">
        <v>139</v>
      </c>
      <c r="AM57" s="59">
        <v>183</v>
      </c>
      <c r="AN57" s="59">
        <v>190</v>
      </c>
      <c r="AO57" s="59">
        <v>198</v>
      </c>
      <c r="AP57" s="59">
        <v>408</v>
      </c>
      <c r="AQ57" s="59">
        <v>614</v>
      </c>
      <c r="AR57" s="59">
        <v>716</v>
      </c>
      <c r="AS57" s="59">
        <v>12</v>
      </c>
      <c r="AT57" s="59">
        <v>771</v>
      </c>
      <c r="AU57" s="59">
        <v>797</v>
      </c>
      <c r="AV57" s="59">
        <v>883</v>
      </c>
      <c r="AW57" s="59">
        <v>1061</v>
      </c>
      <c r="AX57" s="59">
        <v>1325</v>
      </c>
      <c r="AY57" s="59">
        <v>1873</v>
      </c>
      <c r="AZ57" s="59">
        <v>1656</v>
      </c>
      <c r="BA57" s="59">
        <v>1686</v>
      </c>
      <c r="BB57" s="59">
        <v>2016</v>
      </c>
      <c r="BC57" s="59">
        <v>2809</v>
      </c>
      <c r="BD57" s="59">
        <v>3994</v>
      </c>
      <c r="BE57" s="59">
        <v>5169</v>
      </c>
      <c r="BF57" s="59">
        <v>6603</v>
      </c>
      <c r="BG57" s="59">
        <v>7943</v>
      </c>
      <c r="BH57" s="59">
        <v>8992</v>
      </c>
      <c r="BI57" s="59">
        <v>10054</v>
      </c>
      <c r="BJ57" s="59">
        <v>10581</v>
      </c>
      <c r="BK57" s="59">
        <v>10593</v>
      </c>
      <c r="BL57" s="59">
        <v>10871</v>
      </c>
      <c r="BM57" s="59">
        <v>10389</v>
      </c>
      <c r="BN57" s="59">
        <v>9757</v>
      </c>
      <c r="BO57" s="59">
        <v>9154</v>
      </c>
      <c r="BP57" s="59">
        <v>9286</v>
      </c>
      <c r="BQ57" s="59">
        <v>10470</v>
      </c>
      <c r="BR57" s="59">
        <v>12338</v>
      </c>
      <c r="BS57" s="59">
        <v>13774</v>
      </c>
      <c r="BT57" s="59">
        <v>14791</v>
      </c>
      <c r="BU57" s="59">
        <v>15074</v>
      </c>
      <c r="BV57" s="59">
        <v>15155</v>
      </c>
      <c r="BW57" s="59">
        <v>15388</v>
      </c>
      <c r="BX57" s="59">
        <v>16141</v>
      </c>
      <c r="BY57" s="59">
        <v>15910</v>
      </c>
      <c r="BZ57" s="59">
        <v>15901</v>
      </c>
      <c r="CA57" s="59">
        <v>14604</v>
      </c>
      <c r="CB57" s="59">
        <v>12902</v>
      </c>
      <c r="CC57" s="59">
        <v>11297</v>
      </c>
      <c r="CD57" s="59">
        <v>9917</v>
      </c>
      <c r="CE57" s="59">
        <v>8960</v>
      </c>
      <c r="CF57" s="59">
        <v>8624</v>
      </c>
      <c r="CG57" s="59">
        <v>8075</v>
      </c>
      <c r="CH57" s="59">
        <v>8095</v>
      </c>
      <c r="CI57" s="59">
        <v>7757</v>
      </c>
      <c r="CJ57" s="59">
        <v>7741</v>
      </c>
      <c r="CK57" s="59">
        <v>7582</v>
      </c>
      <c r="CL57" s="59">
        <v>7321</v>
      </c>
    </row>
    <row r="58" spans="1:90" s="52" customFormat="1" ht="13">
      <c r="A58" s="52">
        <v>55</v>
      </c>
      <c r="C58" s="60" t="s">
        <v>457</v>
      </c>
      <c r="D58" s="59" t="s">
        <v>428</v>
      </c>
      <c r="E58" s="59" t="s">
        <v>428</v>
      </c>
      <c r="F58" s="59" t="s">
        <v>428</v>
      </c>
      <c r="G58" s="59" t="s">
        <v>428</v>
      </c>
      <c r="H58" s="59" t="s">
        <v>428</v>
      </c>
      <c r="I58" s="59" t="s">
        <v>428</v>
      </c>
      <c r="J58" s="59" t="s">
        <v>428</v>
      </c>
      <c r="K58" s="59" t="s">
        <v>428</v>
      </c>
      <c r="L58" s="59" t="s">
        <v>428</v>
      </c>
      <c r="M58" s="59" t="s">
        <v>428</v>
      </c>
      <c r="N58" s="59" t="s">
        <v>428</v>
      </c>
      <c r="O58" s="59" t="s">
        <v>428</v>
      </c>
      <c r="P58" s="59" t="s">
        <v>428</v>
      </c>
      <c r="Q58" s="59" t="s">
        <v>428</v>
      </c>
      <c r="R58" s="59" t="s">
        <v>428</v>
      </c>
      <c r="S58" s="59" t="s">
        <v>428</v>
      </c>
      <c r="T58" s="59" t="s">
        <v>428</v>
      </c>
      <c r="U58" s="59" t="s">
        <v>428</v>
      </c>
      <c r="V58" s="59" t="s">
        <v>428</v>
      </c>
      <c r="W58" s="59" t="s">
        <v>428</v>
      </c>
      <c r="X58" s="59" t="s">
        <v>428</v>
      </c>
      <c r="Y58" s="59" t="s">
        <v>428</v>
      </c>
      <c r="Z58" s="59" t="s">
        <v>428</v>
      </c>
      <c r="AA58" s="59" t="s">
        <v>428</v>
      </c>
      <c r="AB58" s="59" t="s">
        <v>428</v>
      </c>
      <c r="AC58" s="59" t="s">
        <v>428</v>
      </c>
      <c r="AD58" s="59" t="s">
        <v>428</v>
      </c>
      <c r="AE58" s="59" t="s">
        <v>428</v>
      </c>
      <c r="AF58" s="59" t="s">
        <v>428</v>
      </c>
      <c r="AG58" s="59" t="s">
        <v>428</v>
      </c>
      <c r="AH58" s="59" t="s">
        <v>428</v>
      </c>
      <c r="AI58" s="59" t="s">
        <v>428</v>
      </c>
      <c r="AJ58" s="59" t="s">
        <v>428</v>
      </c>
      <c r="AK58" s="59" t="s">
        <v>428</v>
      </c>
      <c r="AL58" s="59" t="s">
        <v>428</v>
      </c>
      <c r="AM58" s="59" t="s">
        <v>428</v>
      </c>
      <c r="AN58" s="59" t="s">
        <v>428</v>
      </c>
      <c r="AO58" s="59" t="s">
        <v>428</v>
      </c>
      <c r="AP58" s="59" t="s">
        <v>428</v>
      </c>
      <c r="AQ58" s="59" t="s">
        <v>428</v>
      </c>
      <c r="AR58" s="59" t="s">
        <v>428</v>
      </c>
      <c r="AS58" s="59" t="s">
        <v>428</v>
      </c>
      <c r="AT58" s="59" t="s">
        <v>428</v>
      </c>
      <c r="AU58" s="59" t="s">
        <v>428</v>
      </c>
      <c r="AV58" s="59" t="s">
        <v>428</v>
      </c>
      <c r="AW58" s="59" t="s">
        <v>428</v>
      </c>
      <c r="AX58" s="59" t="s">
        <v>428</v>
      </c>
      <c r="AY58" s="59" t="s">
        <v>428</v>
      </c>
      <c r="AZ58" s="59">
        <v>1028</v>
      </c>
      <c r="BA58" s="59">
        <v>1337</v>
      </c>
      <c r="BB58" s="59">
        <v>1207</v>
      </c>
      <c r="BC58" s="59">
        <v>383</v>
      </c>
      <c r="BD58" s="59" t="s">
        <v>428</v>
      </c>
      <c r="BE58" s="59" t="s">
        <v>428</v>
      </c>
      <c r="BF58" s="59" t="s">
        <v>428</v>
      </c>
      <c r="BG58" s="59" t="s">
        <v>428</v>
      </c>
      <c r="BH58" s="59" t="s">
        <v>428</v>
      </c>
      <c r="BI58" s="59" t="s">
        <v>428</v>
      </c>
      <c r="BJ58" s="59" t="s">
        <v>428</v>
      </c>
      <c r="BK58" s="59" t="s">
        <v>428</v>
      </c>
      <c r="BL58" s="59" t="s">
        <v>428</v>
      </c>
      <c r="BM58" s="59" t="s">
        <v>428</v>
      </c>
      <c r="BN58" s="59" t="s">
        <v>428</v>
      </c>
      <c r="BO58" s="59" t="s">
        <v>428</v>
      </c>
      <c r="BP58" s="59" t="s">
        <v>428</v>
      </c>
      <c r="BQ58" s="59" t="s">
        <v>428</v>
      </c>
      <c r="BR58" s="59" t="s">
        <v>428</v>
      </c>
      <c r="BS58" s="59" t="s">
        <v>428</v>
      </c>
      <c r="BT58" s="59" t="s">
        <v>428</v>
      </c>
      <c r="BU58" s="59" t="s">
        <v>428</v>
      </c>
      <c r="BV58" s="59" t="s">
        <v>428</v>
      </c>
      <c r="BW58" s="59" t="s">
        <v>428</v>
      </c>
      <c r="BX58" s="59" t="s">
        <v>428</v>
      </c>
      <c r="BY58" s="59" t="s">
        <v>428</v>
      </c>
      <c r="BZ58" s="59" t="s">
        <v>428</v>
      </c>
      <c r="CA58" s="59" t="s">
        <v>428</v>
      </c>
      <c r="CB58" s="59" t="s">
        <v>428</v>
      </c>
      <c r="CC58" s="59" t="s">
        <v>428</v>
      </c>
      <c r="CD58" s="59" t="s">
        <v>428</v>
      </c>
      <c r="CE58" s="59" t="s">
        <v>428</v>
      </c>
      <c r="CF58" s="59" t="s">
        <v>428</v>
      </c>
      <c r="CG58" s="59" t="s">
        <v>428</v>
      </c>
      <c r="CH58" s="59" t="s">
        <v>428</v>
      </c>
      <c r="CI58" s="59" t="s">
        <v>428</v>
      </c>
      <c r="CJ58" s="59" t="s">
        <v>428</v>
      </c>
      <c r="CK58" s="59" t="s">
        <v>428</v>
      </c>
      <c r="CL58" s="59" t="s">
        <v>428</v>
      </c>
    </row>
    <row r="59" spans="1:90" s="52" customFormat="1" ht="13">
      <c r="A59" s="52">
        <v>56</v>
      </c>
      <c r="C59" s="60" t="s">
        <v>458</v>
      </c>
      <c r="D59" s="59" t="s">
        <v>428</v>
      </c>
      <c r="E59" s="59" t="s">
        <v>428</v>
      </c>
      <c r="F59" s="59" t="s">
        <v>428</v>
      </c>
      <c r="G59" s="59" t="s">
        <v>428</v>
      </c>
      <c r="H59" s="59" t="s">
        <v>428</v>
      </c>
      <c r="I59" s="59" t="s">
        <v>428</v>
      </c>
      <c r="J59" s="59" t="s">
        <v>428</v>
      </c>
      <c r="K59" s="59" t="s">
        <v>428</v>
      </c>
      <c r="L59" s="59" t="s">
        <v>428</v>
      </c>
      <c r="M59" s="59" t="s">
        <v>428</v>
      </c>
      <c r="N59" s="59" t="s">
        <v>428</v>
      </c>
      <c r="O59" s="59" t="s">
        <v>428</v>
      </c>
      <c r="P59" s="59" t="s">
        <v>428</v>
      </c>
      <c r="Q59" s="59" t="s">
        <v>428</v>
      </c>
      <c r="R59" s="59" t="s">
        <v>428</v>
      </c>
      <c r="S59" s="59" t="s">
        <v>428</v>
      </c>
      <c r="T59" s="59" t="s">
        <v>428</v>
      </c>
      <c r="U59" s="59" t="s">
        <v>428</v>
      </c>
      <c r="V59" s="59" t="s">
        <v>428</v>
      </c>
      <c r="W59" s="59" t="s">
        <v>428</v>
      </c>
      <c r="X59" s="59" t="s">
        <v>428</v>
      </c>
      <c r="Y59" s="59" t="s">
        <v>428</v>
      </c>
      <c r="Z59" s="59" t="s">
        <v>428</v>
      </c>
      <c r="AA59" s="59" t="s">
        <v>428</v>
      </c>
      <c r="AB59" s="59" t="s">
        <v>428</v>
      </c>
      <c r="AC59" s="59" t="s">
        <v>428</v>
      </c>
      <c r="AD59" s="59" t="s">
        <v>428</v>
      </c>
      <c r="AE59" s="59" t="s">
        <v>428</v>
      </c>
      <c r="AF59" s="59" t="s">
        <v>428</v>
      </c>
      <c r="AG59" s="59" t="s">
        <v>428</v>
      </c>
      <c r="AH59" s="59" t="s">
        <v>428</v>
      </c>
      <c r="AI59" s="59" t="s">
        <v>428</v>
      </c>
      <c r="AJ59" s="59" t="s">
        <v>428</v>
      </c>
      <c r="AK59" s="59" t="s">
        <v>428</v>
      </c>
      <c r="AL59" s="59" t="s">
        <v>428</v>
      </c>
      <c r="AM59" s="59" t="s">
        <v>428</v>
      </c>
      <c r="AN59" s="59" t="s">
        <v>428</v>
      </c>
      <c r="AO59" s="59" t="s">
        <v>428</v>
      </c>
      <c r="AP59" s="59" t="s">
        <v>428</v>
      </c>
      <c r="AQ59" s="59" t="s">
        <v>428</v>
      </c>
      <c r="AR59" s="59" t="s">
        <v>428</v>
      </c>
      <c r="AS59" s="59" t="s">
        <v>428</v>
      </c>
      <c r="AT59" s="59" t="s">
        <v>428</v>
      </c>
      <c r="AU59" s="59" t="s">
        <v>428</v>
      </c>
      <c r="AV59" s="59" t="s">
        <v>428</v>
      </c>
      <c r="AW59" s="59" t="s">
        <v>428</v>
      </c>
      <c r="AX59" s="59" t="s">
        <v>428</v>
      </c>
      <c r="AY59" s="59" t="s">
        <v>428</v>
      </c>
      <c r="AZ59" s="59" t="s">
        <v>428</v>
      </c>
      <c r="BA59" s="59" t="s">
        <v>428</v>
      </c>
      <c r="BB59" s="59" t="s">
        <v>428</v>
      </c>
      <c r="BC59" s="59" t="s">
        <v>428</v>
      </c>
      <c r="BD59" s="59" t="s">
        <v>428</v>
      </c>
      <c r="BE59" s="59" t="s">
        <v>428</v>
      </c>
      <c r="BF59" s="59" t="s">
        <v>428</v>
      </c>
      <c r="BG59" s="59" t="s">
        <v>428</v>
      </c>
      <c r="BH59" s="59" t="s">
        <v>428</v>
      </c>
      <c r="BI59" s="59" t="s">
        <v>428</v>
      </c>
      <c r="BJ59" s="59" t="s">
        <v>428</v>
      </c>
      <c r="BK59" s="59">
        <v>1639</v>
      </c>
      <c r="BL59" s="59">
        <v>3913</v>
      </c>
      <c r="BM59" s="59">
        <v>4069</v>
      </c>
      <c r="BN59" s="59">
        <v>3558</v>
      </c>
      <c r="BO59" s="59">
        <v>5067</v>
      </c>
      <c r="BP59" s="59">
        <v>6552</v>
      </c>
      <c r="BQ59" s="59">
        <v>8787</v>
      </c>
      <c r="BR59" s="59">
        <v>4903</v>
      </c>
      <c r="BS59" s="59">
        <v>10946</v>
      </c>
      <c r="BT59" s="59">
        <v>8318</v>
      </c>
      <c r="BU59" s="59">
        <v>8577</v>
      </c>
      <c r="BV59" s="59">
        <v>8765</v>
      </c>
      <c r="BW59" s="59">
        <v>10319</v>
      </c>
      <c r="BX59" s="59">
        <v>10593</v>
      </c>
      <c r="BY59" s="59">
        <v>11733</v>
      </c>
      <c r="BZ59" s="59">
        <v>12376</v>
      </c>
      <c r="CA59" s="59">
        <v>13760</v>
      </c>
      <c r="CB59" s="59">
        <v>15143</v>
      </c>
      <c r="CC59" s="59">
        <v>18643</v>
      </c>
      <c r="CD59" s="59">
        <v>14310</v>
      </c>
      <c r="CE59" s="59">
        <v>18066</v>
      </c>
      <c r="CF59" s="59">
        <v>20208</v>
      </c>
      <c r="CG59" s="59">
        <v>23208</v>
      </c>
      <c r="CH59" s="59">
        <v>25987</v>
      </c>
      <c r="CI59" s="59">
        <v>28592</v>
      </c>
      <c r="CJ59" s="59">
        <v>31408</v>
      </c>
      <c r="CK59" s="59">
        <v>34386</v>
      </c>
      <c r="CL59" s="59">
        <v>37460</v>
      </c>
    </row>
    <row r="60" spans="1:90" s="52" customFormat="1" ht="13">
      <c r="A60" s="52">
        <v>57</v>
      </c>
      <c r="C60" s="60" t="s">
        <v>459</v>
      </c>
      <c r="D60" s="59" t="s">
        <v>428</v>
      </c>
      <c r="E60" s="59" t="s">
        <v>428</v>
      </c>
      <c r="F60" s="59" t="s">
        <v>428</v>
      </c>
      <c r="G60" s="59" t="s">
        <v>428</v>
      </c>
      <c r="H60" s="59" t="s">
        <v>428</v>
      </c>
      <c r="I60" s="59" t="s">
        <v>428</v>
      </c>
      <c r="J60" s="59" t="s">
        <v>428</v>
      </c>
      <c r="K60" s="59" t="s">
        <v>428</v>
      </c>
      <c r="L60" s="59" t="s">
        <v>428</v>
      </c>
      <c r="M60" s="59" t="s">
        <v>428</v>
      </c>
      <c r="N60" s="59" t="s">
        <v>428</v>
      </c>
      <c r="O60" s="59" t="s">
        <v>428</v>
      </c>
      <c r="P60" s="59" t="s">
        <v>428</v>
      </c>
      <c r="Q60" s="59" t="s">
        <v>428</v>
      </c>
      <c r="R60" s="59" t="s">
        <v>428</v>
      </c>
      <c r="S60" s="59" t="s">
        <v>428</v>
      </c>
      <c r="T60" s="59" t="s">
        <v>428</v>
      </c>
      <c r="U60" s="59" t="s">
        <v>428</v>
      </c>
      <c r="V60" s="59" t="s">
        <v>428</v>
      </c>
      <c r="W60" s="59" t="s">
        <v>428</v>
      </c>
      <c r="X60" s="59" t="s">
        <v>428</v>
      </c>
      <c r="Y60" s="59" t="s">
        <v>428</v>
      </c>
      <c r="Z60" s="59" t="s">
        <v>428</v>
      </c>
      <c r="AA60" s="59" t="s">
        <v>428</v>
      </c>
      <c r="AB60" s="59" t="s">
        <v>428</v>
      </c>
      <c r="AC60" s="59" t="s">
        <v>428</v>
      </c>
      <c r="AD60" s="59" t="s">
        <v>428</v>
      </c>
      <c r="AE60" s="59" t="s">
        <v>428</v>
      </c>
      <c r="AF60" s="59" t="s">
        <v>428</v>
      </c>
      <c r="AG60" s="59" t="s">
        <v>428</v>
      </c>
      <c r="AH60" s="59" t="s">
        <v>428</v>
      </c>
      <c r="AI60" s="59" t="s">
        <v>428</v>
      </c>
      <c r="AJ60" s="59" t="s">
        <v>428</v>
      </c>
      <c r="AK60" s="59" t="s">
        <v>428</v>
      </c>
      <c r="AL60" s="59" t="s">
        <v>428</v>
      </c>
      <c r="AM60" s="59" t="s">
        <v>428</v>
      </c>
      <c r="AN60" s="59" t="s">
        <v>428</v>
      </c>
      <c r="AO60" s="59" t="s">
        <v>428</v>
      </c>
      <c r="AP60" s="59" t="s">
        <v>428</v>
      </c>
      <c r="AQ60" s="59" t="s">
        <v>428</v>
      </c>
      <c r="AR60" s="59" t="s">
        <v>428</v>
      </c>
      <c r="AS60" s="59" t="s">
        <v>428</v>
      </c>
      <c r="AT60" s="59" t="s">
        <v>428</v>
      </c>
      <c r="AU60" s="59" t="s">
        <v>428</v>
      </c>
      <c r="AV60" s="59" t="s">
        <v>428</v>
      </c>
      <c r="AW60" s="59" t="s">
        <v>428</v>
      </c>
      <c r="AX60" s="59" t="s">
        <v>428</v>
      </c>
      <c r="AY60" s="59" t="s">
        <v>428</v>
      </c>
      <c r="AZ60" s="59" t="s">
        <v>428</v>
      </c>
      <c r="BA60" s="59" t="s">
        <v>428</v>
      </c>
      <c r="BB60" s="59" t="s">
        <v>428</v>
      </c>
      <c r="BC60" s="59" t="s">
        <v>428</v>
      </c>
      <c r="BD60" s="59" t="s">
        <v>428</v>
      </c>
      <c r="BE60" s="59" t="s">
        <v>428</v>
      </c>
      <c r="BF60" s="59" t="s">
        <v>428</v>
      </c>
      <c r="BG60" s="59" t="s">
        <v>428</v>
      </c>
      <c r="BH60" s="59" t="s">
        <v>428</v>
      </c>
      <c r="BI60" s="59" t="s">
        <v>428</v>
      </c>
      <c r="BJ60" s="59" t="s">
        <v>428</v>
      </c>
      <c r="BK60" s="59" t="s">
        <v>428</v>
      </c>
      <c r="BL60" s="59" t="s">
        <v>428</v>
      </c>
      <c r="BM60" s="59" t="s">
        <v>428</v>
      </c>
      <c r="BN60" s="59" t="s">
        <v>428</v>
      </c>
      <c r="BO60" s="59" t="s">
        <v>428</v>
      </c>
      <c r="BP60" s="59" t="s">
        <v>428</v>
      </c>
      <c r="BQ60" s="59" t="s">
        <v>428</v>
      </c>
      <c r="BR60" s="59" t="s">
        <v>428</v>
      </c>
      <c r="BS60" s="59" t="s">
        <v>428</v>
      </c>
      <c r="BT60" s="59" t="s">
        <v>428</v>
      </c>
      <c r="BU60" s="59" t="s">
        <v>428</v>
      </c>
      <c r="BV60" s="59" t="s">
        <v>428</v>
      </c>
      <c r="BW60" s="59" t="s">
        <v>428</v>
      </c>
      <c r="BX60" s="59" t="s">
        <v>428</v>
      </c>
      <c r="BY60" s="59" t="s">
        <v>428</v>
      </c>
      <c r="BZ60" s="59" t="s">
        <v>428</v>
      </c>
      <c r="CA60" s="59" t="s">
        <v>428</v>
      </c>
      <c r="CB60" s="59" t="s">
        <v>428</v>
      </c>
      <c r="CC60" s="59" t="s">
        <v>428</v>
      </c>
      <c r="CD60" s="59" t="s">
        <v>428</v>
      </c>
      <c r="CE60" s="59" t="s">
        <v>428</v>
      </c>
      <c r="CF60" s="59" t="s">
        <v>428</v>
      </c>
      <c r="CG60" s="59" t="s">
        <v>428</v>
      </c>
      <c r="CH60" s="59" t="s">
        <v>428</v>
      </c>
      <c r="CI60" s="59">
        <v>23499</v>
      </c>
      <c r="CJ60" s="59">
        <v>52062</v>
      </c>
      <c r="CK60" s="59">
        <v>56001</v>
      </c>
      <c r="CL60" s="59">
        <v>59927</v>
      </c>
    </row>
    <row r="61" spans="1:90" s="52" customFormat="1" ht="13">
      <c r="A61" s="52">
        <v>58</v>
      </c>
      <c r="C61" s="60" t="s">
        <v>175</v>
      </c>
      <c r="D61" s="59" t="s">
        <v>428</v>
      </c>
      <c r="E61" s="59" t="s">
        <v>428</v>
      </c>
      <c r="F61" s="59" t="s">
        <v>428</v>
      </c>
      <c r="G61" s="59" t="s">
        <v>428</v>
      </c>
      <c r="H61" s="59" t="s">
        <v>428</v>
      </c>
      <c r="I61" s="59" t="s">
        <v>428</v>
      </c>
      <c r="J61" s="59" t="s">
        <v>428</v>
      </c>
      <c r="K61" s="59" t="s">
        <v>428</v>
      </c>
      <c r="L61" s="59" t="s">
        <v>428</v>
      </c>
      <c r="M61" s="59" t="s">
        <v>428</v>
      </c>
      <c r="N61" s="59" t="s">
        <v>428</v>
      </c>
      <c r="O61" s="59" t="s">
        <v>428</v>
      </c>
      <c r="P61" s="59" t="s">
        <v>428</v>
      </c>
      <c r="Q61" s="59" t="s">
        <v>428</v>
      </c>
      <c r="R61" s="59" t="s">
        <v>428</v>
      </c>
      <c r="S61" s="59" t="s">
        <v>428</v>
      </c>
      <c r="T61" s="59" t="s">
        <v>428</v>
      </c>
      <c r="U61" s="59" t="s">
        <v>428</v>
      </c>
      <c r="V61" s="59" t="s">
        <v>428</v>
      </c>
      <c r="W61" s="59" t="s">
        <v>428</v>
      </c>
      <c r="X61" s="59" t="s">
        <v>428</v>
      </c>
      <c r="Y61" s="59" t="s">
        <v>428</v>
      </c>
      <c r="Z61" s="59" t="s">
        <v>428</v>
      </c>
      <c r="AA61" s="59" t="s">
        <v>428</v>
      </c>
      <c r="AB61" s="59" t="s">
        <v>428</v>
      </c>
      <c r="AC61" s="59" t="s">
        <v>428</v>
      </c>
      <c r="AD61" s="59" t="s">
        <v>428</v>
      </c>
      <c r="AE61" s="59" t="s">
        <v>428</v>
      </c>
      <c r="AF61" s="59" t="s">
        <v>428</v>
      </c>
      <c r="AG61" s="59" t="s">
        <v>428</v>
      </c>
      <c r="AH61" s="59" t="s">
        <v>428</v>
      </c>
      <c r="AI61" s="59">
        <v>338</v>
      </c>
      <c r="AJ61" s="59">
        <v>284</v>
      </c>
      <c r="AK61" s="59">
        <v>771</v>
      </c>
      <c r="AL61" s="59">
        <v>628</v>
      </c>
      <c r="AM61" s="59">
        <v>874</v>
      </c>
      <c r="AN61" s="59">
        <v>551</v>
      </c>
      <c r="AO61" s="59">
        <v>429</v>
      </c>
      <c r="AP61" s="59">
        <v>499</v>
      </c>
      <c r="AQ61" s="59">
        <v>529</v>
      </c>
      <c r="AR61" s="59">
        <v>658</v>
      </c>
      <c r="AS61" s="59" t="s">
        <v>428</v>
      </c>
      <c r="AT61" s="59">
        <v>944</v>
      </c>
      <c r="AU61" s="59">
        <v>860</v>
      </c>
      <c r="AV61" s="59">
        <v>907</v>
      </c>
      <c r="AW61" s="59">
        <v>871</v>
      </c>
      <c r="AX61" s="59">
        <v>834</v>
      </c>
      <c r="AY61" s="59">
        <v>1015</v>
      </c>
      <c r="AZ61" s="59">
        <v>4541</v>
      </c>
      <c r="BA61" s="59">
        <v>1106</v>
      </c>
      <c r="BB61" s="59">
        <v>1348</v>
      </c>
      <c r="BC61" s="59">
        <v>254</v>
      </c>
      <c r="BD61" s="59">
        <v>999</v>
      </c>
      <c r="BE61" s="59">
        <v>1045</v>
      </c>
      <c r="BF61" s="59">
        <v>1070</v>
      </c>
      <c r="BG61" s="59">
        <v>798</v>
      </c>
      <c r="BH61" s="59">
        <v>631</v>
      </c>
      <c r="BI61" s="59">
        <v>706</v>
      </c>
      <c r="BJ61" s="59">
        <v>495</v>
      </c>
      <c r="BK61" s="59">
        <v>608</v>
      </c>
      <c r="BL61" s="59">
        <v>591</v>
      </c>
      <c r="BM61" s="59">
        <v>554</v>
      </c>
      <c r="BN61" s="59">
        <v>691</v>
      </c>
      <c r="BO61" s="59">
        <v>197</v>
      </c>
      <c r="BP61" s="59">
        <v>861</v>
      </c>
      <c r="BQ61" s="59">
        <v>725</v>
      </c>
      <c r="BR61" s="59">
        <v>725</v>
      </c>
      <c r="BS61" s="59">
        <v>1201</v>
      </c>
      <c r="BT61" s="59">
        <v>641</v>
      </c>
      <c r="BU61" s="59">
        <v>998</v>
      </c>
      <c r="BV61" s="59">
        <v>977</v>
      </c>
      <c r="BW61" s="59">
        <v>817</v>
      </c>
      <c r="BX61" s="59">
        <v>976</v>
      </c>
      <c r="BY61" s="59">
        <v>836</v>
      </c>
      <c r="BZ61" s="59">
        <v>2628</v>
      </c>
      <c r="CA61" s="59">
        <v>1414</v>
      </c>
      <c r="CB61" s="59">
        <v>1952</v>
      </c>
      <c r="CC61" s="59">
        <v>2214</v>
      </c>
      <c r="CD61" s="59">
        <v>862</v>
      </c>
      <c r="CE61" s="59">
        <v>3220</v>
      </c>
      <c r="CF61" s="59">
        <v>1147</v>
      </c>
      <c r="CG61" s="59">
        <v>2131</v>
      </c>
      <c r="CH61" s="59">
        <v>1948</v>
      </c>
      <c r="CI61" s="59">
        <v>2176</v>
      </c>
      <c r="CJ61" s="59">
        <v>2239</v>
      </c>
      <c r="CK61" s="59">
        <v>2300</v>
      </c>
      <c r="CL61" s="59">
        <v>2354</v>
      </c>
    </row>
    <row r="62" spans="1:90" s="52" customFormat="1" ht="13">
      <c r="A62" s="52">
        <v>59</v>
      </c>
      <c r="C62" s="61" t="s">
        <v>433</v>
      </c>
      <c r="D62" s="62" t="s">
        <v>428</v>
      </c>
      <c r="E62" s="62" t="s">
        <v>428</v>
      </c>
      <c r="F62" s="62" t="s">
        <v>428</v>
      </c>
      <c r="G62" s="62" t="s">
        <v>428</v>
      </c>
      <c r="H62" s="62" t="s">
        <v>428</v>
      </c>
      <c r="I62" s="62" t="s">
        <v>428</v>
      </c>
      <c r="J62" s="62" t="s">
        <v>428</v>
      </c>
      <c r="K62" s="62" t="s">
        <v>428</v>
      </c>
      <c r="L62" s="62" t="s">
        <v>428</v>
      </c>
      <c r="M62" s="62" t="s">
        <v>428</v>
      </c>
      <c r="N62" s="62" t="s">
        <v>428</v>
      </c>
      <c r="O62" s="62" t="s">
        <v>428</v>
      </c>
      <c r="P62" s="62" t="s">
        <v>428</v>
      </c>
      <c r="Q62" s="62" t="s">
        <v>428</v>
      </c>
      <c r="R62" s="62" t="s">
        <v>428</v>
      </c>
      <c r="S62" s="62" t="s">
        <v>428</v>
      </c>
      <c r="T62" s="62" t="s">
        <v>428</v>
      </c>
      <c r="U62" s="62" t="s">
        <v>428</v>
      </c>
      <c r="V62" s="62" t="s">
        <v>428</v>
      </c>
      <c r="W62" s="62" t="s">
        <v>428</v>
      </c>
      <c r="X62" s="62" t="s">
        <v>428</v>
      </c>
      <c r="Y62" s="62" t="s">
        <v>428</v>
      </c>
      <c r="Z62" s="62" t="s">
        <v>428</v>
      </c>
      <c r="AA62" s="62" t="s">
        <v>428</v>
      </c>
      <c r="AB62" s="62" t="s">
        <v>428</v>
      </c>
      <c r="AC62" s="62" t="s">
        <v>428</v>
      </c>
      <c r="AD62" s="62" t="s">
        <v>428</v>
      </c>
      <c r="AE62" s="62" t="s">
        <v>428</v>
      </c>
      <c r="AF62" s="62" t="s">
        <v>428</v>
      </c>
      <c r="AG62" s="62" t="s">
        <v>428</v>
      </c>
      <c r="AH62" s="62">
        <v>22</v>
      </c>
      <c r="AI62" s="62">
        <v>444</v>
      </c>
      <c r="AJ62" s="62">
        <v>410</v>
      </c>
      <c r="AK62" s="62">
        <v>946</v>
      </c>
      <c r="AL62" s="62">
        <v>859</v>
      </c>
      <c r="AM62" s="62">
        <v>1144</v>
      </c>
      <c r="AN62" s="62">
        <v>826</v>
      </c>
      <c r="AO62" s="62">
        <v>748</v>
      </c>
      <c r="AP62" s="62">
        <v>1054</v>
      </c>
      <c r="AQ62" s="62">
        <v>1309</v>
      </c>
      <c r="AR62" s="62">
        <v>1549</v>
      </c>
      <c r="AS62" s="62">
        <v>57</v>
      </c>
      <c r="AT62" s="62">
        <v>1890</v>
      </c>
      <c r="AU62" s="62">
        <v>1863</v>
      </c>
      <c r="AV62" s="62">
        <v>2018</v>
      </c>
      <c r="AW62" s="62">
        <v>2182</v>
      </c>
      <c r="AX62" s="62">
        <v>2490</v>
      </c>
      <c r="AY62" s="62">
        <v>3285</v>
      </c>
      <c r="AZ62" s="62">
        <v>8279</v>
      </c>
      <c r="BA62" s="62">
        <v>5435</v>
      </c>
      <c r="BB62" s="62">
        <v>6020</v>
      </c>
      <c r="BC62" s="62">
        <v>5049</v>
      </c>
      <c r="BD62" s="62">
        <v>6693</v>
      </c>
      <c r="BE62" s="62">
        <v>8098</v>
      </c>
      <c r="BF62" s="62">
        <v>9679</v>
      </c>
      <c r="BG62" s="62">
        <v>10894</v>
      </c>
      <c r="BH62" s="62">
        <v>11828</v>
      </c>
      <c r="BI62" s="62">
        <v>13084</v>
      </c>
      <c r="BJ62" s="62">
        <v>13450</v>
      </c>
      <c r="BK62" s="62">
        <v>15280</v>
      </c>
      <c r="BL62" s="62">
        <v>17824</v>
      </c>
      <c r="BM62" s="62">
        <v>17394</v>
      </c>
      <c r="BN62" s="62">
        <v>16471</v>
      </c>
      <c r="BO62" s="62">
        <v>16917</v>
      </c>
      <c r="BP62" s="62">
        <v>19275</v>
      </c>
      <c r="BQ62" s="62">
        <v>22612</v>
      </c>
      <c r="BR62" s="62">
        <v>20670</v>
      </c>
      <c r="BS62" s="62">
        <v>28834</v>
      </c>
      <c r="BT62" s="62">
        <v>26799</v>
      </c>
      <c r="BU62" s="62">
        <v>28072</v>
      </c>
      <c r="BV62" s="62">
        <v>28199</v>
      </c>
      <c r="BW62" s="62">
        <v>29928</v>
      </c>
      <c r="BX62" s="62">
        <v>31248</v>
      </c>
      <c r="BY62" s="62">
        <v>32189</v>
      </c>
      <c r="BZ62" s="62">
        <v>34840</v>
      </c>
      <c r="CA62" s="62">
        <v>33820</v>
      </c>
      <c r="CB62" s="62">
        <v>34022</v>
      </c>
      <c r="CC62" s="62">
        <v>36247</v>
      </c>
      <c r="CD62" s="62">
        <v>29267</v>
      </c>
      <c r="CE62" s="62">
        <v>34298</v>
      </c>
      <c r="CF62" s="62">
        <v>34052</v>
      </c>
      <c r="CG62" s="62">
        <v>37693</v>
      </c>
      <c r="CH62" s="62">
        <v>40412</v>
      </c>
      <c r="CI62" s="62">
        <v>66521</v>
      </c>
      <c r="CJ62" s="62">
        <v>98131</v>
      </c>
      <c r="CK62" s="62">
        <v>105114</v>
      </c>
      <c r="CL62" s="62">
        <v>112078</v>
      </c>
    </row>
    <row r="63" spans="1:90" s="52" customFormat="1" ht="13">
      <c r="A63" s="52">
        <v>60</v>
      </c>
      <c r="C63" s="58" t="s">
        <v>460</v>
      </c>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row>
    <row r="64" spans="1:90" s="52" customFormat="1" ht="13">
      <c r="A64" s="52">
        <v>61</v>
      </c>
      <c r="C64" s="60" t="s">
        <v>461</v>
      </c>
      <c r="D64" s="59" t="s">
        <v>428</v>
      </c>
      <c r="E64" s="59" t="s">
        <v>428</v>
      </c>
      <c r="F64" s="59" t="s">
        <v>428</v>
      </c>
      <c r="G64" s="59" t="s">
        <v>428</v>
      </c>
      <c r="H64" s="59" t="s">
        <v>428</v>
      </c>
      <c r="I64" s="59" t="s">
        <v>428</v>
      </c>
      <c r="J64" s="59" t="s">
        <v>428</v>
      </c>
      <c r="K64" s="59" t="s">
        <v>428</v>
      </c>
      <c r="L64" s="59" t="s">
        <v>428</v>
      </c>
      <c r="M64" s="59" t="s">
        <v>428</v>
      </c>
      <c r="N64" s="59" t="s">
        <v>428</v>
      </c>
      <c r="O64" s="59" t="s">
        <v>428</v>
      </c>
      <c r="P64" s="59" t="s">
        <v>428</v>
      </c>
      <c r="Q64" s="59" t="s">
        <v>428</v>
      </c>
      <c r="R64" s="59" t="s">
        <v>428</v>
      </c>
      <c r="S64" s="59" t="s">
        <v>428</v>
      </c>
      <c r="T64" s="59" t="s">
        <v>428</v>
      </c>
      <c r="U64" s="59" t="s">
        <v>428</v>
      </c>
      <c r="V64" s="59" t="s">
        <v>428</v>
      </c>
      <c r="W64" s="59" t="s">
        <v>428</v>
      </c>
      <c r="X64" s="59" t="s">
        <v>428</v>
      </c>
      <c r="Y64" s="59" t="s">
        <v>428</v>
      </c>
      <c r="Z64" s="59" t="s">
        <v>428</v>
      </c>
      <c r="AA64" s="59" t="s">
        <v>428</v>
      </c>
      <c r="AB64" s="59" t="s">
        <v>428</v>
      </c>
      <c r="AC64" s="59" t="s">
        <v>428</v>
      </c>
      <c r="AD64" s="59" t="s">
        <v>428</v>
      </c>
      <c r="AE64" s="59" t="s">
        <v>428</v>
      </c>
      <c r="AF64" s="59" t="s">
        <v>428</v>
      </c>
      <c r="AG64" s="59" t="s">
        <v>428</v>
      </c>
      <c r="AH64" s="59" t="s">
        <v>428</v>
      </c>
      <c r="AI64" s="59" t="s">
        <v>428</v>
      </c>
      <c r="AJ64" s="59" t="s">
        <v>428</v>
      </c>
      <c r="AK64" s="59" t="s">
        <v>428</v>
      </c>
      <c r="AL64" s="59" t="s">
        <v>428</v>
      </c>
      <c r="AM64" s="59" t="s">
        <v>428</v>
      </c>
      <c r="AN64" s="59" t="s">
        <v>428</v>
      </c>
      <c r="AO64" s="59" t="s">
        <v>428</v>
      </c>
      <c r="AP64" s="59">
        <v>4</v>
      </c>
      <c r="AQ64" s="59">
        <v>6</v>
      </c>
      <c r="AR64" s="59">
        <v>8</v>
      </c>
      <c r="AS64" s="59">
        <v>2</v>
      </c>
      <c r="AT64" s="59">
        <v>11</v>
      </c>
      <c r="AU64" s="59">
        <v>12</v>
      </c>
      <c r="AV64" s="59">
        <v>17</v>
      </c>
      <c r="AW64" s="59">
        <v>17</v>
      </c>
      <c r="AX64" s="59">
        <v>21</v>
      </c>
      <c r="AY64" s="59">
        <v>25</v>
      </c>
      <c r="AZ64" s="59">
        <v>26</v>
      </c>
      <c r="BA64" s="59">
        <v>35</v>
      </c>
      <c r="BB64" s="59">
        <v>38</v>
      </c>
      <c r="BC64" s="59">
        <v>40</v>
      </c>
      <c r="BD64" s="59">
        <v>40</v>
      </c>
      <c r="BE64" s="59">
        <v>42</v>
      </c>
      <c r="BF64" s="59">
        <v>42</v>
      </c>
      <c r="BG64" s="59">
        <v>113</v>
      </c>
      <c r="BH64" s="59">
        <v>367</v>
      </c>
      <c r="BI64" s="59">
        <v>484</v>
      </c>
      <c r="BJ64" s="59">
        <v>622</v>
      </c>
      <c r="BK64" s="59">
        <v>852</v>
      </c>
      <c r="BL64" s="59">
        <v>998</v>
      </c>
      <c r="BM64" s="59">
        <v>1107</v>
      </c>
      <c r="BN64" s="59">
        <v>1279</v>
      </c>
      <c r="BO64" s="59">
        <v>1320</v>
      </c>
      <c r="BP64" s="59">
        <v>1401</v>
      </c>
      <c r="BQ64" s="59">
        <v>1392</v>
      </c>
      <c r="BR64" s="59">
        <v>1440</v>
      </c>
      <c r="BS64" s="59">
        <v>1525</v>
      </c>
      <c r="BT64" s="59">
        <v>1598</v>
      </c>
      <c r="BU64" s="59">
        <v>1799</v>
      </c>
      <c r="BV64" s="59">
        <v>2303</v>
      </c>
      <c r="BW64" s="59">
        <v>2652</v>
      </c>
      <c r="BX64" s="59">
        <v>2836</v>
      </c>
      <c r="BY64" s="59">
        <v>3000</v>
      </c>
      <c r="BZ64" s="59">
        <v>2928</v>
      </c>
      <c r="CA64" s="59">
        <v>3503</v>
      </c>
      <c r="CB64" s="59">
        <v>3495</v>
      </c>
      <c r="CC64" s="59">
        <v>3634</v>
      </c>
      <c r="CD64" s="59">
        <v>3657</v>
      </c>
      <c r="CE64" s="59">
        <v>3537</v>
      </c>
      <c r="CF64" s="59">
        <v>3598</v>
      </c>
      <c r="CG64" s="59">
        <v>3787</v>
      </c>
      <c r="CH64" s="59">
        <v>3973</v>
      </c>
      <c r="CI64" s="59">
        <v>4141</v>
      </c>
      <c r="CJ64" s="59">
        <v>4291</v>
      </c>
      <c r="CK64" s="59">
        <v>4486</v>
      </c>
      <c r="CL64" s="59">
        <v>4718</v>
      </c>
    </row>
    <row r="65" spans="1:90" s="52" customFormat="1">
      <c r="A65" s="52">
        <v>62</v>
      </c>
      <c r="C65" s="60" t="s">
        <v>462</v>
      </c>
      <c r="D65" s="59" t="s">
        <v>428</v>
      </c>
      <c r="E65" s="59" t="s">
        <v>428</v>
      </c>
      <c r="F65" s="59" t="s">
        <v>428</v>
      </c>
      <c r="G65" s="59" t="s">
        <v>428</v>
      </c>
      <c r="H65" s="59" t="s">
        <v>428</v>
      </c>
      <c r="I65" s="59" t="s">
        <v>428</v>
      </c>
      <c r="J65" s="59" t="s">
        <v>428</v>
      </c>
      <c r="K65" s="59" t="s">
        <v>428</v>
      </c>
      <c r="L65" s="59" t="s">
        <v>428</v>
      </c>
      <c r="M65" s="59" t="s">
        <v>428</v>
      </c>
      <c r="N65" s="59" t="s">
        <v>428</v>
      </c>
      <c r="O65" s="59" t="s">
        <v>428</v>
      </c>
      <c r="P65" s="59" t="s">
        <v>428</v>
      </c>
      <c r="Q65" s="59" t="s">
        <v>428</v>
      </c>
      <c r="R65" s="59" t="s">
        <v>428</v>
      </c>
      <c r="S65" s="59" t="s">
        <v>428</v>
      </c>
      <c r="T65" s="59" t="s">
        <v>428</v>
      </c>
      <c r="U65" s="59" t="s">
        <v>428</v>
      </c>
      <c r="V65" s="59" t="s">
        <v>428</v>
      </c>
      <c r="W65" s="59" t="s">
        <v>428</v>
      </c>
      <c r="X65" s="59" t="s">
        <v>428</v>
      </c>
      <c r="Y65" s="59" t="s">
        <v>428</v>
      </c>
      <c r="Z65" s="59" t="s">
        <v>428</v>
      </c>
      <c r="AA65" s="59" t="s">
        <v>428</v>
      </c>
      <c r="AB65" s="59" t="s">
        <v>428</v>
      </c>
      <c r="AC65" s="59" t="s">
        <v>428</v>
      </c>
      <c r="AD65" s="59" t="s">
        <v>428</v>
      </c>
      <c r="AE65" s="59" t="s">
        <v>428</v>
      </c>
      <c r="AF65" s="59" t="s">
        <v>428</v>
      </c>
      <c r="AG65" s="59" t="s">
        <v>428</v>
      </c>
      <c r="AH65" s="59" t="s">
        <v>428</v>
      </c>
      <c r="AI65" s="59" t="s">
        <v>432</v>
      </c>
      <c r="AJ65" s="59" t="s">
        <v>432</v>
      </c>
      <c r="AK65" s="59" t="s">
        <v>432</v>
      </c>
      <c r="AL65" s="59" t="s">
        <v>432</v>
      </c>
      <c r="AM65" s="59" t="s">
        <v>432</v>
      </c>
      <c r="AN65" s="59" t="s">
        <v>432</v>
      </c>
      <c r="AO65" s="59" t="s">
        <v>432</v>
      </c>
      <c r="AP65" s="59" t="s">
        <v>432</v>
      </c>
      <c r="AQ65" s="59">
        <v>1</v>
      </c>
      <c r="AR65" s="59" t="s">
        <v>432</v>
      </c>
      <c r="AS65" s="59" t="s">
        <v>428</v>
      </c>
      <c r="AT65" s="59" t="s">
        <v>432</v>
      </c>
      <c r="AU65" s="59" t="s">
        <v>432</v>
      </c>
      <c r="AV65" s="59">
        <v>1</v>
      </c>
      <c r="AW65" s="59" t="s">
        <v>432</v>
      </c>
      <c r="AX65" s="59" t="s">
        <v>432</v>
      </c>
      <c r="AY65" s="59" t="s">
        <v>432</v>
      </c>
      <c r="AZ65" s="59">
        <v>3</v>
      </c>
      <c r="BA65" s="59" t="s">
        <v>432</v>
      </c>
      <c r="BB65" s="59" t="s">
        <v>432</v>
      </c>
      <c r="BC65" s="59" t="s">
        <v>432</v>
      </c>
      <c r="BD65" s="59">
        <v>9</v>
      </c>
      <c r="BE65" s="59" t="s">
        <v>432</v>
      </c>
      <c r="BF65" s="59" t="s">
        <v>428</v>
      </c>
      <c r="BG65" s="59" t="s">
        <v>432</v>
      </c>
      <c r="BH65" s="59" t="s">
        <v>432</v>
      </c>
      <c r="BI65" s="59" t="s">
        <v>432</v>
      </c>
      <c r="BJ65" s="59">
        <v>1</v>
      </c>
      <c r="BK65" s="59">
        <v>1</v>
      </c>
      <c r="BL65" s="59">
        <v>1</v>
      </c>
      <c r="BM65" s="59">
        <v>1</v>
      </c>
      <c r="BN65" s="59">
        <v>89</v>
      </c>
      <c r="BO65" s="59">
        <v>104</v>
      </c>
      <c r="BP65" s="59">
        <v>71</v>
      </c>
      <c r="BQ65" s="59">
        <v>148</v>
      </c>
      <c r="BR65" s="59">
        <v>454</v>
      </c>
      <c r="BS65" s="59">
        <v>331</v>
      </c>
      <c r="BT65" s="59">
        <v>231</v>
      </c>
      <c r="BU65" s="59">
        <v>354</v>
      </c>
      <c r="BV65" s="59">
        <v>1902</v>
      </c>
      <c r="BW65" s="59">
        <v>2388</v>
      </c>
      <c r="BX65" s="59">
        <v>4889</v>
      </c>
      <c r="BY65" s="59">
        <v>5666</v>
      </c>
      <c r="BZ65" s="59">
        <v>5852</v>
      </c>
      <c r="CA65" s="59">
        <v>5250</v>
      </c>
      <c r="CB65" s="59">
        <v>5754</v>
      </c>
      <c r="CC65" s="59">
        <v>7720</v>
      </c>
      <c r="CD65" s="59">
        <v>11968</v>
      </c>
      <c r="CE65" s="59">
        <v>9256</v>
      </c>
      <c r="CF65" s="59">
        <v>5374</v>
      </c>
      <c r="CG65" s="59">
        <v>6738</v>
      </c>
      <c r="CH65" s="59">
        <v>6829</v>
      </c>
      <c r="CI65" s="59">
        <v>6919</v>
      </c>
      <c r="CJ65" s="59">
        <v>7010</v>
      </c>
      <c r="CK65" s="59">
        <v>7100</v>
      </c>
      <c r="CL65" s="59">
        <v>7191</v>
      </c>
    </row>
    <row r="66" spans="1:90" s="52" customFormat="1" ht="13">
      <c r="A66" s="52">
        <v>63</v>
      </c>
      <c r="C66" s="61" t="s">
        <v>463</v>
      </c>
      <c r="D66" s="62" t="s">
        <v>428</v>
      </c>
      <c r="E66" s="62" t="s">
        <v>428</v>
      </c>
      <c r="F66" s="62" t="s">
        <v>428</v>
      </c>
      <c r="G66" s="62" t="s">
        <v>428</v>
      </c>
      <c r="H66" s="62" t="s">
        <v>428</v>
      </c>
      <c r="I66" s="62" t="s">
        <v>428</v>
      </c>
      <c r="J66" s="62" t="s">
        <v>428</v>
      </c>
      <c r="K66" s="62" t="s">
        <v>428</v>
      </c>
      <c r="L66" s="62" t="s">
        <v>428</v>
      </c>
      <c r="M66" s="62" t="s">
        <v>428</v>
      </c>
      <c r="N66" s="62" t="s">
        <v>428</v>
      </c>
      <c r="O66" s="62" t="s">
        <v>428</v>
      </c>
      <c r="P66" s="62" t="s">
        <v>428</v>
      </c>
      <c r="Q66" s="62" t="s">
        <v>428</v>
      </c>
      <c r="R66" s="62" t="s">
        <v>428</v>
      </c>
      <c r="S66" s="62" t="s">
        <v>428</v>
      </c>
      <c r="T66" s="62" t="s">
        <v>428</v>
      </c>
      <c r="U66" s="62" t="s">
        <v>428</v>
      </c>
      <c r="V66" s="62" t="s">
        <v>428</v>
      </c>
      <c r="W66" s="62" t="s">
        <v>428</v>
      </c>
      <c r="X66" s="62" t="s">
        <v>428</v>
      </c>
      <c r="Y66" s="62" t="s">
        <v>428</v>
      </c>
      <c r="Z66" s="62" t="s">
        <v>428</v>
      </c>
      <c r="AA66" s="62" t="s">
        <v>428</v>
      </c>
      <c r="AB66" s="62" t="s">
        <v>428</v>
      </c>
      <c r="AC66" s="62" t="s">
        <v>428</v>
      </c>
      <c r="AD66" s="62" t="s">
        <v>428</v>
      </c>
      <c r="AE66" s="62" t="s">
        <v>428</v>
      </c>
      <c r="AF66" s="62" t="s">
        <v>428</v>
      </c>
      <c r="AG66" s="62" t="s">
        <v>428</v>
      </c>
      <c r="AH66" s="62" t="s">
        <v>428</v>
      </c>
      <c r="AI66" s="62" t="s">
        <v>432</v>
      </c>
      <c r="AJ66" s="62" t="s">
        <v>432</v>
      </c>
      <c r="AK66" s="62" t="s">
        <v>432</v>
      </c>
      <c r="AL66" s="62" t="s">
        <v>432</v>
      </c>
      <c r="AM66" s="62" t="s">
        <v>432</v>
      </c>
      <c r="AN66" s="62" t="s">
        <v>432</v>
      </c>
      <c r="AO66" s="62" t="s">
        <v>432</v>
      </c>
      <c r="AP66" s="62">
        <v>4</v>
      </c>
      <c r="AQ66" s="62">
        <v>7</v>
      </c>
      <c r="AR66" s="62">
        <v>8</v>
      </c>
      <c r="AS66" s="62">
        <v>2</v>
      </c>
      <c r="AT66" s="62">
        <v>11</v>
      </c>
      <c r="AU66" s="62">
        <v>12</v>
      </c>
      <c r="AV66" s="62">
        <v>17</v>
      </c>
      <c r="AW66" s="62">
        <v>17</v>
      </c>
      <c r="AX66" s="62">
        <v>21</v>
      </c>
      <c r="AY66" s="62">
        <v>25</v>
      </c>
      <c r="AZ66" s="62">
        <v>29</v>
      </c>
      <c r="BA66" s="62">
        <v>35</v>
      </c>
      <c r="BB66" s="62">
        <v>38</v>
      </c>
      <c r="BC66" s="62">
        <v>40</v>
      </c>
      <c r="BD66" s="62">
        <v>49</v>
      </c>
      <c r="BE66" s="62">
        <v>42</v>
      </c>
      <c r="BF66" s="62">
        <v>42</v>
      </c>
      <c r="BG66" s="62">
        <v>113</v>
      </c>
      <c r="BH66" s="62">
        <v>367</v>
      </c>
      <c r="BI66" s="62">
        <v>485</v>
      </c>
      <c r="BJ66" s="62">
        <v>623</v>
      </c>
      <c r="BK66" s="62">
        <v>853</v>
      </c>
      <c r="BL66" s="62">
        <v>999</v>
      </c>
      <c r="BM66" s="62">
        <v>1108</v>
      </c>
      <c r="BN66" s="62">
        <v>1368</v>
      </c>
      <c r="BO66" s="62">
        <v>1424</v>
      </c>
      <c r="BP66" s="62">
        <v>1472</v>
      </c>
      <c r="BQ66" s="62">
        <v>1540</v>
      </c>
      <c r="BR66" s="62">
        <v>1894</v>
      </c>
      <c r="BS66" s="62">
        <v>1856</v>
      </c>
      <c r="BT66" s="62">
        <v>1829</v>
      </c>
      <c r="BU66" s="62">
        <v>2153</v>
      </c>
      <c r="BV66" s="62">
        <v>4205</v>
      </c>
      <c r="BW66" s="62">
        <v>5040</v>
      </c>
      <c r="BX66" s="62">
        <v>7725</v>
      </c>
      <c r="BY66" s="62">
        <v>8666</v>
      </c>
      <c r="BZ66" s="62">
        <v>8780</v>
      </c>
      <c r="CA66" s="62">
        <v>8753</v>
      </c>
      <c r="CB66" s="62">
        <v>9249</v>
      </c>
      <c r="CC66" s="62">
        <v>11354</v>
      </c>
      <c r="CD66" s="62">
        <v>15625</v>
      </c>
      <c r="CE66" s="62">
        <v>12793</v>
      </c>
      <c r="CF66" s="62">
        <v>8972</v>
      </c>
      <c r="CG66" s="62">
        <v>10525</v>
      </c>
      <c r="CH66" s="62">
        <v>10802</v>
      </c>
      <c r="CI66" s="62">
        <v>11060</v>
      </c>
      <c r="CJ66" s="62">
        <v>11301</v>
      </c>
      <c r="CK66" s="62">
        <v>11586</v>
      </c>
      <c r="CL66" s="62">
        <v>11909</v>
      </c>
    </row>
    <row r="67" spans="1:90" s="52" customFormat="1" ht="13">
      <c r="A67" s="52">
        <v>64</v>
      </c>
      <c r="C67" s="60" t="s">
        <v>435</v>
      </c>
      <c r="D67" s="62" t="s">
        <v>428</v>
      </c>
      <c r="E67" s="62" t="s">
        <v>428</v>
      </c>
      <c r="F67" s="62" t="s">
        <v>428</v>
      </c>
      <c r="G67" s="62" t="s">
        <v>428</v>
      </c>
      <c r="H67" s="62" t="s">
        <v>428</v>
      </c>
      <c r="I67" s="62" t="s">
        <v>428</v>
      </c>
      <c r="J67" s="62" t="s">
        <v>428</v>
      </c>
      <c r="K67" s="62" t="s">
        <v>428</v>
      </c>
      <c r="L67" s="62" t="s">
        <v>428</v>
      </c>
      <c r="M67" s="62" t="s">
        <v>428</v>
      </c>
      <c r="N67" s="62" t="s">
        <v>428</v>
      </c>
      <c r="O67" s="62" t="s">
        <v>428</v>
      </c>
      <c r="P67" s="62" t="s">
        <v>428</v>
      </c>
      <c r="Q67" s="62" t="s">
        <v>428</v>
      </c>
      <c r="R67" s="62" t="s">
        <v>428</v>
      </c>
      <c r="S67" s="62" t="s">
        <v>428</v>
      </c>
      <c r="T67" s="62" t="s">
        <v>428</v>
      </c>
      <c r="U67" s="62" t="s">
        <v>428</v>
      </c>
      <c r="V67" s="62" t="s">
        <v>428</v>
      </c>
      <c r="W67" s="62" t="s">
        <v>428</v>
      </c>
      <c r="X67" s="62" t="s">
        <v>428</v>
      </c>
      <c r="Y67" s="62" t="s">
        <v>428</v>
      </c>
      <c r="Z67" s="62" t="s">
        <v>428</v>
      </c>
      <c r="AA67" s="62" t="s">
        <v>428</v>
      </c>
      <c r="AB67" s="62" t="s">
        <v>428</v>
      </c>
      <c r="AC67" s="62" t="s">
        <v>428</v>
      </c>
      <c r="AD67" s="62" t="s">
        <v>428</v>
      </c>
      <c r="AE67" s="62" t="s">
        <v>428</v>
      </c>
      <c r="AF67" s="62" t="s">
        <v>428</v>
      </c>
      <c r="AG67" s="62" t="s">
        <v>428</v>
      </c>
      <c r="AH67" s="62">
        <v>915</v>
      </c>
      <c r="AI67" s="62">
        <v>3089</v>
      </c>
      <c r="AJ67" s="62">
        <v>3902</v>
      </c>
      <c r="AK67" s="62">
        <v>5344</v>
      </c>
      <c r="AL67" s="62">
        <v>5614</v>
      </c>
      <c r="AM67" s="62">
        <v>6018</v>
      </c>
      <c r="AN67" s="62">
        <v>6031</v>
      </c>
      <c r="AO67" s="62">
        <v>8352</v>
      </c>
      <c r="AP67" s="62">
        <v>11610</v>
      </c>
      <c r="AQ67" s="62">
        <v>12568</v>
      </c>
      <c r="AR67" s="62">
        <v>13544</v>
      </c>
      <c r="AS67" s="62">
        <v>3516</v>
      </c>
      <c r="AT67" s="62">
        <v>15374</v>
      </c>
      <c r="AU67" s="62">
        <v>18543</v>
      </c>
      <c r="AV67" s="62">
        <v>21910</v>
      </c>
      <c r="AW67" s="62">
        <v>25415</v>
      </c>
      <c r="AX67" s="62">
        <v>32851</v>
      </c>
      <c r="AY67" s="62">
        <v>37611</v>
      </c>
      <c r="AZ67" s="62">
        <v>43949</v>
      </c>
      <c r="BA67" s="62">
        <v>45732</v>
      </c>
      <c r="BB67" s="62">
        <v>50928</v>
      </c>
      <c r="BC67" s="62">
        <v>56424</v>
      </c>
      <c r="BD67" s="62">
        <v>62735</v>
      </c>
      <c r="BE67" s="62">
        <v>67999</v>
      </c>
      <c r="BF67" s="62">
        <v>75117</v>
      </c>
      <c r="BG67" s="62">
        <v>79563</v>
      </c>
      <c r="BH67" s="62">
        <v>85038</v>
      </c>
      <c r="BI67" s="62">
        <v>92677</v>
      </c>
      <c r="BJ67" s="62">
        <v>95297</v>
      </c>
      <c r="BK67" s="62">
        <v>106195</v>
      </c>
      <c r="BL67" s="62">
        <v>114847</v>
      </c>
      <c r="BM67" s="62">
        <v>123499</v>
      </c>
      <c r="BN67" s="62">
        <v>128549</v>
      </c>
      <c r="BO67" s="62">
        <v>138204</v>
      </c>
      <c r="BP67" s="62">
        <v>153015</v>
      </c>
      <c r="BQ67" s="62">
        <v>159681</v>
      </c>
      <c r="BR67" s="62">
        <v>172215</v>
      </c>
      <c r="BS67" s="62">
        <v>179739</v>
      </c>
      <c r="BT67" s="62">
        <v>175814</v>
      </c>
      <c r="BU67" s="62">
        <v>180814</v>
      </c>
      <c r="BV67" s="62">
        <v>198472</v>
      </c>
      <c r="BW67" s="62">
        <v>212397</v>
      </c>
      <c r="BX67" s="62">
        <v>223881</v>
      </c>
      <c r="BY67" s="62">
        <v>234835</v>
      </c>
      <c r="BZ67" s="62">
        <v>234283</v>
      </c>
      <c r="CA67" s="62">
        <v>222641</v>
      </c>
      <c r="CB67" s="62">
        <v>231761</v>
      </c>
      <c r="CC67" s="62">
        <v>248744</v>
      </c>
      <c r="CD67" s="62">
        <v>254162</v>
      </c>
      <c r="CE67" s="62">
        <v>271198</v>
      </c>
      <c r="CF67" s="62">
        <v>277213</v>
      </c>
      <c r="CG67" s="62">
        <v>291764</v>
      </c>
      <c r="CH67" s="62">
        <v>305013</v>
      </c>
      <c r="CI67" s="62">
        <v>342984</v>
      </c>
      <c r="CJ67" s="62">
        <v>386946</v>
      </c>
      <c r="CK67" s="62">
        <v>405322</v>
      </c>
      <c r="CL67" s="62">
        <v>427821</v>
      </c>
    </row>
    <row r="68" spans="1:90" s="52" customFormat="1" ht="13">
      <c r="A68" s="52">
        <v>65</v>
      </c>
      <c r="C68" s="57" t="s">
        <v>436</v>
      </c>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56"/>
      <c r="BS68" s="56"/>
      <c r="BT68" s="56"/>
      <c r="BU68" s="56"/>
      <c r="BV68" s="56"/>
      <c r="BW68" s="56"/>
      <c r="BX68" s="56"/>
      <c r="BY68" s="56"/>
      <c r="BZ68" s="56"/>
      <c r="CA68" s="56"/>
      <c r="CB68" s="56"/>
      <c r="CC68" s="56"/>
      <c r="CD68" s="56"/>
      <c r="CE68" s="56"/>
      <c r="CF68" s="56"/>
      <c r="CG68" s="56"/>
      <c r="CH68" s="56"/>
      <c r="CI68" s="56"/>
      <c r="CJ68" s="56"/>
      <c r="CK68" s="56"/>
      <c r="CL68" s="56"/>
    </row>
    <row r="69" spans="1:90" s="52" customFormat="1">
      <c r="A69" s="52">
        <v>66</v>
      </c>
      <c r="C69" s="58" t="s">
        <v>464</v>
      </c>
      <c r="D69" s="59" t="s">
        <v>428</v>
      </c>
      <c r="E69" s="59" t="s">
        <v>428</v>
      </c>
      <c r="F69" s="59" t="s">
        <v>428</v>
      </c>
      <c r="G69" s="59" t="s">
        <v>428</v>
      </c>
      <c r="H69" s="59" t="s">
        <v>428</v>
      </c>
      <c r="I69" s="59" t="s">
        <v>428</v>
      </c>
      <c r="J69" s="59" t="s">
        <v>428</v>
      </c>
      <c r="K69" s="59" t="s">
        <v>428</v>
      </c>
      <c r="L69" s="59" t="s">
        <v>428</v>
      </c>
      <c r="M69" s="59" t="s">
        <v>428</v>
      </c>
      <c r="N69" s="59" t="s">
        <v>428</v>
      </c>
      <c r="O69" s="59" t="s">
        <v>428</v>
      </c>
      <c r="P69" s="59" t="s">
        <v>428</v>
      </c>
      <c r="Q69" s="59" t="s">
        <v>428</v>
      </c>
      <c r="R69" s="59" t="s">
        <v>428</v>
      </c>
      <c r="S69" s="59" t="s">
        <v>428</v>
      </c>
      <c r="T69" s="59" t="s">
        <v>428</v>
      </c>
      <c r="U69" s="59" t="s">
        <v>428</v>
      </c>
      <c r="V69" s="59" t="s">
        <v>428</v>
      </c>
      <c r="W69" s="59" t="s">
        <v>428</v>
      </c>
      <c r="X69" s="59" t="s">
        <v>428</v>
      </c>
      <c r="Y69" s="59" t="s">
        <v>428</v>
      </c>
      <c r="Z69" s="59" t="s">
        <v>428</v>
      </c>
      <c r="AA69" s="59" t="s">
        <v>428</v>
      </c>
      <c r="AB69" s="59" t="s">
        <v>428</v>
      </c>
      <c r="AC69" s="59" t="s">
        <v>428</v>
      </c>
      <c r="AD69" s="59" t="s">
        <v>428</v>
      </c>
      <c r="AE69" s="59" t="s">
        <v>428</v>
      </c>
      <c r="AF69" s="59" t="s">
        <v>428</v>
      </c>
      <c r="AG69" s="59" t="s">
        <v>428</v>
      </c>
      <c r="AH69" s="59" t="s">
        <v>428</v>
      </c>
      <c r="AI69" s="59">
        <v>2508</v>
      </c>
      <c r="AJ69" s="59">
        <v>3736</v>
      </c>
      <c r="AK69" s="59">
        <v>4654</v>
      </c>
      <c r="AL69" s="59">
        <v>4804</v>
      </c>
      <c r="AM69" s="59">
        <v>5442</v>
      </c>
      <c r="AN69" s="59">
        <v>6108</v>
      </c>
      <c r="AO69" s="59">
        <v>6648</v>
      </c>
      <c r="AP69" s="59">
        <v>7806</v>
      </c>
      <c r="AQ69" s="59">
        <v>10353</v>
      </c>
      <c r="AR69" s="59">
        <v>12267</v>
      </c>
      <c r="AS69" s="59">
        <v>3314</v>
      </c>
      <c r="AT69" s="59">
        <v>14906</v>
      </c>
      <c r="AU69" s="59">
        <v>17415</v>
      </c>
      <c r="AV69" s="59">
        <v>19898</v>
      </c>
      <c r="AW69" s="59">
        <v>23793</v>
      </c>
      <c r="AX69" s="59">
        <v>28909</v>
      </c>
      <c r="AY69" s="59">
        <v>34344</v>
      </c>
      <c r="AZ69" s="59">
        <v>38102</v>
      </c>
      <c r="BA69" s="59">
        <v>41461</v>
      </c>
      <c r="BB69" s="59">
        <v>47710</v>
      </c>
      <c r="BC69" s="59">
        <v>48867</v>
      </c>
      <c r="BD69" s="59">
        <v>49804</v>
      </c>
      <c r="BE69" s="59">
        <v>51862</v>
      </c>
      <c r="BF69" s="59">
        <v>57317</v>
      </c>
      <c r="BG69" s="59">
        <v>65722</v>
      </c>
      <c r="BH69" s="59">
        <v>68486</v>
      </c>
      <c r="BI69" s="59">
        <v>80584</v>
      </c>
      <c r="BJ69" s="59">
        <v>90535</v>
      </c>
      <c r="BK69" s="59">
        <v>101350</v>
      </c>
      <c r="BL69" s="59">
        <v>113402</v>
      </c>
      <c r="BM69" s="59">
        <v>123908</v>
      </c>
      <c r="BN69" s="59">
        <v>136010</v>
      </c>
      <c r="BO69" s="59">
        <v>135299</v>
      </c>
      <c r="BP69" s="59">
        <v>129286</v>
      </c>
      <c r="BQ69" s="59">
        <v>127698</v>
      </c>
      <c r="BR69" s="59">
        <v>139082</v>
      </c>
      <c r="BS69" s="59">
        <v>145308</v>
      </c>
      <c r="BT69" s="59">
        <v>150967</v>
      </c>
      <c r="BU69" s="59">
        <v>163765</v>
      </c>
      <c r="BV69" s="59">
        <v>182523</v>
      </c>
      <c r="BW69" s="59">
        <v>183571</v>
      </c>
      <c r="BX69" s="59">
        <v>204536</v>
      </c>
      <c r="BY69" s="59">
        <v>223305</v>
      </c>
      <c r="BZ69" s="59">
        <v>239724</v>
      </c>
      <c r="CA69" s="59">
        <v>249943</v>
      </c>
      <c r="CB69" s="59">
        <v>260629</v>
      </c>
      <c r="CC69" s="59">
        <v>261237</v>
      </c>
      <c r="CD69" s="59">
        <v>272632</v>
      </c>
      <c r="CE69" s="59">
        <v>270527</v>
      </c>
      <c r="CF69" s="59">
        <v>277756</v>
      </c>
      <c r="CG69" s="59">
        <v>291506</v>
      </c>
      <c r="CH69" s="59">
        <v>297014</v>
      </c>
      <c r="CI69" s="59">
        <v>307300</v>
      </c>
      <c r="CJ69" s="59">
        <v>329383</v>
      </c>
      <c r="CK69" s="59">
        <v>346644</v>
      </c>
      <c r="CL69" s="59">
        <v>367646</v>
      </c>
    </row>
    <row r="70" spans="1:90" s="52" customFormat="1" ht="13">
      <c r="A70" s="52">
        <v>67</v>
      </c>
      <c r="C70" s="58" t="s">
        <v>441</v>
      </c>
      <c r="D70" s="59" t="s">
        <v>428</v>
      </c>
      <c r="E70" s="59" t="s">
        <v>428</v>
      </c>
      <c r="F70" s="59" t="s">
        <v>428</v>
      </c>
      <c r="G70" s="59" t="s">
        <v>428</v>
      </c>
      <c r="H70" s="59" t="s">
        <v>428</v>
      </c>
      <c r="I70" s="59" t="s">
        <v>428</v>
      </c>
      <c r="J70" s="59" t="s">
        <v>428</v>
      </c>
      <c r="K70" s="59" t="s">
        <v>428</v>
      </c>
      <c r="L70" s="59" t="s">
        <v>428</v>
      </c>
      <c r="M70" s="59" t="s">
        <v>428</v>
      </c>
      <c r="N70" s="59" t="s">
        <v>428</v>
      </c>
      <c r="O70" s="59" t="s">
        <v>428</v>
      </c>
      <c r="P70" s="59" t="s">
        <v>428</v>
      </c>
      <c r="Q70" s="59" t="s">
        <v>428</v>
      </c>
      <c r="R70" s="59" t="s">
        <v>428</v>
      </c>
      <c r="S70" s="59" t="s">
        <v>428</v>
      </c>
      <c r="T70" s="59" t="s">
        <v>428</v>
      </c>
      <c r="U70" s="59" t="s">
        <v>428</v>
      </c>
      <c r="V70" s="59" t="s">
        <v>428</v>
      </c>
      <c r="W70" s="59" t="s">
        <v>428</v>
      </c>
      <c r="X70" s="59" t="s">
        <v>428</v>
      </c>
      <c r="Y70" s="59" t="s">
        <v>428</v>
      </c>
      <c r="Z70" s="59" t="s">
        <v>428</v>
      </c>
      <c r="AA70" s="59" t="s">
        <v>428</v>
      </c>
      <c r="AB70" s="59" t="s">
        <v>428</v>
      </c>
      <c r="AC70" s="59" t="s">
        <v>428</v>
      </c>
      <c r="AD70" s="59" t="s">
        <v>428</v>
      </c>
      <c r="AE70" s="59" t="s">
        <v>428</v>
      </c>
      <c r="AF70" s="59" t="s">
        <v>428</v>
      </c>
      <c r="AG70" s="59" t="s">
        <v>428</v>
      </c>
      <c r="AH70" s="59">
        <v>64</v>
      </c>
      <c r="AI70" s="59">
        <v>89</v>
      </c>
      <c r="AJ70" s="59">
        <v>79</v>
      </c>
      <c r="AK70" s="59">
        <v>104</v>
      </c>
      <c r="AL70" s="59">
        <v>149</v>
      </c>
      <c r="AM70" s="59">
        <v>149</v>
      </c>
      <c r="AN70" s="59">
        <v>166</v>
      </c>
      <c r="AO70" s="59">
        <v>193</v>
      </c>
      <c r="AP70" s="59">
        <v>258</v>
      </c>
      <c r="AQ70" s="59">
        <v>256</v>
      </c>
      <c r="AR70" s="59">
        <v>308</v>
      </c>
      <c r="AS70" s="59">
        <v>88</v>
      </c>
      <c r="AT70" s="59">
        <v>295</v>
      </c>
      <c r="AU70" s="59">
        <v>442</v>
      </c>
      <c r="AV70" s="59">
        <v>443</v>
      </c>
      <c r="AW70" s="59">
        <v>486</v>
      </c>
      <c r="AX70" s="59">
        <v>333</v>
      </c>
      <c r="AY70" s="59">
        <v>510</v>
      </c>
      <c r="AZ70" s="59">
        <v>519</v>
      </c>
      <c r="BA70" s="59">
        <v>632</v>
      </c>
      <c r="BB70" s="59">
        <v>813</v>
      </c>
      <c r="BC70" s="59">
        <v>667</v>
      </c>
      <c r="BD70" s="59">
        <v>827</v>
      </c>
      <c r="BE70" s="59">
        <v>707</v>
      </c>
      <c r="BF70" s="59">
        <v>805</v>
      </c>
      <c r="BG70" s="59">
        <v>774</v>
      </c>
      <c r="BH70" s="59">
        <v>937</v>
      </c>
      <c r="BI70" s="59">
        <v>1187</v>
      </c>
      <c r="BJ70" s="59">
        <v>866</v>
      </c>
      <c r="BK70" s="59">
        <v>1235</v>
      </c>
      <c r="BL70" s="59">
        <v>1300</v>
      </c>
      <c r="BM70" s="59">
        <v>1228</v>
      </c>
      <c r="BN70" s="59">
        <v>1203</v>
      </c>
      <c r="BO70" s="59">
        <v>1204</v>
      </c>
      <c r="BP70" s="59">
        <v>1296</v>
      </c>
      <c r="BQ70" s="59">
        <v>1262</v>
      </c>
      <c r="BR70" s="59">
        <v>1442</v>
      </c>
      <c r="BS70" s="59">
        <v>1484</v>
      </c>
      <c r="BT70" s="59">
        <v>1543</v>
      </c>
      <c r="BU70" s="59">
        <v>1886</v>
      </c>
      <c r="BV70" s="59">
        <v>1769</v>
      </c>
      <c r="BW70" s="59">
        <v>1970</v>
      </c>
      <c r="BX70" s="59">
        <v>1709</v>
      </c>
      <c r="BY70" s="59">
        <v>2093</v>
      </c>
      <c r="BZ70" s="59">
        <v>2267</v>
      </c>
      <c r="CA70" s="59">
        <v>2218</v>
      </c>
      <c r="CB70" s="59">
        <v>2575</v>
      </c>
      <c r="CC70" s="59">
        <v>2143</v>
      </c>
      <c r="CD70" s="59">
        <v>2596</v>
      </c>
      <c r="CE70" s="59">
        <v>2777</v>
      </c>
      <c r="CF70" s="59">
        <v>3610</v>
      </c>
      <c r="CG70" s="59">
        <v>3152</v>
      </c>
      <c r="CH70" s="59">
        <v>3151</v>
      </c>
      <c r="CI70" s="59">
        <v>3136</v>
      </c>
      <c r="CJ70" s="59">
        <v>3088</v>
      </c>
      <c r="CK70" s="59">
        <v>3075</v>
      </c>
      <c r="CL70" s="59">
        <v>3059</v>
      </c>
    </row>
    <row r="71" spans="1:90" s="52" customFormat="1" ht="13">
      <c r="A71" s="52">
        <v>68</v>
      </c>
      <c r="C71" s="58" t="s">
        <v>465</v>
      </c>
      <c r="D71" s="59" t="s">
        <v>428</v>
      </c>
      <c r="E71" s="59" t="s">
        <v>428</v>
      </c>
      <c r="F71" s="59" t="s">
        <v>428</v>
      </c>
      <c r="G71" s="59" t="s">
        <v>428</v>
      </c>
      <c r="H71" s="59" t="s">
        <v>428</v>
      </c>
      <c r="I71" s="59" t="s">
        <v>428</v>
      </c>
      <c r="J71" s="59" t="s">
        <v>428</v>
      </c>
      <c r="K71" s="59" t="s">
        <v>428</v>
      </c>
      <c r="L71" s="59" t="s">
        <v>428</v>
      </c>
      <c r="M71" s="59" t="s">
        <v>428</v>
      </c>
      <c r="N71" s="59" t="s">
        <v>428</v>
      </c>
      <c r="O71" s="59" t="s">
        <v>428</v>
      </c>
      <c r="P71" s="59" t="s">
        <v>428</v>
      </c>
      <c r="Q71" s="59" t="s">
        <v>428</v>
      </c>
      <c r="R71" s="59" t="s">
        <v>428</v>
      </c>
      <c r="S71" s="59" t="s">
        <v>428</v>
      </c>
      <c r="T71" s="59" t="s">
        <v>428</v>
      </c>
      <c r="U71" s="59" t="s">
        <v>428</v>
      </c>
      <c r="V71" s="59" t="s">
        <v>428</v>
      </c>
      <c r="W71" s="59" t="s">
        <v>428</v>
      </c>
      <c r="X71" s="59" t="s">
        <v>428</v>
      </c>
      <c r="Y71" s="59" t="s">
        <v>428</v>
      </c>
      <c r="Z71" s="59" t="s">
        <v>428</v>
      </c>
      <c r="AA71" s="59" t="s">
        <v>428</v>
      </c>
      <c r="AB71" s="59" t="s">
        <v>428</v>
      </c>
      <c r="AC71" s="59" t="s">
        <v>428</v>
      </c>
      <c r="AD71" s="59" t="s">
        <v>428</v>
      </c>
      <c r="AE71" s="59" t="s">
        <v>428</v>
      </c>
      <c r="AF71" s="59" t="s">
        <v>428</v>
      </c>
      <c r="AG71" s="59" t="s">
        <v>428</v>
      </c>
      <c r="AH71" s="59" t="s">
        <v>428</v>
      </c>
      <c r="AI71" s="59" t="s">
        <v>428</v>
      </c>
      <c r="AJ71" s="59" t="s">
        <v>428</v>
      </c>
      <c r="AK71" s="59" t="s">
        <v>428</v>
      </c>
      <c r="AL71" s="59" t="s">
        <v>428</v>
      </c>
      <c r="AM71" s="59" t="s">
        <v>428</v>
      </c>
      <c r="AN71" s="59" t="s">
        <v>428</v>
      </c>
      <c r="AO71" s="59" t="s">
        <v>428</v>
      </c>
      <c r="AP71" s="59" t="s">
        <v>428</v>
      </c>
      <c r="AQ71" s="59" t="s">
        <v>428</v>
      </c>
      <c r="AR71" s="59" t="s">
        <v>428</v>
      </c>
      <c r="AS71" s="59" t="s">
        <v>428</v>
      </c>
      <c r="AT71" s="59" t="s">
        <v>428</v>
      </c>
      <c r="AU71" s="59" t="s">
        <v>428</v>
      </c>
      <c r="AV71" s="59" t="s">
        <v>428</v>
      </c>
      <c r="AW71" s="59" t="s">
        <v>428</v>
      </c>
      <c r="AX71" s="59" t="s">
        <v>428</v>
      </c>
      <c r="AY71" s="59" t="s">
        <v>428</v>
      </c>
      <c r="AZ71" s="59">
        <v>27</v>
      </c>
      <c r="BA71" s="59">
        <v>187</v>
      </c>
      <c r="BB71" s="59">
        <v>13</v>
      </c>
      <c r="BC71" s="59" t="s">
        <v>428</v>
      </c>
      <c r="BD71" s="59" t="s">
        <v>428</v>
      </c>
      <c r="BE71" s="59" t="s">
        <v>428</v>
      </c>
      <c r="BF71" s="59" t="s">
        <v>428</v>
      </c>
      <c r="BG71" s="59" t="s">
        <v>428</v>
      </c>
      <c r="BH71" s="59" t="s">
        <v>428</v>
      </c>
      <c r="BI71" s="59" t="s">
        <v>428</v>
      </c>
      <c r="BJ71" s="59" t="s">
        <v>428</v>
      </c>
      <c r="BK71" s="59" t="s">
        <v>428</v>
      </c>
      <c r="BL71" s="59" t="s">
        <v>428</v>
      </c>
      <c r="BM71" s="59" t="s">
        <v>428</v>
      </c>
      <c r="BN71" s="59" t="s">
        <v>428</v>
      </c>
      <c r="BO71" s="59" t="s">
        <v>428</v>
      </c>
      <c r="BP71" s="59" t="s">
        <v>428</v>
      </c>
      <c r="BQ71" s="59" t="s">
        <v>428</v>
      </c>
      <c r="BR71" s="59" t="s">
        <v>428</v>
      </c>
      <c r="BS71" s="59" t="s">
        <v>428</v>
      </c>
      <c r="BT71" s="59" t="s">
        <v>428</v>
      </c>
      <c r="BU71" s="59" t="s">
        <v>428</v>
      </c>
      <c r="BV71" s="59" t="s">
        <v>428</v>
      </c>
      <c r="BW71" s="59" t="s">
        <v>428</v>
      </c>
      <c r="BX71" s="59" t="s">
        <v>428</v>
      </c>
      <c r="BY71" s="59" t="s">
        <v>428</v>
      </c>
      <c r="BZ71" s="59" t="s">
        <v>428</v>
      </c>
      <c r="CA71" s="59" t="s">
        <v>428</v>
      </c>
      <c r="CB71" s="59" t="s">
        <v>428</v>
      </c>
      <c r="CC71" s="59" t="s">
        <v>428</v>
      </c>
      <c r="CD71" s="59" t="s">
        <v>428</v>
      </c>
      <c r="CE71" s="59" t="s">
        <v>428</v>
      </c>
      <c r="CF71" s="59" t="s">
        <v>428</v>
      </c>
      <c r="CG71" s="59" t="s">
        <v>428</v>
      </c>
      <c r="CH71" s="59" t="s">
        <v>428</v>
      </c>
      <c r="CI71" s="59" t="s">
        <v>428</v>
      </c>
      <c r="CJ71" s="59" t="s">
        <v>428</v>
      </c>
      <c r="CK71" s="59" t="s">
        <v>428</v>
      </c>
      <c r="CL71" s="59" t="s">
        <v>428</v>
      </c>
    </row>
    <row r="72" spans="1:90" s="52" customFormat="1" ht="13">
      <c r="A72" s="52">
        <v>69</v>
      </c>
      <c r="C72" s="58" t="s">
        <v>442</v>
      </c>
      <c r="D72" s="59" t="s">
        <v>428</v>
      </c>
      <c r="E72" s="59" t="s">
        <v>428</v>
      </c>
      <c r="F72" s="59" t="s">
        <v>428</v>
      </c>
      <c r="G72" s="59" t="s">
        <v>428</v>
      </c>
      <c r="H72" s="59" t="s">
        <v>428</v>
      </c>
      <c r="I72" s="59" t="s">
        <v>428</v>
      </c>
      <c r="J72" s="59" t="s">
        <v>428</v>
      </c>
      <c r="K72" s="59" t="s">
        <v>428</v>
      </c>
      <c r="L72" s="59" t="s">
        <v>428</v>
      </c>
      <c r="M72" s="59" t="s">
        <v>428</v>
      </c>
      <c r="N72" s="59" t="s">
        <v>428</v>
      </c>
      <c r="O72" s="59" t="s">
        <v>428</v>
      </c>
      <c r="P72" s="59" t="s">
        <v>428</v>
      </c>
      <c r="Q72" s="59" t="s">
        <v>428</v>
      </c>
      <c r="R72" s="59" t="s">
        <v>428</v>
      </c>
      <c r="S72" s="59" t="s">
        <v>428</v>
      </c>
      <c r="T72" s="59" t="s">
        <v>428</v>
      </c>
      <c r="U72" s="59" t="s">
        <v>428</v>
      </c>
      <c r="V72" s="59" t="s">
        <v>428</v>
      </c>
      <c r="W72" s="59" t="s">
        <v>428</v>
      </c>
      <c r="X72" s="59" t="s">
        <v>428</v>
      </c>
      <c r="Y72" s="59" t="s">
        <v>428</v>
      </c>
      <c r="Z72" s="59" t="s">
        <v>428</v>
      </c>
      <c r="AA72" s="59" t="s">
        <v>428</v>
      </c>
      <c r="AB72" s="59" t="s">
        <v>428</v>
      </c>
      <c r="AC72" s="59" t="s">
        <v>428</v>
      </c>
      <c r="AD72" s="59" t="s">
        <v>428</v>
      </c>
      <c r="AE72" s="59" t="s">
        <v>428</v>
      </c>
      <c r="AF72" s="59" t="s">
        <v>428</v>
      </c>
      <c r="AG72" s="59" t="s">
        <v>428</v>
      </c>
      <c r="AH72" s="59" t="s">
        <v>428</v>
      </c>
      <c r="AI72" s="59" t="s">
        <v>428</v>
      </c>
      <c r="AJ72" s="59" t="s">
        <v>428</v>
      </c>
      <c r="AK72" s="59" t="s">
        <v>428</v>
      </c>
      <c r="AL72" s="59" t="s">
        <v>428</v>
      </c>
      <c r="AM72" s="59" t="s">
        <v>428</v>
      </c>
      <c r="AN72" s="59" t="s">
        <v>428</v>
      </c>
      <c r="AO72" s="59" t="s">
        <v>428</v>
      </c>
      <c r="AP72" s="59" t="s">
        <v>428</v>
      </c>
      <c r="AQ72" s="59" t="s">
        <v>428</v>
      </c>
      <c r="AR72" s="59" t="s">
        <v>428</v>
      </c>
      <c r="AS72" s="59" t="s">
        <v>428</v>
      </c>
      <c r="AT72" s="59" t="s">
        <v>428</v>
      </c>
      <c r="AU72" s="59" t="s">
        <v>428</v>
      </c>
      <c r="AV72" s="59" t="s">
        <v>428</v>
      </c>
      <c r="AW72" s="59" t="s">
        <v>428</v>
      </c>
      <c r="AX72" s="59" t="s">
        <v>428</v>
      </c>
      <c r="AY72" s="59" t="s">
        <v>428</v>
      </c>
      <c r="AZ72" s="59" t="s">
        <v>428</v>
      </c>
      <c r="BA72" s="59" t="s">
        <v>428</v>
      </c>
      <c r="BB72" s="59" t="s">
        <v>428</v>
      </c>
      <c r="BC72" s="59" t="s">
        <v>428</v>
      </c>
      <c r="BD72" s="59" t="s">
        <v>428</v>
      </c>
      <c r="BE72" s="59" t="s">
        <v>428</v>
      </c>
      <c r="BF72" s="59" t="s">
        <v>428</v>
      </c>
      <c r="BG72" s="59" t="s">
        <v>428</v>
      </c>
      <c r="BH72" s="59">
        <v>1100</v>
      </c>
      <c r="BI72" s="59" t="s">
        <v>428</v>
      </c>
      <c r="BJ72" s="59" t="s">
        <v>428</v>
      </c>
      <c r="BK72" s="59" t="s">
        <v>428</v>
      </c>
      <c r="BL72" s="59" t="s">
        <v>428</v>
      </c>
      <c r="BM72" s="59">
        <v>2366</v>
      </c>
      <c r="BN72" s="59" t="s">
        <v>428</v>
      </c>
      <c r="BO72" s="59" t="s">
        <v>428</v>
      </c>
      <c r="BP72" s="59" t="s">
        <v>428</v>
      </c>
      <c r="BQ72" s="59" t="s">
        <v>428</v>
      </c>
      <c r="BR72" s="59">
        <v>1177</v>
      </c>
      <c r="BS72" s="59" t="s">
        <v>428</v>
      </c>
      <c r="BT72" s="59" t="s">
        <v>428</v>
      </c>
      <c r="BU72" s="59" t="s">
        <v>428</v>
      </c>
      <c r="BV72" s="59" t="s">
        <v>428</v>
      </c>
      <c r="BW72" s="59" t="s">
        <v>428</v>
      </c>
      <c r="BX72" s="59" t="s">
        <v>428</v>
      </c>
      <c r="BY72" s="59" t="s">
        <v>428</v>
      </c>
      <c r="BZ72" s="59" t="s">
        <v>428</v>
      </c>
      <c r="CA72" s="59" t="s">
        <v>428</v>
      </c>
      <c r="CB72" s="59" t="s">
        <v>428</v>
      </c>
      <c r="CC72" s="59" t="s">
        <v>428</v>
      </c>
      <c r="CD72" s="59" t="s">
        <v>428</v>
      </c>
      <c r="CE72" s="59" t="s">
        <v>428</v>
      </c>
      <c r="CF72" s="59" t="s">
        <v>428</v>
      </c>
      <c r="CG72" s="59" t="s">
        <v>428</v>
      </c>
      <c r="CH72" s="59" t="s">
        <v>428</v>
      </c>
      <c r="CI72" s="59" t="s">
        <v>428</v>
      </c>
      <c r="CJ72" s="59" t="s">
        <v>428</v>
      </c>
      <c r="CK72" s="59" t="s">
        <v>428</v>
      </c>
      <c r="CL72" s="59" t="s">
        <v>428</v>
      </c>
    </row>
    <row r="73" spans="1:90" s="52" customFormat="1" ht="13">
      <c r="A73" s="52">
        <v>70</v>
      </c>
      <c r="C73" s="58" t="s">
        <v>466</v>
      </c>
      <c r="D73" s="59" t="s">
        <v>428</v>
      </c>
      <c r="E73" s="59" t="s">
        <v>428</v>
      </c>
      <c r="F73" s="59" t="s">
        <v>428</v>
      </c>
      <c r="G73" s="59" t="s">
        <v>428</v>
      </c>
      <c r="H73" s="59" t="s">
        <v>428</v>
      </c>
      <c r="I73" s="59" t="s">
        <v>428</v>
      </c>
      <c r="J73" s="59" t="s">
        <v>428</v>
      </c>
      <c r="K73" s="59" t="s">
        <v>428</v>
      </c>
      <c r="L73" s="59" t="s">
        <v>428</v>
      </c>
      <c r="M73" s="59" t="s">
        <v>428</v>
      </c>
      <c r="N73" s="59" t="s">
        <v>428</v>
      </c>
      <c r="O73" s="59" t="s">
        <v>428</v>
      </c>
      <c r="P73" s="59" t="s">
        <v>428</v>
      </c>
      <c r="Q73" s="59" t="s">
        <v>428</v>
      </c>
      <c r="R73" s="59" t="s">
        <v>428</v>
      </c>
      <c r="S73" s="59" t="s">
        <v>428</v>
      </c>
      <c r="T73" s="59" t="s">
        <v>428</v>
      </c>
      <c r="U73" s="59" t="s">
        <v>428</v>
      </c>
      <c r="V73" s="59" t="s">
        <v>428</v>
      </c>
      <c r="W73" s="59" t="s">
        <v>428</v>
      </c>
      <c r="X73" s="59" t="s">
        <v>428</v>
      </c>
      <c r="Y73" s="59" t="s">
        <v>428</v>
      </c>
      <c r="Z73" s="59" t="s">
        <v>428</v>
      </c>
      <c r="AA73" s="59" t="s">
        <v>428</v>
      </c>
      <c r="AB73" s="59" t="s">
        <v>428</v>
      </c>
      <c r="AC73" s="59" t="s">
        <v>428</v>
      </c>
      <c r="AD73" s="59" t="s">
        <v>428</v>
      </c>
      <c r="AE73" s="59" t="s">
        <v>428</v>
      </c>
      <c r="AF73" s="59" t="s">
        <v>428</v>
      </c>
      <c r="AG73" s="59" t="s">
        <v>428</v>
      </c>
      <c r="AH73" s="59" t="s">
        <v>428</v>
      </c>
      <c r="AI73" s="59" t="s">
        <v>428</v>
      </c>
      <c r="AJ73" s="59" t="s">
        <v>428</v>
      </c>
      <c r="AK73" s="59" t="s">
        <v>428</v>
      </c>
      <c r="AL73" s="59" t="s">
        <v>428</v>
      </c>
      <c r="AM73" s="59" t="s">
        <v>428</v>
      </c>
      <c r="AN73" s="59" t="s">
        <v>428</v>
      </c>
      <c r="AO73" s="59" t="s">
        <v>428</v>
      </c>
      <c r="AP73" s="59" t="s">
        <v>428</v>
      </c>
      <c r="AQ73" s="59" t="s">
        <v>428</v>
      </c>
      <c r="AR73" s="59" t="s">
        <v>428</v>
      </c>
      <c r="AS73" s="59" t="s">
        <v>428</v>
      </c>
      <c r="AT73" s="59" t="s">
        <v>428</v>
      </c>
      <c r="AU73" s="59" t="s">
        <v>428</v>
      </c>
      <c r="AV73" s="59" t="s">
        <v>428</v>
      </c>
      <c r="AW73" s="59" t="s">
        <v>428</v>
      </c>
      <c r="AX73" s="59" t="s">
        <v>428</v>
      </c>
      <c r="AY73" s="59" t="s">
        <v>428</v>
      </c>
      <c r="AZ73" s="59" t="s">
        <v>428</v>
      </c>
      <c r="BA73" s="59" t="s">
        <v>428</v>
      </c>
      <c r="BB73" s="59" t="s">
        <v>428</v>
      </c>
      <c r="BC73" s="59" t="s">
        <v>428</v>
      </c>
      <c r="BD73" s="59" t="s">
        <v>428</v>
      </c>
      <c r="BE73" s="59" t="s">
        <v>428</v>
      </c>
      <c r="BF73" s="59" t="s">
        <v>428</v>
      </c>
      <c r="BG73" s="59" t="s">
        <v>428</v>
      </c>
      <c r="BH73" s="59" t="s">
        <v>428</v>
      </c>
      <c r="BI73" s="59" t="s">
        <v>428</v>
      </c>
      <c r="BJ73" s="59" t="s">
        <v>428</v>
      </c>
      <c r="BK73" s="59" t="s">
        <v>428</v>
      </c>
      <c r="BL73" s="59" t="s">
        <v>428</v>
      </c>
      <c r="BM73" s="59" t="s">
        <v>428</v>
      </c>
      <c r="BN73" s="59" t="s">
        <v>428</v>
      </c>
      <c r="BO73" s="59" t="s">
        <v>428</v>
      </c>
      <c r="BP73" s="59" t="s">
        <v>428</v>
      </c>
      <c r="BQ73" s="59" t="s">
        <v>428</v>
      </c>
      <c r="BR73" s="59" t="s">
        <v>428</v>
      </c>
      <c r="BS73" s="59" t="s">
        <v>428</v>
      </c>
      <c r="BT73" s="59" t="s">
        <v>428</v>
      </c>
      <c r="BU73" s="59" t="s">
        <v>428</v>
      </c>
      <c r="BV73" s="59" t="s">
        <v>428</v>
      </c>
      <c r="BW73" s="59" t="s">
        <v>428</v>
      </c>
      <c r="BX73" s="59" t="s">
        <v>428</v>
      </c>
      <c r="BY73" s="59" t="s">
        <v>428</v>
      </c>
      <c r="BZ73" s="59" t="s">
        <v>428</v>
      </c>
      <c r="CA73" s="59" t="s">
        <v>428</v>
      </c>
      <c r="CB73" s="59" t="s">
        <v>428</v>
      </c>
      <c r="CC73" s="59" t="s">
        <v>428</v>
      </c>
      <c r="CD73" s="59">
        <v>25</v>
      </c>
      <c r="CE73" s="59">
        <v>49</v>
      </c>
      <c r="CF73" s="59">
        <v>55</v>
      </c>
      <c r="CG73" s="59">
        <v>50</v>
      </c>
      <c r="CH73" s="59">
        <v>49</v>
      </c>
      <c r="CI73" s="59">
        <v>61</v>
      </c>
      <c r="CJ73" s="59">
        <v>65</v>
      </c>
      <c r="CK73" s="59" t="s">
        <v>428</v>
      </c>
      <c r="CL73" s="59" t="s">
        <v>428</v>
      </c>
    </row>
    <row r="74" spans="1:90" s="52" customFormat="1">
      <c r="A74" s="52">
        <v>71</v>
      </c>
      <c r="C74" s="58" t="s">
        <v>467</v>
      </c>
      <c r="D74" s="59" t="s">
        <v>428</v>
      </c>
      <c r="E74" s="59" t="s">
        <v>428</v>
      </c>
      <c r="F74" s="59" t="s">
        <v>428</v>
      </c>
      <c r="G74" s="59" t="s">
        <v>428</v>
      </c>
      <c r="H74" s="59" t="s">
        <v>428</v>
      </c>
      <c r="I74" s="59" t="s">
        <v>428</v>
      </c>
      <c r="J74" s="59" t="s">
        <v>428</v>
      </c>
      <c r="K74" s="59" t="s">
        <v>428</v>
      </c>
      <c r="L74" s="59" t="s">
        <v>428</v>
      </c>
      <c r="M74" s="59" t="s">
        <v>428</v>
      </c>
      <c r="N74" s="59" t="s">
        <v>428</v>
      </c>
      <c r="O74" s="59" t="s">
        <v>428</v>
      </c>
      <c r="P74" s="59" t="s">
        <v>428</v>
      </c>
      <c r="Q74" s="59" t="s">
        <v>428</v>
      </c>
      <c r="R74" s="59" t="s">
        <v>428</v>
      </c>
      <c r="S74" s="59" t="s">
        <v>428</v>
      </c>
      <c r="T74" s="59" t="s">
        <v>428</v>
      </c>
      <c r="U74" s="59" t="s">
        <v>428</v>
      </c>
      <c r="V74" s="59" t="s">
        <v>428</v>
      </c>
      <c r="W74" s="59" t="s">
        <v>428</v>
      </c>
      <c r="X74" s="59" t="s">
        <v>428</v>
      </c>
      <c r="Y74" s="59" t="s">
        <v>428</v>
      </c>
      <c r="Z74" s="59" t="s">
        <v>428</v>
      </c>
      <c r="AA74" s="59" t="s">
        <v>428</v>
      </c>
      <c r="AB74" s="59" t="s">
        <v>428</v>
      </c>
      <c r="AC74" s="59" t="s">
        <v>428</v>
      </c>
      <c r="AD74" s="59" t="s">
        <v>428</v>
      </c>
      <c r="AE74" s="59" t="s">
        <v>428</v>
      </c>
      <c r="AF74" s="59" t="s">
        <v>428</v>
      </c>
      <c r="AG74" s="59" t="s">
        <v>428</v>
      </c>
      <c r="AH74" s="59" t="s">
        <v>428</v>
      </c>
      <c r="AI74" s="59" t="s">
        <v>428</v>
      </c>
      <c r="AJ74" s="59" t="s">
        <v>428</v>
      </c>
      <c r="AK74" s="59" t="s">
        <v>428</v>
      </c>
      <c r="AL74" s="59" t="s">
        <v>432</v>
      </c>
      <c r="AM74" s="59">
        <v>1</v>
      </c>
      <c r="AN74" s="59">
        <v>1</v>
      </c>
      <c r="AO74" s="59">
        <v>1</v>
      </c>
      <c r="AP74" s="59">
        <v>1</v>
      </c>
      <c r="AQ74" s="59">
        <v>2</v>
      </c>
      <c r="AR74" s="59">
        <v>4</v>
      </c>
      <c r="AS74" s="59">
        <v>1</v>
      </c>
      <c r="AT74" s="59">
        <v>7</v>
      </c>
      <c r="AU74" s="59">
        <v>4</v>
      </c>
      <c r="AV74" s="59">
        <v>1</v>
      </c>
      <c r="AW74" s="59">
        <v>8</v>
      </c>
      <c r="AX74" s="59">
        <v>7</v>
      </c>
      <c r="AY74" s="59">
        <v>10</v>
      </c>
      <c r="AZ74" s="59">
        <v>-97</v>
      </c>
      <c r="BA74" s="59">
        <v>15</v>
      </c>
      <c r="BB74" s="59">
        <v>131</v>
      </c>
      <c r="BC74" s="59">
        <v>151</v>
      </c>
      <c r="BD74" s="59">
        <v>172</v>
      </c>
      <c r="BE74" s="59">
        <v>160</v>
      </c>
      <c r="BF74" s="59">
        <v>116</v>
      </c>
      <c r="BG74" s="59">
        <v>190</v>
      </c>
      <c r="BH74" s="59">
        <v>218</v>
      </c>
      <c r="BI74" s="59">
        <v>200</v>
      </c>
      <c r="BJ74" s="59">
        <v>203</v>
      </c>
      <c r="BK74" s="59">
        <v>185</v>
      </c>
      <c r="BL74" s="59">
        <v>181</v>
      </c>
      <c r="BM74" s="59">
        <v>181</v>
      </c>
      <c r="BN74" s="59">
        <v>671</v>
      </c>
      <c r="BO74" s="59">
        <v>795</v>
      </c>
      <c r="BP74" s="59">
        <v>918</v>
      </c>
      <c r="BQ74" s="59">
        <v>1070</v>
      </c>
      <c r="BR74" s="59">
        <v>1200</v>
      </c>
      <c r="BS74" s="59">
        <v>1221</v>
      </c>
      <c r="BT74" s="59">
        <v>1310</v>
      </c>
      <c r="BU74" s="59">
        <v>1364</v>
      </c>
      <c r="BV74" s="59">
        <v>1411</v>
      </c>
      <c r="BW74" s="59">
        <v>1395</v>
      </c>
      <c r="BX74" s="59">
        <v>1326</v>
      </c>
      <c r="BY74" s="59">
        <v>1444</v>
      </c>
      <c r="BZ74" s="59">
        <v>1386</v>
      </c>
      <c r="CA74" s="59">
        <v>1473</v>
      </c>
      <c r="CB74" s="59">
        <v>1624</v>
      </c>
      <c r="CC74" s="59">
        <v>1825</v>
      </c>
      <c r="CD74" s="59">
        <v>1937</v>
      </c>
      <c r="CE74" s="59">
        <v>1796</v>
      </c>
      <c r="CF74" s="59">
        <v>2088</v>
      </c>
      <c r="CG74" s="59">
        <v>2973</v>
      </c>
      <c r="CH74" s="59">
        <v>2548</v>
      </c>
      <c r="CI74" s="59" t="s">
        <v>428</v>
      </c>
      <c r="CJ74" s="59" t="s">
        <v>428</v>
      </c>
      <c r="CK74" s="59" t="s">
        <v>428</v>
      </c>
      <c r="CL74" s="59" t="s">
        <v>428</v>
      </c>
    </row>
    <row r="75" spans="1:90" s="52" customFormat="1" thickBot="1">
      <c r="A75" s="52">
        <v>72</v>
      </c>
      <c r="C75" s="60" t="s">
        <v>444</v>
      </c>
      <c r="D75" s="62" t="s">
        <v>428</v>
      </c>
      <c r="E75" s="62" t="s">
        <v>428</v>
      </c>
      <c r="F75" s="62" t="s">
        <v>428</v>
      </c>
      <c r="G75" s="62" t="s">
        <v>428</v>
      </c>
      <c r="H75" s="62" t="s">
        <v>428</v>
      </c>
      <c r="I75" s="62" t="s">
        <v>428</v>
      </c>
      <c r="J75" s="62" t="s">
        <v>428</v>
      </c>
      <c r="K75" s="62" t="s">
        <v>428</v>
      </c>
      <c r="L75" s="62" t="s">
        <v>428</v>
      </c>
      <c r="M75" s="62" t="s">
        <v>428</v>
      </c>
      <c r="N75" s="62" t="s">
        <v>428</v>
      </c>
      <c r="O75" s="62" t="s">
        <v>428</v>
      </c>
      <c r="P75" s="62" t="s">
        <v>428</v>
      </c>
      <c r="Q75" s="62" t="s">
        <v>428</v>
      </c>
      <c r="R75" s="62" t="s">
        <v>428</v>
      </c>
      <c r="S75" s="62" t="s">
        <v>428</v>
      </c>
      <c r="T75" s="62" t="s">
        <v>428</v>
      </c>
      <c r="U75" s="62" t="s">
        <v>428</v>
      </c>
      <c r="V75" s="62" t="s">
        <v>428</v>
      </c>
      <c r="W75" s="62" t="s">
        <v>428</v>
      </c>
      <c r="X75" s="62" t="s">
        <v>428</v>
      </c>
      <c r="Y75" s="62" t="s">
        <v>428</v>
      </c>
      <c r="Z75" s="62" t="s">
        <v>428</v>
      </c>
      <c r="AA75" s="62" t="s">
        <v>428</v>
      </c>
      <c r="AB75" s="62" t="s">
        <v>428</v>
      </c>
      <c r="AC75" s="62" t="s">
        <v>428</v>
      </c>
      <c r="AD75" s="62" t="s">
        <v>428</v>
      </c>
      <c r="AE75" s="62" t="s">
        <v>428</v>
      </c>
      <c r="AF75" s="62" t="s">
        <v>428</v>
      </c>
      <c r="AG75" s="62" t="s">
        <v>428</v>
      </c>
      <c r="AH75" s="62">
        <v>64</v>
      </c>
      <c r="AI75" s="62">
        <v>2597</v>
      </c>
      <c r="AJ75" s="62">
        <v>3815</v>
      </c>
      <c r="AK75" s="62">
        <v>4758</v>
      </c>
      <c r="AL75" s="62">
        <v>4953</v>
      </c>
      <c r="AM75" s="62">
        <v>5592</v>
      </c>
      <c r="AN75" s="62">
        <v>6276</v>
      </c>
      <c r="AO75" s="62">
        <v>6842</v>
      </c>
      <c r="AP75" s="62">
        <v>8065</v>
      </c>
      <c r="AQ75" s="62">
        <v>10612</v>
      </c>
      <c r="AR75" s="62">
        <v>12579</v>
      </c>
      <c r="AS75" s="62">
        <v>3404</v>
      </c>
      <c r="AT75" s="62">
        <v>15207</v>
      </c>
      <c r="AU75" s="62">
        <v>17862</v>
      </c>
      <c r="AV75" s="62">
        <v>20343</v>
      </c>
      <c r="AW75" s="62">
        <v>24288</v>
      </c>
      <c r="AX75" s="62">
        <v>29248</v>
      </c>
      <c r="AY75" s="62">
        <v>34864</v>
      </c>
      <c r="AZ75" s="62">
        <v>38551</v>
      </c>
      <c r="BA75" s="62">
        <v>42295</v>
      </c>
      <c r="BB75" s="62">
        <v>48667</v>
      </c>
      <c r="BC75" s="62">
        <v>49685</v>
      </c>
      <c r="BD75" s="62">
        <v>50803</v>
      </c>
      <c r="BE75" s="62">
        <v>52730</v>
      </c>
      <c r="BF75" s="62">
        <v>58238</v>
      </c>
      <c r="BG75" s="62">
        <v>66687</v>
      </c>
      <c r="BH75" s="62">
        <v>70742</v>
      </c>
      <c r="BI75" s="62">
        <v>81971</v>
      </c>
      <c r="BJ75" s="62">
        <v>91604</v>
      </c>
      <c r="BK75" s="62">
        <v>102770</v>
      </c>
      <c r="BL75" s="62">
        <v>114883</v>
      </c>
      <c r="BM75" s="62">
        <v>127683</v>
      </c>
      <c r="BN75" s="62">
        <v>137884</v>
      </c>
      <c r="BO75" s="62">
        <v>137298</v>
      </c>
      <c r="BP75" s="62">
        <v>131500</v>
      </c>
      <c r="BQ75" s="62">
        <v>130030</v>
      </c>
      <c r="BR75" s="62">
        <v>142901</v>
      </c>
      <c r="BS75" s="62">
        <v>148013</v>
      </c>
      <c r="BT75" s="62">
        <v>153820</v>
      </c>
      <c r="BU75" s="62">
        <v>167015</v>
      </c>
      <c r="BV75" s="62">
        <v>185703</v>
      </c>
      <c r="BW75" s="62">
        <v>186936</v>
      </c>
      <c r="BX75" s="62">
        <v>207571</v>
      </c>
      <c r="BY75" s="62">
        <v>226842</v>
      </c>
      <c r="BZ75" s="62">
        <v>243377</v>
      </c>
      <c r="CA75" s="62">
        <v>253634</v>
      </c>
      <c r="CB75" s="62">
        <v>264828</v>
      </c>
      <c r="CC75" s="62">
        <v>265205</v>
      </c>
      <c r="CD75" s="62">
        <v>277190</v>
      </c>
      <c r="CE75" s="62">
        <v>275149</v>
      </c>
      <c r="CF75" s="62">
        <v>283509</v>
      </c>
      <c r="CG75" s="62">
        <v>297681</v>
      </c>
      <c r="CH75" s="62">
        <v>302762</v>
      </c>
      <c r="CI75" s="62">
        <v>310497</v>
      </c>
      <c r="CJ75" s="62">
        <v>332536</v>
      </c>
      <c r="CK75" s="62">
        <v>349719</v>
      </c>
      <c r="CL75" s="62">
        <v>370705</v>
      </c>
    </row>
    <row r="76" spans="1:90" s="52" customFormat="1" ht="15" thickTop="1" thickBot="1">
      <c r="A76" s="52">
        <v>73</v>
      </c>
      <c r="C76" s="63" t="s">
        <v>445</v>
      </c>
      <c r="D76" s="64" t="s">
        <v>428</v>
      </c>
      <c r="E76" s="64" t="s">
        <v>428</v>
      </c>
      <c r="F76" s="64" t="s">
        <v>428</v>
      </c>
      <c r="G76" s="64" t="s">
        <v>428</v>
      </c>
      <c r="H76" s="64" t="s">
        <v>428</v>
      </c>
      <c r="I76" s="64" t="s">
        <v>428</v>
      </c>
      <c r="J76" s="64" t="s">
        <v>428</v>
      </c>
      <c r="K76" s="64" t="s">
        <v>428</v>
      </c>
      <c r="L76" s="64" t="s">
        <v>428</v>
      </c>
      <c r="M76" s="64" t="s">
        <v>428</v>
      </c>
      <c r="N76" s="64" t="s">
        <v>428</v>
      </c>
      <c r="O76" s="64" t="s">
        <v>428</v>
      </c>
      <c r="P76" s="64" t="s">
        <v>428</v>
      </c>
      <c r="Q76" s="64" t="s">
        <v>428</v>
      </c>
      <c r="R76" s="64" t="s">
        <v>428</v>
      </c>
      <c r="S76" s="64" t="s">
        <v>428</v>
      </c>
      <c r="T76" s="64" t="s">
        <v>428</v>
      </c>
      <c r="U76" s="64" t="s">
        <v>428</v>
      </c>
      <c r="V76" s="64" t="s">
        <v>428</v>
      </c>
      <c r="W76" s="64" t="s">
        <v>428</v>
      </c>
      <c r="X76" s="64" t="s">
        <v>428</v>
      </c>
      <c r="Y76" s="64" t="s">
        <v>428</v>
      </c>
      <c r="Z76" s="64" t="s">
        <v>428</v>
      </c>
      <c r="AA76" s="64" t="s">
        <v>428</v>
      </c>
      <c r="AB76" s="64" t="s">
        <v>428</v>
      </c>
      <c r="AC76" s="64" t="s">
        <v>428</v>
      </c>
      <c r="AD76" s="64" t="s">
        <v>428</v>
      </c>
      <c r="AE76" s="64" t="s">
        <v>428</v>
      </c>
      <c r="AF76" s="64" t="s">
        <v>428</v>
      </c>
      <c r="AG76" s="64" t="s">
        <v>428</v>
      </c>
      <c r="AH76" s="64">
        <v>851</v>
      </c>
      <c r="AI76" s="64">
        <v>492</v>
      </c>
      <c r="AJ76" s="64">
        <v>87</v>
      </c>
      <c r="AK76" s="64">
        <v>586</v>
      </c>
      <c r="AL76" s="64">
        <v>661</v>
      </c>
      <c r="AM76" s="64">
        <v>426</v>
      </c>
      <c r="AN76" s="64">
        <v>-244</v>
      </c>
      <c r="AO76" s="64">
        <v>1510</v>
      </c>
      <c r="AP76" s="64">
        <v>3545</v>
      </c>
      <c r="AQ76" s="64">
        <v>1956</v>
      </c>
      <c r="AR76" s="64">
        <v>966</v>
      </c>
      <c r="AS76" s="64">
        <v>112</v>
      </c>
      <c r="AT76" s="64">
        <v>167</v>
      </c>
      <c r="AU76" s="64">
        <v>681</v>
      </c>
      <c r="AV76" s="64">
        <v>1567</v>
      </c>
      <c r="AW76" s="64">
        <v>1127</v>
      </c>
      <c r="AX76" s="64">
        <v>3603</v>
      </c>
      <c r="AY76" s="64">
        <v>2747</v>
      </c>
      <c r="AZ76" s="64">
        <v>5398</v>
      </c>
      <c r="BA76" s="64">
        <v>3437</v>
      </c>
      <c r="BB76" s="64">
        <v>2261</v>
      </c>
      <c r="BC76" s="64">
        <v>6739</v>
      </c>
      <c r="BD76" s="64">
        <v>11932</v>
      </c>
      <c r="BE76" s="64">
        <v>15270</v>
      </c>
      <c r="BF76" s="64">
        <v>16880</v>
      </c>
      <c r="BG76" s="64">
        <v>12876</v>
      </c>
      <c r="BH76" s="64">
        <v>14296</v>
      </c>
      <c r="BI76" s="64">
        <v>10706</v>
      </c>
      <c r="BJ76" s="64">
        <v>3693</v>
      </c>
      <c r="BK76" s="64">
        <v>3425</v>
      </c>
      <c r="BL76" s="64">
        <v>-36</v>
      </c>
      <c r="BM76" s="64">
        <v>-4184</v>
      </c>
      <c r="BN76" s="64">
        <v>-9335</v>
      </c>
      <c r="BO76" s="64">
        <v>906</v>
      </c>
      <c r="BP76" s="64">
        <v>21515</v>
      </c>
      <c r="BQ76" s="64">
        <v>29651</v>
      </c>
      <c r="BR76" s="64">
        <v>29314</v>
      </c>
      <c r="BS76" s="64">
        <v>31726</v>
      </c>
      <c r="BT76" s="64">
        <v>21994</v>
      </c>
      <c r="BU76" s="64">
        <v>13799</v>
      </c>
      <c r="BV76" s="64">
        <v>12769</v>
      </c>
      <c r="BW76" s="64">
        <v>25461</v>
      </c>
      <c r="BX76" s="64">
        <v>16310</v>
      </c>
      <c r="BY76" s="64">
        <v>7993</v>
      </c>
      <c r="BZ76" s="64">
        <v>-9094</v>
      </c>
      <c r="CA76" s="64">
        <v>-30993</v>
      </c>
      <c r="CB76" s="64">
        <v>-33067</v>
      </c>
      <c r="CC76" s="64">
        <v>-16461</v>
      </c>
      <c r="CD76" s="64">
        <v>-23028</v>
      </c>
      <c r="CE76" s="64">
        <v>-3951</v>
      </c>
      <c r="CF76" s="64">
        <v>-6296</v>
      </c>
      <c r="CG76" s="64">
        <v>-5917</v>
      </c>
      <c r="CH76" s="64">
        <v>2251</v>
      </c>
      <c r="CI76" s="64">
        <v>32487</v>
      </c>
      <c r="CJ76" s="64">
        <v>54410</v>
      </c>
      <c r="CK76" s="64">
        <v>55603</v>
      </c>
      <c r="CL76" s="64">
        <v>57116</v>
      </c>
    </row>
    <row r="77" spans="1:90" s="52" customFormat="1" thickTop="1">
      <c r="A77" s="52">
        <v>74</v>
      </c>
      <c r="C77" s="63" t="s">
        <v>453</v>
      </c>
      <c r="D77" s="64" t="s">
        <v>428</v>
      </c>
      <c r="E77" s="64" t="s">
        <v>428</v>
      </c>
      <c r="F77" s="64" t="s">
        <v>428</v>
      </c>
      <c r="G77" s="64" t="s">
        <v>428</v>
      </c>
      <c r="H77" s="64" t="s">
        <v>428</v>
      </c>
      <c r="I77" s="64" t="s">
        <v>428</v>
      </c>
      <c r="J77" s="64" t="s">
        <v>428</v>
      </c>
      <c r="K77" s="64" t="s">
        <v>428</v>
      </c>
      <c r="L77" s="64" t="s">
        <v>428</v>
      </c>
      <c r="M77" s="64" t="s">
        <v>428</v>
      </c>
      <c r="N77" s="64" t="s">
        <v>428</v>
      </c>
      <c r="O77" s="64" t="s">
        <v>428</v>
      </c>
      <c r="P77" s="64" t="s">
        <v>428</v>
      </c>
      <c r="Q77" s="64" t="s">
        <v>428</v>
      </c>
      <c r="R77" s="64" t="s">
        <v>428</v>
      </c>
      <c r="S77" s="64" t="s">
        <v>428</v>
      </c>
      <c r="T77" s="64" t="s">
        <v>428</v>
      </c>
      <c r="U77" s="64" t="s">
        <v>428</v>
      </c>
      <c r="V77" s="64" t="s">
        <v>428</v>
      </c>
      <c r="W77" s="64" t="s">
        <v>428</v>
      </c>
      <c r="X77" s="64" t="s">
        <v>428</v>
      </c>
      <c r="Y77" s="64" t="s">
        <v>428</v>
      </c>
      <c r="Z77" s="64" t="s">
        <v>428</v>
      </c>
      <c r="AA77" s="64" t="s">
        <v>428</v>
      </c>
      <c r="AB77" s="64" t="s">
        <v>428</v>
      </c>
      <c r="AC77" s="64" t="s">
        <v>428</v>
      </c>
      <c r="AD77" s="64" t="s">
        <v>428</v>
      </c>
      <c r="AE77" s="64" t="s">
        <v>428</v>
      </c>
      <c r="AF77" s="64" t="s">
        <v>428</v>
      </c>
      <c r="AG77" s="64" t="s">
        <v>428</v>
      </c>
      <c r="AH77" s="64" t="s">
        <v>428</v>
      </c>
      <c r="AI77" s="64" t="s">
        <v>428</v>
      </c>
      <c r="AJ77" s="64" t="s">
        <v>428</v>
      </c>
      <c r="AK77" s="64" t="s">
        <v>428</v>
      </c>
      <c r="AL77" s="64" t="s">
        <v>428</v>
      </c>
      <c r="AM77" s="64" t="s">
        <v>428</v>
      </c>
      <c r="AN77" s="64" t="s">
        <v>428</v>
      </c>
      <c r="AO77" s="64" t="s">
        <v>428</v>
      </c>
      <c r="AP77" s="64" t="s">
        <v>428</v>
      </c>
      <c r="AQ77" s="64" t="s">
        <v>428</v>
      </c>
      <c r="AR77" s="64" t="s">
        <v>428</v>
      </c>
      <c r="AS77" s="64" t="s">
        <v>428</v>
      </c>
      <c r="AT77" s="64" t="s">
        <v>428</v>
      </c>
      <c r="AU77" s="64" t="s">
        <v>428</v>
      </c>
      <c r="AV77" s="64" t="s">
        <v>428</v>
      </c>
      <c r="AW77" s="64" t="s">
        <v>428</v>
      </c>
      <c r="AX77" s="64" t="s">
        <v>428</v>
      </c>
      <c r="AY77" s="64" t="s">
        <v>428</v>
      </c>
      <c r="AZ77" s="64">
        <v>-12437</v>
      </c>
      <c r="BA77" s="64" t="s">
        <v>428</v>
      </c>
      <c r="BB77" s="64">
        <v>1824</v>
      </c>
      <c r="BC77" s="64">
        <v>10613</v>
      </c>
      <c r="BD77" s="64" t="s">
        <v>428</v>
      </c>
      <c r="BE77" s="64" t="s">
        <v>428</v>
      </c>
      <c r="BF77" s="64" t="s">
        <v>428</v>
      </c>
      <c r="BG77" s="64" t="s">
        <v>428</v>
      </c>
      <c r="BH77" s="64" t="s">
        <v>428</v>
      </c>
      <c r="BI77" s="64" t="s">
        <v>428</v>
      </c>
      <c r="BJ77" s="64" t="s">
        <v>428</v>
      </c>
      <c r="BK77" s="64" t="s">
        <v>428</v>
      </c>
      <c r="BL77" s="64" t="s">
        <v>428</v>
      </c>
      <c r="BM77" s="64" t="s">
        <v>428</v>
      </c>
      <c r="BN77" s="64" t="s">
        <v>428</v>
      </c>
      <c r="BO77" s="64" t="s">
        <v>428</v>
      </c>
      <c r="BP77" s="64" t="s">
        <v>428</v>
      </c>
      <c r="BQ77" s="64" t="s">
        <v>428</v>
      </c>
      <c r="BR77" s="64" t="s">
        <v>428</v>
      </c>
      <c r="BS77" s="64" t="s">
        <v>428</v>
      </c>
      <c r="BT77" s="64" t="s">
        <v>428</v>
      </c>
      <c r="BU77" s="64" t="s">
        <v>428</v>
      </c>
      <c r="BV77" s="64" t="s">
        <v>428</v>
      </c>
      <c r="BW77" s="64" t="s">
        <v>428</v>
      </c>
      <c r="BX77" s="64" t="s">
        <v>428</v>
      </c>
      <c r="BY77" s="64" t="s">
        <v>428</v>
      </c>
      <c r="BZ77" s="64" t="s">
        <v>428</v>
      </c>
      <c r="CA77" s="64" t="s">
        <v>428</v>
      </c>
      <c r="CB77" s="64" t="s">
        <v>428</v>
      </c>
      <c r="CC77" s="64" t="s">
        <v>428</v>
      </c>
      <c r="CD77" s="64" t="s">
        <v>428</v>
      </c>
      <c r="CE77" s="64" t="s">
        <v>428</v>
      </c>
      <c r="CF77" s="64" t="s">
        <v>428</v>
      </c>
      <c r="CG77" s="64" t="s">
        <v>428</v>
      </c>
      <c r="CH77" s="64" t="s">
        <v>428</v>
      </c>
      <c r="CI77" s="64" t="s">
        <v>428</v>
      </c>
      <c r="CJ77" s="64" t="s">
        <v>428</v>
      </c>
      <c r="CK77" s="64" t="s">
        <v>428</v>
      </c>
      <c r="CL77" s="64" t="s">
        <v>428</v>
      </c>
    </row>
    <row r="78" spans="1:90" s="52" customFormat="1" ht="13">
      <c r="A78" s="52">
        <v>75</v>
      </c>
      <c r="C78" s="63" t="s">
        <v>447</v>
      </c>
      <c r="D78" s="59" t="s">
        <v>428</v>
      </c>
      <c r="E78" s="59" t="s">
        <v>428</v>
      </c>
      <c r="F78" s="59" t="s">
        <v>428</v>
      </c>
      <c r="G78" s="59" t="s">
        <v>428</v>
      </c>
      <c r="H78" s="59" t="s">
        <v>428</v>
      </c>
      <c r="I78" s="59" t="s">
        <v>428</v>
      </c>
      <c r="J78" s="59" t="s">
        <v>428</v>
      </c>
      <c r="K78" s="59" t="s">
        <v>428</v>
      </c>
      <c r="L78" s="59" t="s">
        <v>428</v>
      </c>
      <c r="M78" s="59" t="s">
        <v>428</v>
      </c>
      <c r="N78" s="59" t="s">
        <v>428</v>
      </c>
      <c r="O78" s="59" t="s">
        <v>428</v>
      </c>
      <c r="P78" s="59" t="s">
        <v>428</v>
      </c>
      <c r="Q78" s="59" t="s">
        <v>428</v>
      </c>
      <c r="R78" s="59" t="s">
        <v>428</v>
      </c>
      <c r="S78" s="59" t="s">
        <v>428</v>
      </c>
      <c r="T78" s="59" t="s">
        <v>428</v>
      </c>
      <c r="U78" s="59" t="s">
        <v>428</v>
      </c>
      <c r="V78" s="59" t="s">
        <v>428</v>
      </c>
      <c r="W78" s="59" t="s">
        <v>428</v>
      </c>
      <c r="X78" s="59" t="s">
        <v>428</v>
      </c>
      <c r="Y78" s="59" t="s">
        <v>428</v>
      </c>
      <c r="Z78" s="59" t="s">
        <v>428</v>
      </c>
      <c r="AA78" s="59" t="s">
        <v>428</v>
      </c>
      <c r="AB78" s="59" t="s">
        <v>428</v>
      </c>
      <c r="AC78" s="59" t="s">
        <v>428</v>
      </c>
      <c r="AD78" s="59" t="s">
        <v>428</v>
      </c>
      <c r="AE78" s="59" t="s">
        <v>428</v>
      </c>
      <c r="AF78" s="59" t="s">
        <v>428</v>
      </c>
      <c r="AG78" s="59" t="s">
        <v>428</v>
      </c>
      <c r="AH78" s="59" t="s">
        <v>428</v>
      </c>
      <c r="AI78" s="59" t="s">
        <v>428</v>
      </c>
      <c r="AJ78" s="59" t="s">
        <v>428</v>
      </c>
      <c r="AK78" s="59" t="s">
        <v>428</v>
      </c>
      <c r="AL78" s="59" t="s">
        <v>428</v>
      </c>
      <c r="AM78" s="59" t="s">
        <v>428</v>
      </c>
      <c r="AN78" s="59" t="s">
        <v>428</v>
      </c>
      <c r="AO78" s="59" t="s">
        <v>428</v>
      </c>
      <c r="AP78" s="59" t="s">
        <v>428</v>
      </c>
      <c r="AQ78" s="59" t="s">
        <v>428</v>
      </c>
      <c r="AR78" s="59" t="s">
        <v>428</v>
      </c>
      <c r="AS78" s="59" t="s">
        <v>428</v>
      </c>
      <c r="AT78" s="59" t="s">
        <v>428</v>
      </c>
      <c r="AU78" s="59" t="s">
        <v>428</v>
      </c>
      <c r="AV78" s="59" t="s">
        <v>428</v>
      </c>
      <c r="AW78" s="59" t="s">
        <v>428</v>
      </c>
      <c r="AX78" s="59" t="s">
        <v>428</v>
      </c>
      <c r="AY78" s="59" t="s">
        <v>428</v>
      </c>
      <c r="AZ78" s="59" t="s">
        <v>428</v>
      </c>
      <c r="BA78" s="59" t="s">
        <v>428</v>
      </c>
      <c r="BB78" s="59" t="s">
        <v>428</v>
      </c>
      <c r="BC78" s="59" t="s">
        <v>428</v>
      </c>
      <c r="BD78" s="59" t="s">
        <v>428</v>
      </c>
      <c r="BE78" s="59" t="s">
        <v>428</v>
      </c>
      <c r="BF78" s="59" t="s">
        <v>428</v>
      </c>
      <c r="BG78" s="59" t="s">
        <v>428</v>
      </c>
      <c r="BH78" s="59" t="s">
        <v>428</v>
      </c>
      <c r="BI78" s="59" t="s">
        <v>428</v>
      </c>
      <c r="BJ78" s="59" t="s">
        <v>428</v>
      </c>
      <c r="BK78" s="59" t="s">
        <v>428</v>
      </c>
      <c r="BL78" s="59" t="s">
        <v>428</v>
      </c>
      <c r="BM78" s="59">
        <v>1</v>
      </c>
      <c r="BN78" s="59" t="s">
        <v>428</v>
      </c>
      <c r="BO78" s="59" t="s">
        <v>428</v>
      </c>
      <c r="BP78" s="59">
        <v>-2</v>
      </c>
      <c r="BQ78" s="59" t="s">
        <v>428</v>
      </c>
      <c r="BR78" s="59" t="s">
        <v>428</v>
      </c>
      <c r="BS78" s="59" t="s">
        <v>428</v>
      </c>
      <c r="BT78" s="59">
        <v>-13</v>
      </c>
      <c r="BU78" s="59">
        <v>11</v>
      </c>
      <c r="BV78" s="59" t="s">
        <v>428</v>
      </c>
      <c r="BW78" s="59">
        <v>7</v>
      </c>
      <c r="BX78" s="59">
        <v>-8484</v>
      </c>
      <c r="BY78" s="59">
        <v>-27</v>
      </c>
      <c r="BZ78" s="59" t="s">
        <v>428</v>
      </c>
      <c r="CA78" s="59">
        <v>22</v>
      </c>
      <c r="CB78" s="59" t="s">
        <v>428</v>
      </c>
      <c r="CC78" s="59">
        <v>100</v>
      </c>
      <c r="CD78" s="59">
        <v>5</v>
      </c>
      <c r="CE78" s="59">
        <v>-1</v>
      </c>
      <c r="CF78" s="59">
        <v>-2</v>
      </c>
      <c r="CG78" s="59" t="s">
        <v>428</v>
      </c>
      <c r="CH78" s="59" t="s">
        <v>428</v>
      </c>
      <c r="CI78" s="59" t="s">
        <v>428</v>
      </c>
      <c r="CJ78" s="59" t="s">
        <v>428</v>
      </c>
      <c r="CK78" s="59" t="s">
        <v>428</v>
      </c>
      <c r="CL78" s="59" t="s">
        <v>428</v>
      </c>
    </row>
    <row r="79" spans="1:90" s="52" customFormat="1" ht="13">
      <c r="A79" s="52">
        <v>76</v>
      </c>
      <c r="C79" s="63" t="s">
        <v>468</v>
      </c>
      <c r="D79" s="59" t="s">
        <v>428</v>
      </c>
      <c r="E79" s="59" t="s">
        <v>428</v>
      </c>
      <c r="F79" s="59" t="s">
        <v>428</v>
      </c>
      <c r="G79" s="59" t="s">
        <v>428</v>
      </c>
      <c r="H79" s="59" t="s">
        <v>428</v>
      </c>
      <c r="I79" s="59" t="s">
        <v>428</v>
      </c>
      <c r="J79" s="59" t="s">
        <v>428</v>
      </c>
      <c r="K79" s="59" t="s">
        <v>428</v>
      </c>
      <c r="L79" s="59" t="s">
        <v>428</v>
      </c>
      <c r="M79" s="59" t="s">
        <v>428</v>
      </c>
      <c r="N79" s="59" t="s">
        <v>428</v>
      </c>
      <c r="O79" s="59" t="s">
        <v>428</v>
      </c>
      <c r="P79" s="59" t="s">
        <v>428</v>
      </c>
      <c r="Q79" s="59" t="s">
        <v>428</v>
      </c>
      <c r="R79" s="59" t="s">
        <v>428</v>
      </c>
      <c r="S79" s="59" t="s">
        <v>428</v>
      </c>
      <c r="T79" s="59" t="s">
        <v>428</v>
      </c>
      <c r="U79" s="59" t="s">
        <v>428</v>
      </c>
      <c r="V79" s="59" t="s">
        <v>428</v>
      </c>
      <c r="W79" s="59" t="s">
        <v>428</v>
      </c>
      <c r="X79" s="59" t="s">
        <v>428</v>
      </c>
      <c r="Y79" s="59" t="s">
        <v>428</v>
      </c>
      <c r="Z79" s="59" t="s">
        <v>428</v>
      </c>
      <c r="AA79" s="59" t="s">
        <v>428</v>
      </c>
      <c r="AB79" s="59" t="s">
        <v>428</v>
      </c>
      <c r="AC79" s="59" t="s">
        <v>428</v>
      </c>
      <c r="AD79" s="59" t="s">
        <v>428</v>
      </c>
      <c r="AE79" s="59" t="s">
        <v>428</v>
      </c>
      <c r="AF79" s="59" t="s">
        <v>428</v>
      </c>
      <c r="AG79" s="59" t="s">
        <v>428</v>
      </c>
      <c r="AH79" s="59" t="s">
        <v>428</v>
      </c>
      <c r="AI79" s="59" t="s">
        <v>428</v>
      </c>
      <c r="AJ79" s="59" t="s">
        <v>428</v>
      </c>
      <c r="AK79" s="59" t="s">
        <v>428</v>
      </c>
      <c r="AL79" s="59" t="s">
        <v>428</v>
      </c>
      <c r="AM79" s="59" t="s">
        <v>428</v>
      </c>
      <c r="AN79" s="59" t="s">
        <v>428</v>
      </c>
      <c r="AO79" s="59" t="s">
        <v>428</v>
      </c>
      <c r="AP79" s="59" t="s">
        <v>428</v>
      </c>
      <c r="AQ79" s="59" t="s">
        <v>428</v>
      </c>
      <c r="AR79" s="59" t="s">
        <v>428</v>
      </c>
      <c r="AS79" s="59" t="s">
        <v>428</v>
      </c>
      <c r="AT79" s="59" t="s">
        <v>428</v>
      </c>
      <c r="AU79" s="59" t="s">
        <v>428</v>
      </c>
      <c r="AV79" s="59" t="s">
        <v>428</v>
      </c>
      <c r="AW79" s="59" t="s">
        <v>428</v>
      </c>
      <c r="AX79" s="59" t="s">
        <v>428</v>
      </c>
      <c r="AY79" s="59" t="s">
        <v>428</v>
      </c>
      <c r="AZ79" s="59" t="s">
        <v>428</v>
      </c>
      <c r="BA79" s="59" t="s">
        <v>428</v>
      </c>
      <c r="BB79" s="59" t="s">
        <v>428</v>
      </c>
      <c r="BC79" s="59" t="s">
        <v>428</v>
      </c>
      <c r="BD79" s="59" t="s">
        <v>428</v>
      </c>
      <c r="BE79" s="59" t="s">
        <v>428</v>
      </c>
      <c r="BF79" s="59" t="s">
        <v>428</v>
      </c>
      <c r="BG79" s="59" t="s">
        <v>428</v>
      </c>
      <c r="BH79" s="59" t="s">
        <v>428</v>
      </c>
      <c r="BI79" s="59" t="s">
        <v>428</v>
      </c>
      <c r="BJ79" s="59">
        <v>1805</v>
      </c>
      <c r="BK79" s="59" t="s">
        <v>428</v>
      </c>
      <c r="BL79" s="59" t="s">
        <v>428</v>
      </c>
      <c r="BM79" s="59" t="s">
        <v>428</v>
      </c>
      <c r="BN79" s="59" t="s">
        <v>428</v>
      </c>
      <c r="BO79" s="59" t="s">
        <v>428</v>
      </c>
      <c r="BP79" s="59" t="s">
        <v>428</v>
      </c>
      <c r="BQ79" s="59" t="s">
        <v>428</v>
      </c>
      <c r="BR79" s="59" t="s">
        <v>428</v>
      </c>
      <c r="BS79" s="59" t="s">
        <v>428</v>
      </c>
      <c r="BT79" s="59" t="s">
        <v>428</v>
      </c>
      <c r="BU79" s="59" t="s">
        <v>428</v>
      </c>
      <c r="BV79" s="59" t="s">
        <v>428</v>
      </c>
      <c r="BW79" s="59" t="s">
        <v>428</v>
      </c>
      <c r="BX79" s="59" t="s">
        <v>428</v>
      </c>
      <c r="BY79" s="59" t="s">
        <v>428</v>
      </c>
      <c r="BZ79" s="59" t="s">
        <v>428</v>
      </c>
      <c r="CA79" s="59" t="s">
        <v>428</v>
      </c>
      <c r="CB79" s="59" t="s">
        <v>428</v>
      </c>
      <c r="CC79" s="59" t="s">
        <v>428</v>
      </c>
      <c r="CD79" s="59" t="s">
        <v>428</v>
      </c>
      <c r="CE79" s="59" t="s">
        <v>428</v>
      </c>
      <c r="CF79" s="59" t="s">
        <v>428</v>
      </c>
      <c r="CG79" s="59" t="s">
        <v>428</v>
      </c>
      <c r="CH79" s="59" t="s">
        <v>428</v>
      </c>
      <c r="CI79" s="59" t="s">
        <v>428</v>
      </c>
      <c r="CJ79" s="59" t="s">
        <v>428</v>
      </c>
      <c r="CK79" s="59" t="s">
        <v>428</v>
      </c>
      <c r="CL79" s="59" t="s">
        <v>428</v>
      </c>
    </row>
    <row r="80" spans="1:90" s="52" customFormat="1" thickBot="1">
      <c r="A80" s="52">
        <v>77</v>
      </c>
      <c r="C80" s="63" t="s">
        <v>448</v>
      </c>
      <c r="D80" s="59" t="s">
        <v>428</v>
      </c>
      <c r="E80" s="59" t="s">
        <v>428</v>
      </c>
      <c r="F80" s="59" t="s">
        <v>428</v>
      </c>
      <c r="G80" s="59" t="s">
        <v>428</v>
      </c>
      <c r="H80" s="59" t="s">
        <v>428</v>
      </c>
      <c r="I80" s="59" t="s">
        <v>428</v>
      </c>
      <c r="J80" s="59" t="s">
        <v>428</v>
      </c>
      <c r="K80" s="59" t="s">
        <v>428</v>
      </c>
      <c r="L80" s="59" t="s">
        <v>428</v>
      </c>
      <c r="M80" s="59" t="s">
        <v>428</v>
      </c>
      <c r="N80" s="59" t="s">
        <v>428</v>
      </c>
      <c r="O80" s="59" t="s">
        <v>428</v>
      </c>
      <c r="P80" s="59" t="s">
        <v>428</v>
      </c>
      <c r="Q80" s="59" t="s">
        <v>428</v>
      </c>
      <c r="R80" s="59" t="s">
        <v>428</v>
      </c>
      <c r="S80" s="59" t="s">
        <v>428</v>
      </c>
      <c r="T80" s="59" t="s">
        <v>428</v>
      </c>
      <c r="U80" s="59" t="s">
        <v>428</v>
      </c>
      <c r="V80" s="59" t="s">
        <v>428</v>
      </c>
      <c r="W80" s="59" t="s">
        <v>428</v>
      </c>
      <c r="X80" s="59" t="s">
        <v>428</v>
      </c>
      <c r="Y80" s="59" t="s">
        <v>428</v>
      </c>
      <c r="Z80" s="59" t="s">
        <v>428</v>
      </c>
      <c r="AA80" s="59" t="s">
        <v>428</v>
      </c>
      <c r="AB80" s="59" t="s">
        <v>428</v>
      </c>
      <c r="AC80" s="59" t="s">
        <v>428</v>
      </c>
      <c r="AD80" s="59" t="s">
        <v>428</v>
      </c>
      <c r="AE80" s="59" t="s">
        <v>428</v>
      </c>
      <c r="AF80" s="59" t="s">
        <v>428</v>
      </c>
      <c r="AG80" s="59" t="s">
        <v>428</v>
      </c>
      <c r="AH80" s="59">
        <v>851</v>
      </c>
      <c r="AI80" s="59">
        <v>1343</v>
      </c>
      <c r="AJ80" s="59">
        <v>1431</v>
      </c>
      <c r="AK80" s="59">
        <v>2017</v>
      </c>
      <c r="AL80" s="59">
        <v>2677</v>
      </c>
      <c r="AM80" s="59">
        <v>3103</v>
      </c>
      <c r="AN80" s="59">
        <v>2859</v>
      </c>
      <c r="AO80" s="59">
        <v>4369</v>
      </c>
      <c r="AP80" s="59">
        <v>7914</v>
      </c>
      <c r="AQ80" s="59">
        <v>9870</v>
      </c>
      <c r="AR80" s="59">
        <v>10836</v>
      </c>
      <c r="AS80" s="59">
        <v>10948</v>
      </c>
      <c r="AT80" s="59">
        <v>11115</v>
      </c>
      <c r="AU80" s="59">
        <v>11796</v>
      </c>
      <c r="AV80" s="59">
        <v>13363</v>
      </c>
      <c r="AW80" s="59">
        <v>14490</v>
      </c>
      <c r="AX80" s="59">
        <v>18093</v>
      </c>
      <c r="AY80" s="59">
        <v>20840</v>
      </c>
      <c r="AZ80" s="59">
        <v>13800</v>
      </c>
      <c r="BA80" s="59">
        <v>17237</v>
      </c>
      <c r="BB80" s="59">
        <v>21322</v>
      </c>
      <c r="BC80" s="59">
        <v>38674</v>
      </c>
      <c r="BD80" s="59">
        <v>50606</v>
      </c>
      <c r="BE80" s="59">
        <v>65876</v>
      </c>
      <c r="BF80" s="59">
        <v>82755</v>
      </c>
      <c r="BG80" s="59">
        <v>95631</v>
      </c>
      <c r="BH80" s="59">
        <v>109927</v>
      </c>
      <c r="BI80" s="59">
        <v>120633</v>
      </c>
      <c r="BJ80" s="59">
        <v>126131</v>
      </c>
      <c r="BK80" s="59">
        <v>129555</v>
      </c>
      <c r="BL80" s="59">
        <v>129520</v>
      </c>
      <c r="BM80" s="59">
        <v>125337</v>
      </c>
      <c r="BN80" s="59">
        <v>116002</v>
      </c>
      <c r="BO80" s="59">
        <v>116908</v>
      </c>
      <c r="BP80" s="59">
        <v>138421</v>
      </c>
      <c r="BQ80" s="59">
        <v>168072</v>
      </c>
      <c r="BR80" s="59">
        <v>197385</v>
      </c>
      <c r="BS80" s="59">
        <v>229111</v>
      </c>
      <c r="BT80" s="59">
        <v>251091</v>
      </c>
      <c r="BU80" s="59">
        <v>264901</v>
      </c>
      <c r="BV80" s="59">
        <v>277670</v>
      </c>
      <c r="BW80" s="59">
        <v>303138</v>
      </c>
      <c r="BX80" s="59">
        <v>310964</v>
      </c>
      <c r="BY80" s="59">
        <v>318930</v>
      </c>
      <c r="BZ80" s="59">
        <v>309836</v>
      </c>
      <c r="CA80" s="59">
        <v>278865</v>
      </c>
      <c r="CB80" s="59">
        <v>245698</v>
      </c>
      <c r="CC80" s="59">
        <v>229337</v>
      </c>
      <c r="CD80" s="59">
        <v>206314</v>
      </c>
      <c r="CE80" s="59">
        <v>202362</v>
      </c>
      <c r="CF80" s="59">
        <v>196064</v>
      </c>
      <c r="CG80" s="59">
        <v>190147</v>
      </c>
      <c r="CH80" s="59">
        <v>192398</v>
      </c>
      <c r="CI80" s="59">
        <v>224885</v>
      </c>
      <c r="CJ80" s="59">
        <v>279295</v>
      </c>
      <c r="CK80" s="59">
        <v>334898</v>
      </c>
      <c r="CL80" s="59">
        <v>392014</v>
      </c>
    </row>
    <row r="81" spans="1:90" s="52" customFormat="1" thickTop="1">
      <c r="A81" s="52">
        <v>78</v>
      </c>
      <c r="C81" s="63" t="s">
        <v>449</v>
      </c>
      <c r="D81" s="64" t="s">
        <v>428</v>
      </c>
      <c r="E81" s="64" t="s">
        <v>428</v>
      </c>
      <c r="F81" s="64" t="s">
        <v>428</v>
      </c>
      <c r="G81" s="64" t="s">
        <v>428</v>
      </c>
      <c r="H81" s="64" t="s">
        <v>428</v>
      </c>
      <c r="I81" s="64" t="s">
        <v>428</v>
      </c>
      <c r="J81" s="64" t="s">
        <v>428</v>
      </c>
      <c r="K81" s="64" t="s">
        <v>428</v>
      </c>
      <c r="L81" s="64" t="s">
        <v>428</v>
      </c>
      <c r="M81" s="64" t="s">
        <v>428</v>
      </c>
      <c r="N81" s="64" t="s">
        <v>428</v>
      </c>
      <c r="O81" s="64" t="s">
        <v>428</v>
      </c>
      <c r="P81" s="64" t="s">
        <v>428</v>
      </c>
      <c r="Q81" s="64" t="s">
        <v>428</v>
      </c>
      <c r="R81" s="64" t="s">
        <v>428</v>
      </c>
      <c r="S81" s="64" t="s">
        <v>428</v>
      </c>
      <c r="T81" s="64" t="s">
        <v>428</v>
      </c>
      <c r="U81" s="64" t="s">
        <v>428</v>
      </c>
      <c r="V81" s="64" t="s">
        <v>428</v>
      </c>
      <c r="W81" s="64" t="s">
        <v>428</v>
      </c>
      <c r="X81" s="64" t="s">
        <v>428</v>
      </c>
      <c r="Y81" s="64" t="s">
        <v>428</v>
      </c>
      <c r="Z81" s="64" t="s">
        <v>428</v>
      </c>
      <c r="AA81" s="64" t="s">
        <v>428</v>
      </c>
      <c r="AB81" s="64" t="s">
        <v>428</v>
      </c>
      <c r="AC81" s="64" t="s">
        <v>428</v>
      </c>
      <c r="AD81" s="64" t="s">
        <v>428</v>
      </c>
      <c r="AE81" s="64" t="s">
        <v>428</v>
      </c>
      <c r="AF81" s="64" t="s">
        <v>428</v>
      </c>
      <c r="AG81" s="64" t="s">
        <v>428</v>
      </c>
      <c r="AH81" s="64">
        <v>786</v>
      </c>
      <c r="AI81" s="64">
        <v>1298</v>
      </c>
      <c r="AJ81" s="64">
        <v>1370</v>
      </c>
      <c r="AK81" s="64">
        <v>2001</v>
      </c>
      <c r="AL81" s="64">
        <v>2653</v>
      </c>
      <c r="AM81" s="64">
        <v>3030</v>
      </c>
      <c r="AN81" s="64">
        <v>2884</v>
      </c>
      <c r="AO81" s="64">
        <v>4222</v>
      </c>
      <c r="AP81" s="64">
        <v>7864</v>
      </c>
      <c r="AQ81" s="64">
        <v>9761</v>
      </c>
      <c r="AR81" s="64">
        <v>10942</v>
      </c>
      <c r="AS81" s="64">
        <v>11009</v>
      </c>
      <c r="AT81" s="64">
        <v>10974</v>
      </c>
      <c r="AU81" s="64">
        <v>11757</v>
      </c>
      <c r="AV81" s="64">
        <v>13164</v>
      </c>
      <c r="AW81" s="64">
        <v>14656</v>
      </c>
      <c r="AX81" s="64">
        <v>18191</v>
      </c>
      <c r="AY81" s="64">
        <v>20800</v>
      </c>
      <c r="AZ81" s="64">
        <v>13514</v>
      </c>
      <c r="BA81" s="64">
        <v>16982</v>
      </c>
      <c r="BB81" s="64">
        <v>21176</v>
      </c>
      <c r="BC81" s="64">
        <v>38340</v>
      </c>
      <c r="BD81" s="64">
        <v>50779</v>
      </c>
      <c r="BE81" s="64">
        <v>66078</v>
      </c>
      <c r="BF81" s="64">
        <v>82689</v>
      </c>
      <c r="BG81" s="64">
        <v>96249</v>
      </c>
      <c r="BH81" s="64">
        <v>109327</v>
      </c>
      <c r="BI81" s="64">
        <v>120647</v>
      </c>
      <c r="BJ81" s="64">
        <v>126078</v>
      </c>
      <c r="BK81" s="64">
        <v>128716</v>
      </c>
      <c r="BL81" s="64">
        <v>129864</v>
      </c>
      <c r="BM81" s="64">
        <v>125805</v>
      </c>
      <c r="BN81" s="64">
        <v>116621</v>
      </c>
      <c r="BO81" s="64">
        <v>118236</v>
      </c>
      <c r="BP81" s="64">
        <v>153767</v>
      </c>
      <c r="BQ81" s="64">
        <v>168859</v>
      </c>
      <c r="BR81" s="64">
        <v>197137</v>
      </c>
      <c r="BS81" s="64">
        <v>228906</v>
      </c>
      <c r="BT81" s="64">
        <v>251297</v>
      </c>
      <c r="BU81" s="64">
        <v>264901</v>
      </c>
      <c r="BV81" s="64">
        <v>277268</v>
      </c>
      <c r="BW81" s="64">
        <v>302193</v>
      </c>
      <c r="BX81" s="64">
        <v>319377</v>
      </c>
      <c r="BY81" s="64">
        <v>318741</v>
      </c>
      <c r="BZ81" s="64">
        <v>309702</v>
      </c>
      <c r="CA81" s="64">
        <v>278221</v>
      </c>
      <c r="CB81" s="64">
        <v>245939</v>
      </c>
      <c r="CC81" s="64">
        <v>228292</v>
      </c>
      <c r="CD81" s="64">
        <v>206010</v>
      </c>
      <c r="CE81" s="64">
        <v>202207</v>
      </c>
      <c r="CF81" s="64">
        <v>195458</v>
      </c>
      <c r="CG81" s="64">
        <v>189724</v>
      </c>
      <c r="CH81" s="64">
        <v>187696</v>
      </c>
      <c r="CI81" s="64">
        <v>224885</v>
      </c>
      <c r="CJ81" s="64">
        <v>279295</v>
      </c>
      <c r="CK81" s="64">
        <v>334898</v>
      </c>
      <c r="CL81" s="64">
        <v>392014</v>
      </c>
    </row>
    <row r="82" spans="1:90" s="52" customFormat="1" ht="13">
      <c r="A82" s="52">
        <v>79</v>
      </c>
      <c r="C82" s="63" t="s">
        <v>450</v>
      </c>
      <c r="D82" s="59" t="s">
        <v>428</v>
      </c>
      <c r="E82" s="59" t="s">
        <v>428</v>
      </c>
      <c r="F82" s="59" t="s">
        <v>428</v>
      </c>
      <c r="G82" s="59" t="s">
        <v>428</v>
      </c>
      <c r="H82" s="59" t="s">
        <v>428</v>
      </c>
      <c r="I82" s="59" t="s">
        <v>428</v>
      </c>
      <c r="J82" s="59" t="s">
        <v>428</v>
      </c>
      <c r="K82" s="59" t="s">
        <v>428</v>
      </c>
      <c r="L82" s="59" t="s">
        <v>428</v>
      </c>
      <c r="M82" s="59" t="s">
        <v>428</v>
      </c>
      <c r="N82" s="59" t="s">
        <v>428</v>
      </c>
      <c r="O82" s="59" t="s">
        <v>428</v>
      </c>
      <c r="P82" s="59" t="s">
        <v>428</v>
      </c>
      <c r="Q82" s="59" t="s">
        <v>428</v>
      </c>
      <c r="R82" s="59" t="s">
        <v>428</v>
      </c>
      <c r="S82" s="59" t="s">
        <v>428</v>
      </c>
      <c r="T82" s="59" t="s">
        <v>428</v>
      </c>
      <c r="U82" s="59" t="s">
        <v>428</v>
      </c>
      <c r="V82" s="59" t="s">
        <v>428</v>
      </c>
      <c r="W82" s="59" t="s">
        <v>428</v>
      </c>
      <c r="X82" s="59" t="s">
        <v>428</v>
      </c>
      <c r="Y82" s="59" t="s">
        <v>428</v>
      </c>
      <c r="Z82" s="59" t="s">
        <v>428</v>
      </c>
      <c r="AA82" s="59" t="s">
        <v>428</v>
      </c>
      <c r="AB82" s="59" t="s">
        <v>428</v>
      </c>
      <c r="AC82" s="59" t="s">
        <v>428</v>
      </c>
      <c r="AD82" s="59" t="s">
        <v>428</v>
      </c>
      <c r="AE82" s="59" t="s">
        <v>428</v>
      </c>
      <c r="AF82" s="59" t="s">
        <v>428</v>
      </c>
      <c r="AG82" s="59" t="s">
        <v>428</v>
      </c>
      <c r="AH82" s="59">
        <v>65</v>
      </c>
      <c r="AI82" s="59">
        <v>45</v>
      </c>
      <c r="AJ82" s="59">
        <v>60</v>
      </c>
      <c r="AK82" s="59">
        <v>15</v>
      </c>
      <c r="AL82" s="59">
        <v>24</v>
      </c>
      <c r="AM82" s="59">
        <v>73</v>
      </c>
      <c r="AN82" s="59">
        <v>-25</v>
      </c>
      <c r="AO82" s="59">
        <v>146</v>
      </c>
      <c r="AP82" s="59">
        <v>49</v>
      </c>
      <c r="AQ82" s="59">
        <v>109</v>
      </c>
      <c r="AR82" s="59">
        <v>-106</v>
      </c>
      <c r="AS82" s="59">
        <v>-62</v>
      </c>
      <c r="AT82" s="59">
        <v>141</v>
      </c>
      <c r="AU82" s="59">
        <v>39</v>
      </c>
      <c r="AV82" s="59">
        <v>199</v>
      </c>
      <c r="AW82" s="59">
        <v>-166</v>
      </c>
      <c r="AX82" s="59">
        <v>-99</v>
      </c>
      <c r="AY82" s="59">
        <v>40</v>
      </c>
      <c r="AZ82" s="59">
        <v>286</v>
      </c>
      <c r="BA82" s="59">
        <v>255</v>
      </c>
      <c r="BB82" s="59">
        <v>146</v>
      </c>
      <c r="BC82" s="59">
        <v>334</v>
      </c>
      <c r="BD82" s="59">
        <v>-173</v>
      </c>
      <c r="BE82" s="59">
        <v>-202</v>
      </c>
      <c r="BF82" s="59">
        <v>66</v>
      </c>
      <c r="BG82" s="59">
        <v>-617</v>
      </c>
      <c r="BH82" s="59">
        <v>600</v>
      </c>
      <c r="BI82" s="59">
        <v>-13</v>
      </c>
      <c r="BJ82" s="59">
        <v>52</v>
      </c>
      <c r="BK82" s="59">
        <v>840</v>
      </c>
      <c r="BL82" s="59">
        <v>-344</v>
      </c>
      <c r="BM82" s="59">
        <v>-467</v>
      </c>
      <c r="BN82" s="59">
        <v>-619</v>
      </c>
      <c r="BO82" s="59">
        <v>-1328</v>
      </c>
      <c r="BP82" s="59">
        <v>-15346</v>
      </c>
      <c r="BQ82" s="59">
        <v>-787</v>
      </c>
      <c r="BR82" s="59">
        <v>247</v>
      </c>
      <c r="BS82" s="59">
        <v>204</v>
      </c>
      <c r="BT82" s="59">
        <v>-206</v>
      </c>
      <c r="BU82" s="59" t="s">
        <v>428</v>
      </c>
      <c r="BV82" s="59">
        <v>402</v>
      </c>
      <c r="BW82" s="59">
        <v>945</v>
      </c>
      <c r="BX82" s="59">
        <v>-8413</v>
      </c>
      <c r="BY82" s="59">
        <v>189</v>
      </c>
      <c r="BZ82" s="59">
        <v>134</v>
      </c>
      <c r="CA82" s="59">
        <v>644</v>
      </c>
      <c r="CB82" s="59">
        <v>-241</v>
      </c>
      <c r="CC82" s="59">
        <v>1045</v>
      </c>
      <c r="CD82" s="59">
        <v>304</v>
      </c>
      <c r="CE82" s="59">
        <v>155</v>
      </c>
      <c r="CF82" s="59">
        <v>606</v>
      </c>
      <c r="CG82" s="59">
        <v>423</v>
      </c>
      <c r="CH82" s="59">
        <v>4702</v>
      </c>
      <c r="CI82" s="59" t="s">
        <v>428</v>
      </c>
      <c r="CJ82" s="59" t="s">
        <v>428</v>
      </c>
      <c r="CK82" s="59" t="s">
        <v>428</v>
      </c>
      <c r="CL82" s="59" t="s">
        <v>428</v>
      </c>
    </row>
    <row r="83" spans="1:90" s="52" customFormat="1" ht="13">
      <c r="A83" s="52">
        <v>80</v>
      </c>
      <c r="C83" s="55" t="s">
        <v>469</v>
      </c>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c r="BO83" s="56"/>
      <c r="BP83" s="56"/>
      <c r="BQ83" s="56"/>
      <c r="BR83" s="56"/>
      <c r="BS83" s="56"/>
      <c r="BT83" s="56"/>
      <c r="BU83" s="56"/>
      <c r="BV83" s="56"/>
      <c r="BW83" s="56"/>
      <c r="BX83" s="56"/>
      <c r="BY83" s="56"/>
      <c r="BZ83" s="56"/>
      <c r="CA83" s="56"/>
      <c r="CB83" s="56"/>
      <c r="CC83" s="56"/>
      <c r="CD83" s="56"/>
      <c r="CE83" s="56"/>
      <c r="CF83" s="56"/>
      <c r="CG83" s="56"/>
      <c r="CH83" s="56"/>
      <c r="CI83" s="56"/>
      <c r="CJ83" s="56"/>
      <c r="CK83" s="56"/>
      <c r="CL83" s="56"/>
    </row>
    <row r="84" spans="1:90" s="52" customFormat="1" ht="13">
      <c r="A84" s="52">
        <v>81</v>
      </c>
      <c r="C84" s="57" t="s">
        <v>426</v>
      </c>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c r="BO84" s="56"/>
      <c r="BP84" s="56"/>
      <c r="BQ84" s="56"/>
      <c r="BR84" s="56"/>
      <c r="BS84" s="56"/>
      <c r="BT84" s="56"/>
      <c r="BU84" s="56"/>
      <c r="BV84" s="56"/>
      <c r="BW84" s="56"/>
      <c r="BX84" s="56"/>
      <c r="BY84" s="56"/>
      <c r="BZ84" s="56"/>
      <c r="CA84" s="56"/>
      <c r="CB84" s="56"/>
      <c r="CC84" s="56"/>
      <c r="CD84" s="56"/>
      <c r="CE84" s="56"/>
      <c r="CF84" s="56"/>
      <c r="CG84" s="56"/>
      <c r="CH84" s="56"/>
      <c r="CI84" s="56"/>
      <c r="CJ84" s="56"/>
      <c r="CK84" s="56"/>
      <c r="CL84" s="56"/>
    </row>
    <row r="85" spans="1:90" s="52" customFormat="1">
      <c r="A85" s="52">
        <v>82</v>
      </c>
      <c r="C85" s="58" t="s">
        <v>470</v>
      </c>
      <c r="D85" s="59" t="s">
        <v>428</v>
      </c>
      <c r="E85" s="59" t="s">
        <v>428</v>
      </c>
      <c r="F85" s="59" t="s">
        <v>428</v>
      </c>
      <c r="G85" s="59" t="s">
        <v>428</v>
      </c>
      <c r="H85" s="59" t="s">
        <v>428</v>
      </c>
      <c r="I85" s="59" t="s">
        <v>428</v>
      </c>
      <c r="J85" s="59" t="s">
        <v>428</v>
      </c>
      <c r="K85" s="59" t="s">
        <v>428</v>
      </c>
      <c r="L85" s="59" t="s">
        <v>428</v>
      </c>
      <c r="M85" s="59" t="s">
        <v>428</v>
      </c>
      <c r="N85" s="59" t="s">
        <v>428</v>
      </c>
      <c r="O85" s="59" t="s">
        <v>428</v>
      </c>
      <c r="P85" s="59" t="s">
        <v>428</v>
      </c>
      <c r="Q85" s="59" t="s">
        <v>428</v>
      </c>
      <c r="R85" s="59" t="s">
        <v>428</v>
      </c>
      <c r="S85" s="59" t="s">
        <v>428</v>
      </c>
      <c r="T85" s="59" t="s">
        <v>428</v>
      </c>
      <c r="U85" s="59" t="s">
        <v>428</v>
      </c>
      <c r="V85" s="59" t="s">
        <v>428</v>
      </c>
      <c r="W85" s="59" t="s">
        <v>428</v>
      </c>
      <c r="X85" s="59" t="s">
        <v>428</v>
      </c>
      <c r="Y85" s="59" t="s">
        <v>428</v>
      </c>
      <c r="Z85" s="59" t="s">
        <v>428</v>
      </c>
      <c r="AA85" s="59" t="s">
        <v>428</v>
      </c>
      <c r="AB85" s="59" t="s">
        <v>428</v>
      </c>
      <c r="AC85" s="59" t="s">
        <v>428</v>
      </c>
      <c r="AD85" s="59" t="s">
        <v>428</v>
      </c>
      <c r="AE85" s="59" t="s">
        <v>428</v>
      </c>
      <c r="AF85" s="59" t="s">
        <v>428</v>
      </c>
      <c r="AG85" s="59" t="s">
        <v>428</v>
      </c>
      <c r="AH85" s="59" t="s">
        <v>428</v>
      </c>
      <c r="AI85" s="59" t="s">
        <v>428</v>
      </c>
      <c r="AJ85" s="59" t="s">
        <v>428</v>
      </c>
      <c r="AK85" s="59" t="s">
        <v>428</v>
      </c>
      <c r="AL85" s="59" t="s">
        <v>428</v>
      </c>
      <c r="AM85" s="59" t="s">
        <v>428</v>
      </c>
      <c r="AN85" s="59" t="s">
        <v>428</v>
      </c>
      <c r="AO85" s="59" t="s">
        <v>428</v>
      </c>
      <c r="AP85" s="59" t="s">
        <v>428</v>
      </c>
      <c r="AQ85" s="59" t="s">
        <v>428</v>
      </c>
      <c r="AR85" s="59" t="s">
        <v>428</v>
      </c>
      <c r="AS85" s="59" t="s">
        <v>428</v>
      </c>
      <c r="AT85" s="59" t="s">
        <v>428</v>
      </c>
      <c r="AU85" s="59" t="s">
        <v>428</v>
      </c>
      <c r="AV85" s="59" t="s">
        <v>428</v>
      </c>
      <c r="AW85" s="59" t="s">
        <v>428</v>
      </c>
      <c r="AX85" s="59" t="s">
        <v>428</v>
      </c>
      <c r="AY85" s="59" t="s">
        <v>428</v>
      </c>
      <c r="AZ85" s="59" t="s">
        <v>428</v>
      </c>
      <c r="BA85" s="59" t="s">
        <v>428</v>
      </c>
      <c r="BB85" s="59" t="s">
        <v>428</v>
      </c>
      <c r="BC85" s="59" t="s">
        <v>428</v>
      </c>
      <c r="BD85" s="59" t="s">
        <v>428</v>
      </c>
      <c r="BE85" s="59" t="s">
        <v>428</v>
      </c>
      <c r="BF85" s="59">
        <v>527</v>
      </c>
      <c r="BG85" s="59">
        <v>-527</v>
      </c>
      <c r="BH85" s="59" t="s">
        <v>428</v>
      </c>
      <c r="BI85" s="59" t="s">
        <v>428</v>
      </c>
      <c r="BJ85" s="59" t="s">
        <v>428</v>
      </c>
      <c r="BK85" s="59" t="s">
        <v>428</v>
      </c>
      <c r="BL85" s="59" t="s">
        <v>428</v>
      </c>
      <c r="BM85" s="59" t="s">
        <v>428</v>
      </c>
      <c r="BN85" s="59" t="s">
        <v>428</v>
      </c>
      <c r="BO85" s="59" t="s">
        <v>428</v>
      </c>
      <c r="BP85" s="59" t="s">
        <v>428</v>
      </c>
      <c r="BQ85" s="59" t="s">
        <v>428</v>
      </c>
      <c r="BR85" s="59" t="s">
        <v>428</v>
      </c>
      <c r="BS85" s="59" t="s">
        <v>428</v>
      </c>
      <c r="BT85" s="59" t="s">
        <v>428</v>
      </c>
      <c r="BU85" s="59" t="s">
        <v>428</v>
      </c>
      <c r="BV85" s="59" t="s">
        <v>428</v>
      </c>
      <c r="BW85" s="59" t="s">
        <v>428</v>
      </c>
      <c r="BX85" s="59" t="s">
        <v>428</v>
      </c>
      <c r="BY85" s="59" t="s">
        <v>428</v>
      </c>
      <c r="BZ85" s="59" t="s">
        <v>428</v>
      </c>
      <c r="CA85" s="59" t="s">
        <v>428</v>
      </c>
      <c r="CB85" s="59" t="s">
        <v>428</v>
      </c>
      <c r="CC85" s="59" t="s">
        <v>428</v>
      </c>
      <c r="CD85" s="59" t="s">
        <v>428</v>
      </c>
      <c r="CE85" s="59" t="s">
        <v>428</v>
      </c>
      <c r="CF85" s="59" t="s">
        <v>428</v>
      </c>
      <c r="CG85" s="59" t="s">
        <v>428</v>
      </c>
      <c r="CH85" s="59" t="s">
        <v>428</v>
      </c>
      <c r="CI85" s="59" t="s">
        <v>428</v>
      </c>
      <c r="CJ85" s="59" t="s">
        <v>428</v>
      </c>
      <c r="CK85" s="59" t="s">
        <v>428</v>
      </c>
      <c r="CL85" s="59" t="s">
        <v>428</v>
      </c>
    </row>
    <row r="86" spans="1:90" s="52" customFormat="1" ht="13">
      <c r="A86" s="52">
        <v>83</v>
      </c>
      <c r="C86" s="58" t="s">
        <v>74</v>
      </c>
      <c r="D86" s="59" t="s">
        <v>428</v>
      </c>
      <c r="E86" s="59" t="s">
        <v>428</v>
      </c>
      <c r="F86" s="59" t="s">
        <v>428</v>
      </c>
      <c r="G86" s="59" t="s">
        <v>428</v>
      </c>
      <c r="H86" s="59" t="s">
        <v>428</v>
      </c>
      <c r="I86" s="59" t="s">
        <v>428</v>
      </c>
      <c r="J86" s="59" t="s">
        <v>428</v>
      </c>
      <c r="K86" s="59" t="s">
        <v>428</v>
      </c>
      <c r="L86" s="59" t="s">
        <v>428</v>
      </c>
      <c r="M86" s="59" t="s">
        <v>428</v>
      </c>
      <c r="N86" s="59" t="s">
        <v>428</v>
      </c>
      <c r="O86" s="59" t="s">
        <v>428</v>
      </c>
      <c r="P86" s="59" t="s">
        <v>428</v>
      </c>
      <c r="Q86" s="59" t="s">
        <v>428</v>
      </c>
      <c r="R86" s="59" t="s">
        <v>428</v>
      </c>
      <c r="S86" s="59" t="s">
        <v>428</v>
      </c>
      <c r="T86" s="59" t="s">
        <v>428</v>
      </c>
      <c r="U86" s="59" t="s">
        <v>428</v>
      </c>
      <c r="V86" s="59" t="s">
        <v>428</v>
      </c>
      <c r="W86" s="59" t="s">
        <v>428</v>
      </c>
      <c r="X86" s="59" t="s">
        <v>428</v>
      </c>
      <c r="Y86" s="59" t="s">
        <v>428</v>
      </c>
      <c r="Z86" s="59" t="s">
        <v>428</v>
      </c>
      <c r="AA86" s="59" t="s">
        <v>428</v>
      </c>
      <c r="AB86" s="59" t="s">
        <v>428</v>
      </c>
      <c r="AC86" s="59" t="s">
        <v>428</v>
      </c>
      <c r="AD86" s="59" t="s">
        <v>428</v>
      </c>
      <c r="AE86" s="59" t="s">
        <v>428</v>
      </c>
      <c r="AF86" s="59" t="s">
        <v>428</v>
      </c>
      <c r="AG86" s="59" t="s">
        <v>428</v>
      </c>
      <c r="AH86" s="59" t="s">
        <v>428</v>
      </c>
      <c r="AI86" s="59" t="s">
        <v>428</v>
      </c>
      <c r="AJ86" s="59" t="s">
        <v>428</v>
      </c>
      <c r="AK86" s="59" t="s">
        <v>428</v>
      </c>
      <c r="AL86" s="59" t="s">
        <v>428</v>
      </c>
      <c r="AM86" s="59" t="s">
        <v>428</v>
      </c>
      <c r="AN86" s="59" t="s">
        <v>428</v>
      </c>
      <c r="AO86" s="59" t="s">
        <v>428</v>
      </c>
      <c r="AP86" s="59" t="s">
        <v>428</v>
      </c>
      <c r="AQ86" s="59" t="s">
        <v>428</v>
      </c>
      <c r="AR86" s="59" t="s">
        <v>428</v>
      </c>
      <c r="AS86" s="59" t="s">
        <v>428</v>
      </c>
      <c r="AT86" s="59" t="s">
        <v>428</v>
      </c>
      <c r="AU86" s="59" t="s">
        <v>428</v>
      </c>
      <c r="AV86" s="59" t="s">
        <v>428</v>
      </c>
      <c r="AW86" s="59" t="s">
        <v>428</v>
      </c>
      <c r="AX86" s="59" t="s">
        <v>428</v>
      </c>
      <c r="AY86" s="59" t="s">
        <v>428</v>
      </c>
      <c r="AZ86" s="59" t="s">
        <v>428</v>
      </c>
      <c r="BA86" s="59" t="s">
        <v>428</v>
      </c>
      <c r="BB86" s="59" t="s">
        <v>428</v>
      </c>
      <c r="BC86" s="59" t="s">
        <v>428</v>
      </c>
      <c r="BD86" s="59" t="s">
        <v>428</v>
      </c>
      <c r="BE86" s="59" t="s">
        <v>428</v>
      </c>
      <c r="BF86" s="59" t="s">
        <v>428</v>
      </c>
      <c r="BG86" s="59" t="s">
        <v>428</v>
      </c>
      <c r="BH86" s="59" t="s">
        <v>428</v>
      </c>
      <c r="BI86" s="59" t="s">
        <v>428</v>
      </c>
      <c r="BJ86" s="59" t="s">
        <v>428</v>
      </c>
      <c r="BK86" s="59" t="s">
        <v>428</v>
      </c>
      <c r="BL86" s="59" t="s">
        <v>428</v>
      </c>
      <c r="BM86" s="59" t="s">
        <v>428</v>
      </c>
      <c r="BN86" s="59" t="s">
        <v>428</v>
      </c>
      <c r="BO86" s="59" t="s">
        <v>428</v>
      </c>
      <c r="BP86" s="59" t="s">
        <v>428</v>
      </c>
      <c r="BQ86" s="59" t="s">
        <v>428</v>
      </c>
      <c r="BR86" s="59" t="s">
        <v>428</v>
      </c>
      <c r="BS86" s="59" t="s">
        <v>428</v>
      </c>
      <c r="BT86" s="59" t="s">
        <v>428</v>
      </c>
      <c r="BU86" s="59" t="s">
        <v>428</v>
      </c>
      <c r="BV86" s="59" t="s">
        <v>428</v>
      </c>
      <c r="BW86" s="59" t="s">
        <v>428</v>
      </c>
      <c r="BX86" s="59" t="s">
        <v>428</v>
      </c>
      <c r="BY86" s="59" t="s">
        <v>428</v>
      </c>
      <c r="BZ86" s="59" t="s">
        <v>428</v>
      </c>
      <c r="CA86" s="59" t="s">
        <v>428</v>
      </c>
      <c r="CB86" s="59">
        <v>1876</v>
      </c>
      <c r="CC86" s="59">
        <v>2808</v>
      </c>
      <c r="CD86" s="59">
        <v>3216</v>
      </c>
      <c r="CE86" s="59">
        <v>3209</v>
      </c>
      <c r="CF86" s="59">
        <v>2991</v>
      </c>
      <c r="CG86" s="59">
        <v>2969</v>
      </c>
      <c r="CH86" s="59">
        <v>3980</v>
      </c>
      <c r="CI86" s="59">
        <v>4098</v>
      </c>
      <c r="CJ86" s="59">
        <v>2826</v>
      </c>
      <c r="CK86" s="59">
        <v>2800</v>
      </c>
      <c r="CL86" s="59">
        <v>2800</v>
      </c>
    </row>
    <row r="87" spans="1:90" s="52" customFormat="1" ht="13">
      <c r="A87" s="52">
        <v>84</v>
      </c>
      <c r="C87" s="58" t="s">
        <v>429</v>
      </c>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row>
    <row r="88" spans="1:90" s="52" customFormat="1">
      <c r="A88" s="52">
        <v>85</v>
      </c>
      <c r="C88" s="60" t="s">
        <v>471</v>
      </c>
      <c r="D88" s="59" t="s">
        <v>428</v>
      </c>
      <c r="E88" s="59" t="s">
        <v>428</v>
      </c>
      <c r="F88" s="59" t="s">
        <v>428</v>
      </c>
      <c r="G88" s="59" t="s">
        <v>428</v>
      </c>
      <c r="H88" s="59" t="s">
        <v>428</v>
      </c>
      <c r="I88" s="59" t="s">
        <v>428</v>
      </c>
      <c r="J88" s="59" t="s">
        <v>428</v>
      </c>
      <c r="K88" s="59" t="s">
        <v>428</v>
      </c>
      <c r="L88" s="59" t="s">
        <v>428</v>
      </c>
      <c r="M88" s="59" t="s">
        <v>428</v>
      </c>
      <c r="N88" s="59" t="s">
        <v>428</v>
      </c>
      <c r="O88" s="59" t="s">
        <v>428</v>
      </c>
      <c r="P88" s="59" t="s">
        <v>428</v>
      </c>
      <c r="Q88" s="59" t="s">
        <v>428</v>
      </c>
      <c r="R88" s="59" t="s">
        <v>428</v>
      </c>
      <c r="S88" s="59" t="s">
        <v>428</v>
      </c>
      <c r="T88" s="59" t="s">
        <v>428</v>
      </c>
      <c r="U88" s="59" t="s">
        <v>428</v>
      </c>
      <c r="V88" s="59" t="s">
        <v>428</v>
      </c>
      <c r="W88" s="59" t="s">
        <v>428</v>
      </c>
      <c r="X88" s="59" t="s">
        <v>428</v>
      </c>
      <c r="Y88" s="59" t="s">
        <v>428</v>
      </c>
      <c r="Z88" s="59" t="s">
        <v>428</v>
      </c>
      <c r="AA88" s="59" t="s">
        <v>428</v>
      </c>
      <c r="AB88" s="59" t="s">
        <v>428</v>
      </c>
      <c r="AC88" s="59" t="s">
        <v>428</v>
      </c>
      <c r="AD88" s="59" t="s">
        <v>428</v>
      </c>
      <c r="AE88" s="59" t="s">
        <v>428</v>
      </c>
      <c r="AF88" s="59" t="s">
        <v>428</v>
      </c>
      <c r="AG88" s="59" t="s">
        <v>428</v>
      </c>
      <c r="AH88" s="59" t="s">
        <v>428</v>
      </c>
      <c r="AI88" s="59">
        <v>14</v>
      </c>
      <c r="AJ88" s="59">
        <v>21</v>
      </c>
      <c r="AK88" s="59">
        <v>23</v>
      </c>
      <c r="AL88" s="59">
        <v>12</v>
      </c>
      <c r="AM88" s="59">
        <v>17</v>
      </c>
      <c r="AN88" s="59">
        <v>29</v>
      </c>
      <c r="AO88" s="59">
        <v>45</v>
      </c>
      <c r="AP88" s="59">
        <v>76</v>
      </c>
      <c r="AQ88" s="59">
        <v>106</v>
      </c>
      <c r="AR88" s="59">
        <v>104</v>
      </c>
      <c r="AS88" s="59">
        <v>4</v>
      </c>
      <c r="AT88" s="59">
        <v>137</v>
      </c>
      <c r="AU88" s="59">
        <v>229</v>
      </c>
      <c r="AV88" s="59">
        <v>363</v>
      </c>
      <c r="AW88" s="59">
        <v>416</v>
      </c>
      <c r="AX88" s="59">
        <v>384</v>
      </c>
      <c r="AY88" s="59">
        <v>473</v>
      </c>
      <c r="AZ88" s="59">
        <v>680</v>
      </c>
      <c r="BA88" s="59">
        <v>807</v>
      </c>
      <c r="BB88" s="59">
        <v>1154</v>
      </c>
      <c r="BC88" s="59">
        <v>1228</v>
      </c>
      <c r="BD88" s="59">
        <v>1019</v>
      </c>
      <c r="BE88" s="59">
        <v>828</v>
      </c>
      <c r="BF88" s="59">
        <v>1025</v>
      </c>
      <c r="BG88" s="59">
        <v>1427</v>
      </c>
      <c r="BH88" s="59">
        <v>1627</v>
      </c>
      <c r="BI88" s="59">
        <v>1716</v>
      </c>
      <c r="BJ88" s="59">
        <v>1888</v>
      </c>
      <c r="BK88" s="59">
        <v>2116</v>
      </c>
      <c r="BL88" s="59">
        <v>1935</v>
      </c>
      <c r="BM88" s="59">
        <v>1388</v>
      </c>
      <c r="BN88" s="59">
        <v>2192</v>
      </c>
      <c r="BO88" s="59">
        <v>2606</v>
      </c>
      <c r="BP88" s="59">
        <v>2926</v>
      </c>
      <c r="BQ88" s="59">
        <v>3160</v>
      </c>
      <c r="BR88" s="59">
        <v>3187</v>
      </c>
      <c r="BS88" s="59">
        <v>2916</v>
      </c>
      <c r="BT88" s="59">
        <v>2452</v>
      </c>
      <c r="BU88" s="59">
        <v>1727</v>
      </c>
      <c r="BV88" s="59">
        <v>1364</v>
      </c>
      <c r="BW88" s="59">
        <v>1459</v>
      </c>
      <c r="BX88" s="59">
        <v>1986</v>
      </c>
      <c r="BY88" s="59">
        <v>3151</v>
      </c>
      <c r="BZ88" s="59">
        <v>2981</v>
      </c>
      <c r="CA88" s="59">
        <v>2998</v>
      </c>
      <c r="CB88" s="59">
        <v>3231</v>
      </c>
      <c r="CC88" s="59">
        <v>2947</v>
      </c>
      <c r="CD88" s="59">
        <v>2518</v>
      </c>
      <c r="CE88" s="59">
        <v>2460</v>
      </c>
      <c r="CF88" s="59">
        <v>2482</v>
      </c>
      <c r="CG88" s="59">
        <v>1937</v>
      </c>
      <c r="CH88" s="59">
        <v>2107</v>
      </c>
      <c r="CI88" s="59">
        <v>1331</v>
      </c>
      <c r="CJ88" s="59">
        <v>1256</v>
      </c>
      <c r="CK88" s="59">
        <v>1546</v>
      </c>
      <c r="CL88" s="59">
        <v>2846</v>
      </c>
    </row>
    <row r="89" spans="1:90" s="52" customFormat="1" ht="13">
      <c r="A89" s="52">
        <v>86</v>
      </c>
      <c r="C89" s="60" t="s">
        <v>472</v>
      </c>
      <c r="D89" s="59" t="s">
        <v>428</v>
      </c>
      <c r="E89" s="59" t="s">
        <v>428</v>
      </c>
      <c r="F89" s="59" t="s">
        <v>428</v>
      </c>
      <c r="G89" s="59" t="s">
        <v>428</v>
      </c>
      <c r="H89" s="59" t="s">
        <v>428</v>
      </c>
      <c r="I89" s="59" t="s">
        <v>428</v>
      </c>
      <c r="J89" s="59" t="s">
        <v>428</v>
      </c>
      <c r="K89" s="59" t="s">
        <v>428</v>
      </c>
      <c r="L89" s="59" t="s">
        <v>428</v>
      </c>
      <c r="M89" s="59" t="s">
        <v>428</v>
      </c>
      <c r="N89" s="59" t="s">
        <v>428</v>
      </c>
      <c r="O89" s="59" t="s">
        <v>428</v>
      </c>
      <c r="P89" s="59" t="s">
        <v>428</v>
      </c>
      <c r="Q89" s="59" t="s">
        <v>428</v>
      </c>
      <c r="R89" s="59" t="s">
        <v>428</v>
      </c>
      <c r="S89" s="59" t="s">
        <v>428</v>
      </c>
      <c r="T89" s="59" t="s">
        <v>428</v>
      </c>
      <c r="U89" s="59" t="s">
        <v>428</v>
      </c>
      <c r="V89" s="59" t="s">
        <v>428</v>
      </c>
      <c r="W89" s="59" t="s">
        <v>428</v>
      </c>
      <c r="X89" s="59" t="s">
        <v>428</v>
      </c>
      <c r="Y89" s="59" t="s">
        <v>428</v>
      </c>
      <c r="Z89" s="59" t="s">
        <v>428</v>
      </c>
      <c r="AA89" s="59" t="s">
        <v>428</v>
      </c>
      <c r="AB89" s="59" t="s">
        <v>428</v>
      </c>
      <c r="AC89" s="59" t="s">
        <v>428</v>
      </c>
      <c r="AD89" s="59" t="s">
        <v>428</v>
      </c>
      <c r="AE89" s="59" t="s">
        <v>428</v>
      </c>
      <c r="AF89" s="59" t="s">
        <v>428</v>
      </c>
      <c r="AG89" s="59" t="s">
        <v>428</v>
      </c>
      <c r="AH89" s="59" t="s">
        <v>428</v>
      </c>
      <c r="AI89" s="59">
        <v>623</v>
      </c>
      <c r="AJ89" s="59">
        <v>634</v>
      </c>
      <c r="AK89" s="59">
        <v>984</v>
      </c>
      <c r="AL89" s="59">
        <v>928</v>
      </c>
      <c r="AM89" s="59">
        <v>1245</v>
      </c>
      <c r="AN89" s="59">
        <v>1365</v>
      </c>
      <c r="AO89" s="59">
        <v>1430</v>
      </c>
      <c r="AP89" s="59">
        <v>2029</v>
      </c>
      <c r="AQ89" s="59">
        <v>2330</v>
      </c>
      <c r="AR89" s="59">
        <v>2939</v>
      </c>
      <c r="AS89" s="59">
        <v>878</v>
      </c>
      <c r="AT89" s="59">
        <v>5053</v>
      </c>
      <c r="AU89" s="59">
        <v>6386</v>
      </c>
      <c r="AV89" s="59">
        <v>6841</v>
      </c>
      <c r="AW89" s="59">
        <v>6932</v>
      </c>
      <c r="AX89" s="59">
        <v>8747</v>
      </c>
      <c r="AY89" s="59">
        <v>13323</v>
      </c>
      <c r="AZ89" s="59">
        <v>14238</v>
      </c>
      <c r="BA89" s="59">
        <v>16811</v>
      </c>
      <c r="BB89" s="59">
        <v>17898</v>
      </c>
      <c r="BC89" s="59">
        <v>18076</v>
      </c>
      <c r="BD89" s="59">
        <v>20299</v>
      </c>
      <c r="BE89" s="59">
        <v>25418</v>
      </c>
      <c r="BF89" s="59">
        <v>30712</v>
      </c>
      <c r="BG89" s="59">
        <v>33210</v>
      </c>
      <c r="BH89" s="59">
        <v>34730</v>
      </c>
      <c r="BI89" s="59">
        <v>38684</v>
      </c>
      <c r="BJ89" s="59">
        <v>44227</v>
      </c>
      <c r="BK89" s="59">
        <v>38355</v>
      </c>
      <c r="BL89" s="59">
        <v>36988</v>
      </c>
      <c r="BM89" s="59">
        <v>61702</v>
      </c>
      <c r="BN89" s="59">
        <v>59471</v>
      </c>
      <c r="BO89" s="59">
        <v>59919</v>
      </c>
      <c r="BP89" s="59">
        <v>62185</v>
      </c>
      <c r="BQ89" s="59">
        <v>65561</v>
      </c>
      <c r="BR89" s="59">
        <v>69863</v>
      </c>
      <c r="BS89" s="59">
        <v>78334</v>
      </c>
      <c r="BT89" s="59">
        <v>80910</v>
      </c>
      <c r="BU89" s="59">
        <v>94736</v>
      </c>
      <c r="BV89" s="59">
        <v>115201</v>
      </c>
      <c r="BW89" s="59">
        <v>162602</v>
      </c>
      <c r="BX89" s="59">
        <v>179183</v>
      </c>
      <c r="BY89" s="59">
        <v>180435</v>
      </c>
      <c r="BZ89" s="59">
        <v>194268</v>
      </c>
      <c r="CA89" s="59">
        <v>213710</v>
      </c>
      <c r="CB89" s="59">
        <v>225179</v>
      </c>
      <c r="CC89" s="59">
        <v>210509</v>
      </c>
      <c r="CD89" s="59">
        <v>227208</v>
      </c>
      <c r="CE89" s="59">
        <v>244352</v>
      </c>
      <c r="CF89" s="59">
        <v>263485</v>
      </c>
      <c r="CG89" s="59">
        <v>313733</v>
      </c>
      <c r="CH89" s="59">
        <v>296966</v>
      </c>
      <c r="CI89" s="59">
        <v>315740</v>
      </c>
      <c r="CJ89" s="59">
        <v>340510</v>
      </c>
      <c r="CK89" s="59">
        <v>362160</v>
      </c>
      <c r="CL89" s="59">
        <v>387752</v>
      </c>
    </row>
    <row r="90" spans="1:90" s="52" customFormat="1" ht="13">
      <c r="A90" s="52">
        <v>87</v>
      </c>
      <c r="C90" s="61" t="s">
        <v>433</v>
      </c>
      <c r="D90" s="62" t="s">
        <v>428</v>
      </c>
      <c r="E90" s="62" t="s">
        <v>428</v>
      </c>
      <c r="F90" s="62" t="s">
        <v>428</v>
      </c>
      <c r="G90" s="62" t="s">
        <v>428</v>
      </c>
      <c r="H90" s="62" t="s">
        <v>428</v>
      </c>
      <c r="I90" s="62" t="s">
        <v>428</v>
      </c>
      <c r="J90" s="62" t="s">
        <v>428</v>
      </c>
      <c r="K90" s="62" t="s">
        <v>428</v>
      </c>
      <c r="L90" s="62" t="s">
        <v>428</v>
      </c>
      <c r="M90" s="62" t="s">
        <v>428</v>
      </c>
      <c r="N90" s="62" t="s">
        <v>428</v>
      </c>
      <c r="O90" s="62" t="s">
        <v>428</v>
      </c>
      <c r="P90" s="62" t="s">
        <v>428</v>
      </c>
      <c r="Q90" s="62" t="s">
        <v>428</v>
      </c>
      <c r="R90" s="62" t="s">
        <v>428</v>
      </c>
      <c r="S90" s="62" t="s">
        <v>428</v>
      </c>
      <c r="T90" s="62" t="s">
        <v>428</v>
      </c>
      <c r="U90" s="62" t="s">
        <v>428</v>
      </c>
      <c r="V90" s="62" t="s">
        <v>428</v>
      </c>
      <c r="W90" s="62" t="s">
        <v>428</v>
      </c>
      <c r="X90" s="62" t="s">
        <v>428</v>
      </c>
      <c r="Y90" s="62" t="s">
        <v>428</v>
      </c>
      <c r="Z90" s="62" t="s">
        <v>428</v>
      </c>
      <c r="AA90" s="62" t="s">
        <v>428</v>
      </c>
      <c r="AB90" s="62" t="s">
        <v>428</v>
      </c>
      <c r="AC90" s="62" t="s">
        <v>428</v>
      </c>
      <c r="AD90" s="62" t="s">
        <v>428</v>
      </c>
      <c r="AE90" s="62" t="s">
        <v>428</v>
      </c>
      <c r="AF90" s="62" t="s">
        <v>428</v>
      </c>
      <c r="AG90" s="62" t="s">
        <v>428</v>
      </c>
      <c r="AH90" s="62" t="s">
        <v>428</v>
      </c>
      <c r="AI90" s="62">
        <v>637</v>
      </c>
      <c r="AJ90" s="62">
        <v>655</v>
      </c>
      <c r="AK90" s="62">
        <v>1008</v>
      </c>
      <c r="AL90" s="62">
        <v>940</v>
      </c>
      <c r="AM90" s="62">
        <v>1263</v>
      </c>
      <c r="AN90" s="62">
        <v>1394</v>
      </c>
      <c r="AO90" s="62">
        <v>1476</v>
      </c>
      <c r="AP90" s="62">
        <v>2105</v>
      </c>
      <c r="AQ90" s="62">
        <v>2435</v>
      </c>
      <c r="AR90" s="62">
        <v>3043</v>
      </c>
      <c r="AS90" s="62">
        <v>882</v>
      </c>
      <c r="AT90" s="62">
        <v>5190</v>
      </c>
      <c r="AU90" s="62">
        <v>6614</v>
      </c>
      <c r="AV90" s="62">
        <v>7204</v>
      </c>
      <c r="AW90" s="62">
        <v>7347</v>
      </c>
      <c r="AX90" s="62">
        <v>9132</v>
      </c>
      <c r="AY90" s="62">
        <v>13796</v>
      </c>
      <c r="AZ90" s="62">
        <v>14918</v>
      </c>
      <c r="BA90" s="62">
        <v>17618</v>
      </c>
      <c r="BB90" s="62">
        <v>19052</v>
      </c>
      <c r="BC90" s="62">
        <v>19304</v>
      </c>
      <c r="BD90" s="62">
        <v>21318</v>
      </c>
      <c r="BE90" s="62">
        <v>26246</v>
      </c>
      <c r="BF90" s="62">
        <v>31737</v>
      </c>
      <c r="BG90" s="62">
        <v>34637</v>
      </c>
      <c r="BH90" s="62">
        <v>36358</v>
      </c>
      <c r="BI90" s="62">
        <v>40400</v>
      </c>
      <c r="BJ90" s="62">
        <v>46114</v>
      </c>
      <c r="BK90" s="62">
        <v>40471</v>
      </c>
      <c r="BL90" s="62">
        <v>38923</v>
      </c>
      <c r="BM90" s="62">
        <v>63090</v>
      </c>
      <c r="BN90" s="62">
        <v>61663</v>
      </c>
      <c r="BO90" s="62">
        <v>62525</v>
      </c>
      <c r="BP90" s="62">
        <v>65111</v>
      </c>
      <c r="BQ90" s="62">
        <v>68721</v>
      </c>
      <c r="BR90" s="62">
        <v>73050</v>
      </c>
      <c r="BS90" s="62">
        <v>81250</v>
      </c>
      <c r="BT90" s="62">
        <v>83362</v>
      </c>
      <c r="BU90" s="62">
        <v>96463</v>
      </c>
      <c r="BV90" s="62">
        <v>116565</v>
      </c>
      <c r="BW90" s="62">
        <v>164061</v>
      </c>
      <c r="BX90" s="62">
        <v>181169</v>
      </c>
      <c r="BY90" s="62">
        <v>183586</v>
      </c>
      <c r="BZ90" s="62">
        <v>197249</v>
      </c>
      <c r="CA90" s="62">
        <v>216708</v>
      </c>
      <c r="CB90" s="62">
        <v>228410</v>
      </c>
      <c r="CC90" s="62">
        <v>213456</v>
      </c>
      <c r="CD90" s="62">
        <v>229726</v>
      </c>
      <c r="CE90" s="62">
        <v>246812</v>
      </c>
      <c r="CF90" s="62">
        <v>265967</v>
      </c>
      <c r="CG90" s="62">
        <v>315670</v>
      </c>
      <c r="CH90" s="62">
        <v>299073</v>
      </c>
      <c r="CI90" s="62">
        <v>317071</v>
      </c>
      <c r="CJ90" s="62">
        <v>341766</v>
      </c>
      <c r="CK90" s="62">
        <v>363706</v>
      </c>
      <c r="CL90" s="62">
        <v>390598</v>
      </c>
    </row>
    <row r="91" spans="1:90" s="52" customFormat="1" ht="13">
      <c r="A91" s="52">
        <v>88</v>
      </c>
      <c r="C91" s="58" t="s">
        <v>473</v>
      </c>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56"/>
      <c r="BS91" s="56"/>
      <c r="BT91" s="56"/>
      <c r="BU91" s="56"/>
      <c r="BV91" s="56"/>
      <c r="BW91" s="56"/>
      <c r="BX91" s="56"/>
      <c r="BY91" s="56"/>
      <c r="BZ91" s="56"/>
      <c r="CA91" s="56"/>
      <c r="CB91" s="56"/>
      <c r="CC91" s="56"/>
      <c r="CD91" s="56"/>
      <c r="CE91" s="56"/>
      <c r="CF91" s="56"/>
      <c r="CG91" s="56"/>
      <c r="CH91" s="56"/>
      <c r="CI91" s="56"/>
      <c r="CJ91" s="56"/>
      <c r="CK91" s="56"/>
      <c r="CL91" s="56"/>
    </row>
    <row r="92" spans="1:90" s="52" customFormat="1" ht="13">
      <c r="A92" s="52">
        <v>89</v>
      </c>
      <c r="C92" s="60" t="s">
        <v>474</v>
      </c>
      <c r="D92" s="59" t="s">
        <v>428</v>
      </c>
      <c r="E92" s="59" t="s">
        <v>428</v>
      </c>
      <c r="F92" s="59" t="s">
        <v>428</v>
      </c>
      <c r="G92" s="59" t="s">
        <v>428</v>
      </c>
      <c r="H92" s="59" t="s">
        <v>428</v>
      </c>
      <c r="I92" s="59" t="s">
        <v>428</v>
      </c>
      <c r="J92" s="59" t="s">
        <v>428</v>
      </c>
      <c r="K92" s="59" t="s">
        <v>428</v>
      </c>
      <c r="L92" s="59" t="s">
        <v>428</v>
      </c>
      <c r="M92" s="59" t="s">
        <v>428</v>
      </c>
      <c r="N92" s="59" t="s">
        <v>428</v>
      </c>
      <c r="O92" s="59" t="s">
        <v>428</v>
      </c>
      <c r="P92" s="59" t="s">
        <v>428</v>
      </c>
      <c r="Q92" s="59" t="s">
        <v>428</v>
      </c>
      <c r="R92" s="59" t="s">
        <v>428</v>
      </c>
      <c r="S92" s="59" t="s">
        <v>428</v>
      </c>
      <c r="T92" s="59" t="s">
        <v>428</v>
      </c>
      <c r="U92" s="59" t="s">
        <v>428</v>
      </c>
      <c r="V92" s="59" t="s">
        <v>428</v>
      </c>
      <c r="W92" s="59" t="s">
        <v>428</v>
      </c>
      <c r="X92" s="59" t="s">
        <v>428</v>
      </c>
      <c r="Y92" s="59" t="s">
        <v>428</v>
      </c>
      <c r="Z92" s="59" t="s">
        <v>428</v>
      </c>
      <c r="AA92" s="59" t="s">
        <v>428</v>
      </c>
      <c r="AB92" s="59" t="s">
        <v>428</v>
      </c>
      <c r="AC92" s="59" t="s">
        <v>428</v>
      </c>
      <c r="AD92" s="59" t="s">
        <v>428</v>
      </c>
      <c r="AE92" s="59" t="s">
        <v>428</v>
      </c>
      <c r="AF92" s="59" t="s">
        <v>428</v>
      </c>
      <c r="AG92" s="59" t="s">
        <v>428</v>
      </c>
      <c r="AH92" s="59" t="s">
        <v>428</v>
      </c>
      <c r="AI92" s="59">
        <v>647</v>
      </c>
      <c r="AJ92" s="59">
        <v>698</v>
      </c>
      <c r="AK92" s="59">
        <v>903</v>
      </c>
      <c r="AL92" s="59">
        <v>936</v>
      </c>
      <c r="AM92" s="59">
        <v>1253</v>
      </c>
      <c r="AN92" s="59">
        <v>1340</v>
      </c>
      <c r="AO92" s="59">
        <v>1427</v>
      </c>
      <c r="AP92" s="59">
        <v>1579</v>
      </c>
      <c r="AQ92" s="59">
        <v>1750</v>
      </c>
      <c r="AR92" s="59">
        <v>1769</v>
      </c>
      <c r="AS92" s="59">
        <v>492</v>
      </c>
      <c r="AT92" s="59">
        <v>1987</v>
      </c>
      <c r="AU92" s="59">
        <v>2186</v>
      </c>
      <c r="AV92" s="59">
        <v>2373</v>
      </c>
      <c r="AW92" s="59">
        <v>2637</v>
      </c>
      <c r="AX92" s="59">
        <v>2987</v>
      </c>
      <c r="AY92" s="59">
        <v>3460</v>
      </c>
      <c r="AZ92" s="59">
        <v>3834</v>
      </c>
      <c r="BA92" s="59">
        <v>4463</v>
      </c>
      <c r="BB92" s="59">
        <v>5042</v>
      </c>
      <c r="BC92" s="59">
        <v>5200</v>
      </c>
      <c r="BD92" s="59">
        <v>5897</v>
      </c>
      <c r="BE92" s="59">
        <v>7963</v>
      </c>
      <c r="BF92" s="59">
        <v>10603</v>
      </c>
      <c r="BG92" s="59">
        <v>10499</v>
      </c>
      <c r="BH92" s="59">
        <v>10741</v>
      </c>
      <c r="BI92" s="59">
        <v>11564</v>
      </c>
      <c r="BJ92" s="59">
        <v>13255</v>
      </c>
      <c r="BK92" s="59">
        <v>15212</v>
      </c>
      <c r="BL92" s="59">
        <v>17126</v>
      </c>
      <c r="BM92" s="59">
        <v>16858</v>
      </c>
      <c r="BN92" s="59">
        <v>16984</v>
      </c>
      <c r="BO92" s="59">
        <v>17153</v>
      </c>
      <c r="BP92" s="59">
        <v>17722</v>
      </c>
      <c r="BQ92" s="59">
        <v>17961</v>
      </c>
      <c r="BR92" s="59">
        <v>19447</v>
      </c>
      <c r="BS92" s="59">
        <v>21173</v>
      </c>
      <c r="BT92" s="59">
        <v>23115</v>
      </c>
      <c r="BU92" s="59">
        <v>25873</v>
      </c>
      <c r="BV92" s="59">
        <v>30394</v>
      </c>
      <c r="BW92" s="59">
        <v>35606</v>
      </c>
      <c r="BX92" s="59">
        <v>38552</v>
      </c>
      <c r="BY92" s="59">
        <v>42496</v>
      </c>
      <c r="BZ92" s="59">
        <v>42834</v>
      </c>
      <c r="CA92" s="59">
        <v>45832</v>
      </c>
      <c r="CB92" s="59">
        <v>47277</v>
      </c>
      <c r="CC92" s="59">
        <v>48297</v>
      </c>
      <c r="CD92" s="59">
        <v>51679</v>
      </c>
      <c r="CE92" s="59">
        <v>54415</v>
      </c>
      <c r="CF92" s="59">
        <v>56997</v>
      </c>
      <c r="CG92" s="59">
        <v>61110</v>
      </c>
      <c r="CH92" s="59">
        <v>67488</v>
      </c>
      <c r="CI92" s="59">
        <v>74136</v>
      </c>
      <c r="CJ92" s="59">
        <v>81553</v>
      </c>
      <c r="CK92" s="59">
        <v>89779</v>
      </c>
      <c r="CL92" s="59">
        <v>97297</v>
      </c>
    </row>
    <row r="93" spans="1:90" s="52" customFormat="1" ht="13">
      <c r="A93" s="52">
        <v>90</v>
      </c>
      <c r="C93" s="60" t="s">
        <v>475</v>
      </c>
      <c r="D93" s="59" t="s">
        <v>428</v>
      </c>
      <c r="E93" s="59" t="s">
        <v>428</v>
      </c>
      <c r="F93" s="59" t="s">
        <v>428</v>
      </c>
      <c r="G93" s="59" t="s">
        <v>428</v>
      </c>
      <c r="H93" s="59" t="s">
        <v>428</v>
      </c>
      <c r="I93" s="59" t="s">
        <v>428</v>
      </c>
      <c r="J93" s="59" t="s">
        <v>428</v>
      </c>
      <c r="K93" s="59" t="s">
        <v>428</v>
      </c>
      <c r="L93" s="59" t="s">
        <v>428</v>
      </c>
      <c r="M93" s="59" t="s">
        <v>428</v>
      </c>
      <c r="N93" s="59" t="s">
        <v>428</v>
      </c>
      <c r="O93" s="59" t="s">
        <v>428</v>
      </c>
      <c r="P93" s="59" t="s">
        <v>428</v>
      </c>
      <c r="Q93" s="59" t="s">
        <v>428</v>
      </c>
      <c r="R93" s="59" t="s">
        <v>428</v>
      </c>
      <c r="S93" s="59" t="s">
        <v>428</v>
      </c>
      <c r="T93" s="59" t="s">
        <v>428</v>
      </c>
      <c r="U93" s="59" t="s">
        <v>428</v>
      </c>
      <c r="V93" s="59" t="s">
        <v>428</v>
      </c>
      <c r="W93" s="59" t="s">
        <v>428</v>
      </c>
      <c r="X93" s="59" t="s">
        <v>428</v>
      </c>
      <c r="Y93" s="59" t="s">
        <v>428</v>
      </c>
      <c r="Z93" s="59" t="s">
        <v>428</v>
      </c>
      <c r="AA93" s="59" t="s">
        <v>428</v>
      </c>
      <c r="AB93" s="59" t="s">
        <v>428</v>
      </c>
      <c r="AC93" s="59" t="s">
        <v>428</v>
      </c>
      <c r="AD93" s="59" t="s">
        <v>428</v>
      </c>
      <c r="AE93" s="59" t="s">
        <v>428</v>
      </c>
      <c r="AF93" s="59" t="s">
        <v>428</v>
      </c>
      <c r="AG93" s="59" t="s">
        <v>428</v>
      </c>
      <c r="AH93" s="59" t="s">
        <v>428</v>
      </c>
      <c r="AI93" s="59" t="s">
        <v>428</v>
      </c>
      <c r="AJ93" s="59" t="s">
        <v>428</v>
      </c>
      <c r="AK93" s="59" t="s">
        <v>428</v>
      </c>
      <c r="AL93" s="59" t="s">
        <v>428</v>
      </c>
      <c r="AM93" s="59" t="s">
        <v>428</v>
      </c>
      <c r="AN93" s="59" t="s">
        <v>428</v>
      </c>
      <c r="AO93" s="59" t="s">
        <v>428</v>
      </c>
      <c r="AP93" s="59" t="s">
        <v>428</v>
      </c>
      <c r="AQ93" s="59" t="s">
        <v>428</v>
      </c>
      <c r="AR93" s="59" t="s">
        <v>428</v>
      </c>
      <c r="AS93" s="59" t="s">
        <v>428</v>
      </c>
      <c r="AT93" s="59" t="s">
        <v>428</v>
      </c>
      <c r="AU93" s="59" t="s">
        <v>428</v>
      </c>
      <c r="AV93" s="59" t="s">
        <v>428</v>
      </c>
      <c r="AW93" s="59" t="s">
        <v>428</v>
      </c>
      <c r="AX93" s="59" t="s">
        <v>428</v>
      </c>
      <c r="AY93" s="59" t="s">
        <v>428</v>
      </c>
      <c r="AZ93" s="59" t="s">
        <v>428</v>
      </c>
      <c r="BA93" s="59" t="s">
        <v>428</v>
      </c>
      <c r="BB93" s="59" t="s">
        <v>428</v>
      </c>
      <c r="BC93" s="59" t="s">
        <v>428</v>
      </c>
      <c r="BD93" s="59" t="s">
        <v>428</v>
      </c>
      <c r="BE93" s="59" t="s">
        <v>428</v>
      </c>
      <c r="BF93" s="59" t="s">
        <v>428</v>
      </c>
      <c r="BG93" s="59" t="s">
        <v>428</v>
      </c>
      <c r="BH93" s="59" t="s">
        <v>428</v>
      </c>
      <c r="BI93" s="59" t="s">
        <v>428</v>
      </c>
      <c r="BJ93" s="59" t="s">
        <v>428</v>
      </c>
      <c r="BK93" s="59" t="s">
        <v>428</v>
      </c>
      <c r="BL93" s="59" t="s">
        <v>428</v>
      </c>
      <c r="BM93" s="59" t="s">
        <v>428</v>
      </c>
      <c r="BN93" s="59" t="s">
        <v>428</v>
      </c>
      <c r="BO93" s="59" t="s">
        <v>428</v>
      </c>
      <c r="BP93" s="59" t="s">
        <v>428</v>
      </c>
      <c r="BQ93" s="59" t="s">
        <v>428</v>
      </c>
      <c r="BR93" s="59" t="s">
        <v>428</v>
      </c>
      <c r="BS93" s="59" t="s">
        <v>428</v>
      </c>
      <c r="BT93" s="59" t="s">
        <v>428</v>
      </c>
      <c r="BU93" s="59" t="s">
        <v>428</v>
      </c>
      <c r="BV93" s="59" t="s">
        <v>428</v>
      </c>
      <c r="BW93" s="59">
        <v>809</v>
      </c>
      <c r="BX93" s="59">
        <v>1628</v>
      </c>
      <c r="BY93" s="59">
        <v>1822</v>
      </c>
      <c r="BZ93" s="59">
        <v>2150</v>
      </c>
      <c r="CA93" s="59">
        <v>2363</v>
      </c>
      <c r="CB93" s="59">
        <v>2631</v>
      </c>
      <c r="CC93" s="59">
        <v>2955</v>
      </c>
      <c r="CD93" s="59">
        <v>3224</v>
      </c>
      <c r="CE93" s="59">
        <v>3564</v>
      </c>
      <c r="CF93" s="59">
        <v>3815</v>
      </c>
      <c r="CG93" s="59">
        <v>4300</v>
      </c>
      <c r="CH93" s="59">
        <v>5180</v>
      </c>
      <c r="CI93" s="59">
        <v>6660</v>
      </c>
      <c r="CJ93" s="59">
        <v>8102</v>
      </c>
      <c r="CK93" s="59">
        <v>9509</v>
      </c>
      <c r="CL93" s="59">
        <v>10733</v>
      </c>
    </row>
    <row r="94" spans="1:90" s="52" customFormat="1" ht="13">
      <c r="A94" s="52">
        <v>91</v>
      </c>
      <c r="C94" s="60" t="s">
        <v>476</v>
      </c>
      <c r="D94" s="59" t="s">
        <v>428</v>
      </c>
      <c r="E94" s="59" t="s">
        <v>428</v>
      </c>
      <c r="F94" s="59" t="s">
        <v>428</v>
      </c>
      <c r="G94" s="59" t="s">
        <v>428</v>
      </c>
      <c r="H94" s="59" t="s">
        <v>428</v>
      </c>
      <c r="I94" s="59" t="s">
        <v>428</v>
      </c>
      <c r="J94" s="59" t="s">
        <v>428</v>
      </c>
      <c r="K94" s="59" t="s">
        <v>428</v>
      </c>
      <c r="L94" s="59" t="s">
        <v>428</v>
      </c>
      <c r="M94" s="59" t="s">
        <v>428</v>
      </c>
      <c r="N94" s="59" t="s">
        <v>428</v>
      </c>
      <c r="O94" s="59" t="s">
        <v>428</v>
      </c>
      <c r="P94" s="59" t="s">
        <v>428</v>
      </c>
      <c r="Q94" s="59" t="s">
        <v>428</v>
      </c>
      <c r="R94" s="59" t="s">
        <v>428</v>
      </c>
      <c r="S94" s="59" t="s">
        <v>428</v>
      </c>
      <c r="T94" s="59" t="s">
        <v>428</v>
      </c>
      <c r="U94" s="59" t="s">
        <v>428</v>
      </c>
      <c r="V94" s="59" t="s">
        <v>428</v>
      </c>
      <c r="W94" s="59" t="s">
        <v>428</v>
      </c>
      <c r="X94" s="59" t="s">
        <v>428</v>
      </c>
      <c r="Y94" s="59" t="s">
        <v>428</v>
      </c>
      <c r="Z94" s="59" t="s">
        <v>428</v>
      </c>
      <c r="AA94" s="59" t="s">
        <v>428</v>
      </c>
      <c r="AB94" s="59" t="s">
        <v>428</v>
      </c>
      <c r="AC94" s="59" t="s">
        <v>428</v>
      </c>
      <c r="AD94" s="59" t="s">
        <v>428</v>
      </c>
      <c r="AE94" s="59" t="s">
        <v>428</v>
      </c>
      <c r="AF94" s="59" t="s">
        <v>428</v>
      </c>
      <c r="AG94" s="59" t="s">
        <v>428</v>
      </c>
      <c r="AH94" s="59" t="s">
        <v>428</v>
      </c>
      <c r="AI94" s="59" t="s">
        <v>428</v>
      </c>
      <c r="AJ94" s="59" t="s">
        <v>428</v>
      </c>
      <c r="AK94" s="59" t="s">
        <v>428</v>
      </c>
      <c r="AL94" s="59" t="s">
        <v>428</v>
      </c>
      <c r="AM94" s="59" t="s">
        <v>428</v>
      </c>
      <c r="AN94" s="59" t="s">
        <v>428</v>
      </c>
      <c r="AO94" s="59" t="s">
        <v>428</v>
      </c>
      <c r="AP94" s="59">
        <v>125</v>
      </c>
      <c r="AQ94" s="59">
        <v>151</v>
      </c>
      <c r="AR94" s="59">
        <v>168</v>
      </c>
      <c r="AS94" s="59">
        <v>46</v>
      </c>
      <c r="AT94" s="59">
        <v>206</v>
      </c>
      <c r="AU94" s="59">
        <v>245</v>
      </c>
      <c r="AV94" s="59">
        <v>263</v>
      </c>
      <c r="AW94" s="59">
        <v>291</v>
      </c>
      <c r="AX94" s="59">
        <v>332</v>
      </c>
      <c r="AY94" s="59">
        <v>371</v>
      </c>
      <c r="AZ94" s="59">
        <v>393</v>
      </c>
      <c r="BA94" s="59">
        <v>444</v>
      </c>
      <c r="BB94" s="59">
        <v>482</v>
      </c>
      <c r="BC94" s="59">
        <v>500</v>
      </c>
      <c r="BD94" s="59">
        <v>582</v>
      </c>
      <c r="BE94" s="59">
        <v>793</v>
      </c>
      <c r="BF94" s="59">
        <v>945</v>
      </c>
      <c r="BG94" s="59">
        <v>995</v>
      </c>
      <c r="BH94" s="59">
        <v>1066</v>
      </c>
      <c r="BI94" s="59">
        <v>1184</v>
      </c>
      <c r="BJ94" s="59">
        <v>1428</v>
      </c>
      <c r="BK94" s="59">
        <v>1683</v>
      </c>
      <c r="BL94" s="59">
        <v>2117</v>
      </c>
      <c r="BM94" s="59">
        <v>2073</v>
      </c>
      <c r="BN94" s="59">
        <v>2158</v>
      </c>
      <c r="BO94" s="59">
        <v>2274</v>
      </c>
      <c r="BP94" s="59">
        <v>2438</v>
      </c>
      <c r="BQ94" s="59">
        <v>2554</v>
      </c>
      <c r="BR94" s="59">
        <v>2861</v>
      </c>
      <c r="BS94" s="59">
        <v>3254</v>
      </c>
      <c r="BT94" s="59">
        <v>3720</v>
      </c>
      <c r="BU94" s="59">
        <v>4468</v>
      </c>
      <c r="BV94" s="59">
        <v>5546</v>
      </c>
      <c r="BW94" s="59">
        <v>9671</v>
      </c>
      <c r="BX94" s="59">
        <v>14234</v>
      </c>
      <c r="BY94" s="59">
        <v>13990</v>
      </c>
      <c r="BZ94" s="59">
        <v>16628</v>
      </c>
      <c r="CA94" s="59">
        <v>13609</v>
      </c>
      <c r="CB94" s="59">
        <v>16483</v>
      </c>
      <c r="CC94" s="59">
        <v>18124</v>
      </c>
      <c r="CD94" s="59">
        <v>19003</v>
      </c>
      <c r="CE94" s="59">
        <v>19486</v>
      </c>
      <c r="CF94" s="59">
        <v>19277</v>
      </c>
      <c r="CG94" s="59">
        <v>20947</v>
      </c>
      <c r="CH94" s="59">
        <v>22633</v>
      </c>
      <c r="CI94" s="59">
        <v>28388</v>
      </c>
      <c r="CJ94" s="59">
        <v>35927</v>
      </c>
      <c r="CK94" s="59">
        <v>41081</v>
      </c>
      <c r="CL94" s="59">
        <v>46359</v>
      </c>
    </row>
    <row r="95" spans="1:90" s="52" customFormat="1" ht="13">
      <c r="A95" s="52">
        <v>92</v>
      </c>
      <c r="C95" s="61" t="s">
        <v>477</v>
      </c>
      <c r="D95" s="62" t="s">
        <v>428</v>
      </c>
      <c r="E95" s="62" t="s">
        <v>428</v>
      </c>
      <c r="F95" s="62" t="s">
        <v>428</v>
      </c>
      <c r="G95" s="62" t="s">
        <v>428</v>
      </c>
      <c r="H95" s="62" t="s">
        <v>428</v>
      </c>
      <c r="I95" s="62" t="s">
        <v>428</v>
      </c>
      <c r="J95" s="62" t="s">
        <v>428</v>
      </c>
      <c r="K95" s="62" t="s">
        <v>428</v>
      </c>
      <c r="L95" s="62" t="s">
        <v>428</v>
      </c>
      <c r="M95" s="62" t="s">
        <v>428</v>
      </c>
      <c r="N95" s="62" t="s">
        <v>428</v>
      </c>
      <c r="O95" s="62" t="s">
        <v>428</v>
      </c>
      <c r="P95" s="62" t="s">
        <v>428</v>
      </c>
      <c r="Q95" s="62" t="s">
        <v>428</v>
      </c>
      <c r="R95" s="62" t="s">
        <v>428</v>
      </c>
      <c r="S95" s="62" t="s">
        <v>428</v>
      </c>
      <c r="T95" s="62" t="s">
        <v>428</v>
      </c>
      <c r="U95" s="62" t="s">
        <v>428</v>
      </c>
      <c r="V95" s="62" t="s">
        <v>428</v>
      </c>
      <c r="W95" s="62" t="s">
        <v>428</v>
      </c>
      <c r="X95" s="62" t="s">
        <v>428</v>
      </c>
      <c r="Y95" s="62" t="s">
        <v>428</v>
      </c>
      <c r="Z95" s="62" t="s">
        <v>428</v>
      </c>
      <c r="AA95" s="62" t="s">
        <v>428</v>
      </c>
      <c r="AB95" s="62" t="s">
        <v>428</v>
      </c>
      <c r="AC95" s="62" t="s">
        <v>428</v>
      </c>
      <c r="AD95" s="62" t="s">
        <v>428</v>
      </c>
      <c r="AE95" s="62" t="s">
        <v>428</v>
      </c>
      <c r="AF95" s="62" t="s">
        <v>428</v>
      </c>
      <c r="AG95" s="62" t="s">
        <v>428</v>
      </c>
      <c r="AH95" s="62" t="s">
        <v>428</v>
      </c>
      <c r="AI95" s="62">
        <v>647</v>
      </c>
      <c r="AJ95" s="62">
        <v>698</v>
      </c>
      <c r="AK95" s="62">
        <v>903</v>
      </c>
      <c r="AL95" s="62">
        <v>936</v>
      </c>
      <c r="AM95" s="62">
        <v>1253</v>
      </c>
      <c r="AN95" s="62">
        <v>1340</v>
      </c>
      <c r="AO95" s="62">
        <v>1427</v>
      </c>
      <c r="AP95" s="62">
        <v>1704</v>
      </c>
      <c r="AQ95" s="62">
        <v>1901</v>
      </c>
      <c r="AR95" s="62">
        <v>1937</v>
      </c>
      <c r="AS95" s="62">
        <v>539</v>
      </c>
      <c r="AT95" s="62">
        <v>2193</v>
      </c>
      <c r="AU95" s="62">
        <v>2431</v>
      </c>
      <c r="AV95" s="62">
        <v>2636</v>
      </c>
      <c r="AW95" s="62">
        <v>2928</v>
      </c>
      <c r="AX95" s="62">
        <v>3319</v>
      </c>
      <c r="AY95" s="62">
        <v>3831</v>
      </c>
      <c r="AZ95" s="62">
        <v>4227</v>
      </c>
      <c r="BA95" s="62">
        <v>4907</v>
      </c>
      <c r="BB95" s="62">
        <v>5524</v>
      </c>
      <c r="BC95" s="62">
        <v>5699</v>
      </c>
      <c r="BD95" s="62">
        <v>6480</v>
      </c>
      <c r="BE95" s="62">
        <v>8756</v>
      </c>
      <c r="BF95" s="62">
        <v>11548</v>
      </c>
      <c r="BG95" s="62">
        <v>11494</v>
      </c>
      <c r="BH95" s="62">
        <v>11807</v>
      </c>
      <c r="BI95" s="62">
        <v>12748</v>
      </c>
      <c r="BJ95" s="62">
        <v>14683</v>
      </c>
      <c r="BK95" s="62">
        <v>16895</v>
      </c>
      <c r="BL95" s="62">
        <v>19243</v>
      </c>
      <c r="BM95" s="62">
        <v>18931</v>
      </c>
      <c r="BN95" s="62">
        <v>19142</v>
      </c>
      <c r="BO95" s="62">
        <v>19427</v>
      </c>
      <c r="BP95" s="62">
        <v>20160</v>
      </c>
      <c r="BQ95" s="62">
        <v>20515</v>
      </c>
      <c r="BR95" s="62">
        <v>22308</v>
      </c>
      <c r="BS95" s="62">
        <v>24427</v>
      </c>
      <c r="BT95" s="62">
        <v>26835</v>
      </c>
      <c r="BU95" s="62">
        <v>30341</v>
      </c>
      <c r="BV95" s="62">
        <v>35940</v>
      </c>
      <c r="BW95" s="62">
        <v>46086</v>
      </c>
      <c r="BX95" s="62">
        <v>54414</v>
      </c>
      <c r="BY95" s="62">
        <v>58308</v>
      </c>
      <c r="BZ95" s="62">
        <v>61612</v>
      </c>
      <c r="CA95" s="62">
        <v>61804</v>
      </c>
      <c r="CB95" s="62">
        <v>66391</v>
      </c>
      <c r="CC95" s="62">
        <v>69376</v>
      </c>
      <c r="CD95" s="62">
        <v>73906</v>
      </c>
      <c r="CE95" s="62">
        <v>77465</v>
      </c>
      <c r="CF95" s="62">
        <v>80089</v>
      </c>
      <c r="CG95" s="62">
        <v>86357</v>
      </c>
      <c r="CH95" s="62">
        <v>95301</v>
      </c>
      <c r="CI95" s="62">
        <v>109184</v>
      </c>
      <c r="CJ95" s="62">
        <v>125582</v>
      </c>
      <c r="CK95" s="62">
        <v>140369</v>
      </c>
      <c r="CL95" s="62">
        <v>154389</v>
      </c>
    </row>
    <row r="96" spans="1:90" s="52" customFormat="1">
      <c r="A96" s="52">
        <v>93</v>
      </c>
      <c r="C96" s="58" t="s">
        <v>462</v>
      </c>
      <c r="D96" s="59" t="s">
        <v>428</v>
      </c>
      <c r="E96" s="59" t="s">
        <v>428</v>
      </c>
      <c r="F96" s="59" t="s">
        <v>428</v>
      </c>
      <c r="G96" s="59" t="s">
        <v>428</v>
      </c>
      <c r="H96" s="59" t="s">
        <v>428</v>
      </c>
      <c r="I96" s="59" t="s">
        <v>428</v>
      </c>
      <c r="J96" s="59" t="s">
        <v>428</v>
      </c>
      <c r="K96" s="59" t="s">
        <v>428</v>
      </c>
      <c r="L96" s="59" t="s">
        <v>428</v>
      </c>
      <c r="M96" s="59" t="s">
        <v>428</v>
      </c>
      <c r="N96" s="59" t="s">
        <v>428</v>
      </c>
      <c r="O96" s="59" t="s">
        <v>428</v>
      </c>
      <c r="P96" s="59" t="s">
        <v>428</v>
      </c>
      <c r="Q96" s="59" t="s">
        <v>428</v>
      </c>
      <c r="R96" s="59" t="s">
        <v>428</v>
      </c>
      <c r="S96" s="59" t="s">
        <v>428</v>
      </c>
      <c r="T96" s="59" t="s">
        <v>428</v>
      </c>
      <c r="U96" s="59" t="s">
        <v>428</v>
      </c>
      <c r="V96" s="59" t="s">
        <v>428</v>
      </c>
      <c r="W96" s="59" t="s">
        <v>428</v>
      </c>
      <c r="X96" s="59" t="s">
        <v>428</v>
      </c>
      <c r="Y96" s="59" t="s">
        <v>428</v>
      </c>
      <c r="Z96" s="59" t="s">
        <v>428</v>
      </c>
      <c r="AA96" s="59" t="s">
        <v>428</v>
      </c>
      <c r="AB96" s="59" t="s">
        <v>428</v>
      </c>
      <c r="AC96" s="59" t="s">
        <v>428</v>
      </c>
      <c r="AD96" s="59" t="s">
        <v>428</v>
      </c>
      <c r="AE96" s="59" t="s">
        <v>428</v>
      </c>
      <c r="AF96" s="59" t="s">
        <v>428</v>
      </c>
      <c r="AG96" s="59" t="s">
        <v>428</v>
      </c>
      <c r="AH96" s="59" t="s">
        <v>428</v>
      </c>
      <c r="AI96" s="59" t="s">
        <v>432</v>
      </c>
      <c r="AJ96" s="59" t="s">
        <v>432</v>
      </c>
      <c r="AK96" s="59" t="s">
        <v>432</v>
      </c>
      <c r="AL96" s="59" t="s">
        <v>432</v>
      </c>
      <c r="AM96" s="59" t="s">
        <v>432</v>
      </c>
      <c r="AN96" s="59" t="s">
        <v>432</v>
      </c>
      <c r="AO96" s="59" t="s">
        <v>432</v>
      </c>
      <c r="AP96" s="59" t="s">
        <v>432</v>
      </c>
      <c r="AQ96" s="59" t="s">
        <v>428</v>
      </c>
      <c r="AR96" s="59" t="s">
        <v>432</v>
      </c>
      <c r="AS96" s="59" t="s">
        <v>428</v>
      </c>
      <c r="AT96" s="59" t="s">
        <v>432</v>
      </c>
      <c r="AU96" s="59" t="s">
        <v>432</v>
      </c>
      <c r="AV96" s="59" t="s">
        <v>432</v>
      </c>
      <c r="AW96" s="59" t="s">
        <v>432</v>
      </c>
      <c r="AX96" s="59" t="s">
        <v>432</v>
      </c>
      <c r="AY96" s="59" t="s">
        <v>432</v>
      </c>
      <c r="AZ96" s="59">
        <v>1</v>
      </c>
      <c r="BA96" s="59" t="s">
        <v>432</v>
      </c>
      <c r="BB96" s="59" t="s">
        <v>440</v>
      </c>
      <c r="BC96" s="59" t="s">
        <v>432</v>
      </c>
      <c r="BD96" s="59" t="s">
        <v>432</v>
      </c>
      <c r="BE96" s="59" t="s">
        <v>432</v>
      </c>
      <c r="BF96" s="59" t="s">
        <v>428</v>
      </c>
      <c r="BG96" s="59">
        <v>3</v>
      </c>
      <c r="BH96" s="59">
        <v>1</v>
      </c>
      <c r="BI96" s="59">
        <v>1</v>
      </c>
      <c r="BJ96" s="59">
        <v>1</v>
      </c>
      <c r="BK96" s="59">
        <v>2</v>
      </c>
      <c r="BL96" s="59">
        <v>3</v>
      </c>
      <c r="BM96" s="59">
        <v>4</v>
      </c>
      <c r="BN96" s="59">
        <v>1</v>
      </c>
      <c r="BO96" s="59">
        <v>3</v>
      </c>
      <c r="BP96" s="59">
        <v>7</v>
      </c>
      <c r="BQ96" s="59">
        <v>4</v>
      </c>
      <c r="BR96" s="59">
        <v>4</v>
      </c>
      <c r="BS96" s="59">
        <v>3</v>
      </c>
      <c r="BT96" s="59">
        <v>-1</v>
      </c>
      <c r="BU96" s="59">
        <v>1</v>
      </c>
      <c r="BV96" s="59">
        <v>994</v>
      </c>
      <c r="BW96" s="59">
        <v>1114</v>
      </c>
      <c r="BX96" s="59">
        <v>3428</v>
      </c>
      <c r="BY96" s="59">
        <v>3765</v>
      </c>
      <c r="BZ96" s="59">
        <v>3965</v>
      </c>
      <c r="CA96" s="59">
        <v>4064</v>
      </c>
      <c r="CB96" s="59">
        <v>4639</v>
      </c>
      <c r="CC96" s="59">
        <v>4990</v>
      </c>
      <c r="CD96" s="59">
        <v>5252</v>
      </c>
      <c r="CE96" s="59">
        <v>5036</v>
      </c>
      <c r="CF96" s="59">
        <v>5684</v>
      </c>
      <c r="CG96" s="59">
        <v>5511</v>
      </c>
      <c r="CH96" s="59">
        <v>5561</v>
      </c>
      <c r="CI96" s="59">
        <v>5611</v>
      </c>
      <c r="CJ96" s="59">
        <v>5661</v>
      </c>
      <c r="CK96" s="59">
        <v>5711</v>
      </c>
      <c r="CL96" s="59">
        <v>5761</v>
      </c>
    </row>
    <row r="97" spans="1:90" s="52" customFormat="1" ht="13">
      <c r="A97" s="52">
        <v>94</v>
      </c>
      <c r="C97" s="60" t="s">
        <v>435</v>
      </c>
      <c r="D97" s="62" t="s">
        <v>428</v>
      </c>
      <c r="E97" s="62" t="s">
        <v>428</v>
      </c>
      <c r="F97" s="62" t="s">
        <v>428</v>
      </c>
      <c r="G97" s="62" t="s">
        <v>428</v>
      </c>
      <c r="H97" s="62" t="s">
        <v>428</v>
      </c>
      <c r="I97" s="62" t="s">
        <v>428</v>
      </c>
      <c r="J97" s="62" t="s">
        <v>428</v>
      </c>
      <c r="K97" s="62" t="s">
        <v>428</v>
      </c>
      <c r="L97" s="62" t="s">
        <v>428</v>
      </c>
      <c r="M97" s="62" t="s">
        <v>428</v>
      </c>
      <c r="N97" s="62" t="s">
        <v>428</v>
      </c>
      <c r="O97" s="62" t="s">
        <v>428</v>
      </c>
      <c r="P97" s="62" t="s">
        <v>428</v>
      </c>
      <c r="Q97" s="62" t="s">
        <v>428</v>
      </c>
      <c r="R97" s="62" t="s">
        <v>428</v>
      </c>
      <c r="S97" s="62" t="s">
        <v>428</v>
      </c>
      <c r="T97" s="62" t="s">
        <v>428</v>
      </c>
      <c r="U97" s="62" t="s">
        <v>428</v>
      </c>
      <c r="V97" s="62" t="s">
        <v>428</v>
      </c>
      <c r="W97" s="62" t="s">
        <v>428</v>
      </c>
      <c r="X97" s="62" t="s">
        <v>428</v>
      </c>
      <c r="Y97" s="62" t="s">
        <v>428</v>
      </c>
      <c r="Z97" s="62" t="s">
        <v>428</v>
      </c>
      <c r="AA97" s="62" t="s">
        <v>428</v>
      </c>
      <c r="AB97" s="62" t="s">
        <v>428</v>
      </c>
      <c r="AC97" s="62" t="s">
        <v>428</v>
      </c>
      <c r="AD97" s="62" t="s">
        <v>428</v>
      </c>
      <c r="AE97" s="62" t="s">
        <v>428</v>
      </c>
      <c r="AF97" s="62" t="s">
        <v>428</v>
      </c>
      <c r="AG97" s="62" t="s">
        <v>428</v>
      </c>
      <c r="AH97" s="62" t="s">
        <v>428</v>
      </c>
      <c r="AI97" s="62">
        <v>1284</v>
      </c>
      <c r="AJ97" s="62">
        <v>1353</v>
      </c>
      <c r="AK97" s="62">
        <v>1911</v>
      </c>
      <c r="AL97" s="62">
        <v>1876</v>
      </c>
      <c r="AM97" s="62">
        <v>2516</v>
      </c>
      <c r="AN97" s="62">
        <v>2734</v>
      </c>
      <c r="AO97" s="62">
        <v>2902</v>
      </c>
      <c r="AP97" s="62">
        <v>3809</v>
      </c>
      <c r="AQ97" s="62">
        <v>4336</v>
      </c>
      <c r="AR97" s="62">
        <v>4980</v>
      </c>
      <c r="AS97" s="62">
        <v>1421</v>
      </c>
      <c r="AT97" s="62">
        <v>7383</v>
      </c>
      <c r="AU97" s="62">
        <v>9045</v>
      </c>
      <c r="AV97" s="62">
        <v>9840</v>
      </c>
      <c r="AW97" s="62">
        <v>10275</v>
      </c>
      <c r="AX97" s="62">
        <v>12451</v>
      </c>
      <c r="AY97" s="62">
        <v>17627</v>
      </c>
      <c r="AZ97" s="62">
        <v>19147</v>
      </c>
      <c r="BA97" s="62">
        <v>22526</v>
      </c>
      <c r="BB97" s="62">
        <v>24576</v>
      </c>
      <c r="BC97" s="62">
        <v>25004</v>
      </c>
      <c r="BD97" s="62">
        <v>27797</v>
      </c>
      <c r="BE97" s="62">
        <v>35002</v>
      </c>
      <c r="BF97" s="62">
        <v>43812</v>
      </c>
      <c r="BG97" s="62">
        <v>45607</v>
      </c>
      <c r="BH97" s="62">
        <v>48166</v>
      </c>
      <c r="BI97" s="62">
        <v>53149</v>
      </c>
      <c r="BJ97" s="62">
        <v>60799</v>
      </c>
      <c r="BK97" s="62">
        <v>57367</v>
      </c>
      <c r="BL97" s="62">
        <v>58169</v>
      </c>
      <c r="BM97" s="62">
        <v>82025</v>
      </c>
      <c r="BN97" s="62">
        <v>80806</v>
      </c>
      <c r="BO97" s="62">
        <v>81955</v>
      </c>
      <c r="BP97" s="62">
        <v>85278</v>
      </c>
      <c r="BQ97" s="62">
        <v>89240</v>
      </c>
      <c r="BR97" s="62">
        <v>95362</v>
      </c>
      <c r="BS97" s="62">
        <v>105680</v>
      </c>
      <c r="BT97" s="62">
        <v>110196</v>
      </c>
      <c r="BU97" s="62">
        <v>126805</v>
      </c>
      <c r="BV97" s="62">
        <v>153499</v>
      </c>
      <c r="BW97" s="62">
        <v>211261</v>
      </c>
      <c r="BX97" s="62">
        <v>239011</v>
      </c>
      <c r="BY97" s="62">
        <v>245659</v>
      </c>
      <c r="BZ97" s="62">
        <v>262826</v>
      </c>
      <c r="CA97" s="62">
        <v>282576</v>
      </c>
      <c r="CB97" s="62">
        <v>301316</v>
      </c>
      <c r="CC97" s="62">
        <v>290630</v>
      </c>
      <c r="CD97" s="62">
        <v>312100</v>
      </c>
      <c r="CE97" s="62">
        <v>332522</v>
      </c>
      <c r="CF97" s="62">
        <v>354731</v>
      </c>
      <c r="CG97" s="62">
        <v>410507</v>
      </c>
      <c r="CH97" s="62">
        <v>403915</v>
      </c>
      <c r="CI97" s="62">
        <v>435964</v>
      </c>
      <c r="CJ97" s="62">
        <v>475835</v>
      </c>
      <c r="CK97" s="62">
        <v>512586</v>
      </c>
      <c r="CL97" s="62">
        <v>553548</v>
      </c>
    </row>
    <row r="98" spans="1:90" s="52" customFormat="1" ht="13">
      <c r="A98" s="52">
        <v>95</v>
      </c>
      <c r="C98" s="57" t="s">
        <v>436</v>
      </c>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c r="BO98" s="56"/>
      <c r="BP98" s="56"/>
      <c r="BQ98" s="56"/>
      <c r="BR98" s="56"/>
      <c r="BS98" s="56"/>
      <c r="BT98" s="56"/>
      <c r="BU98" s="56"/>
      <c r="BV98" s="56"/>
      <c r="BW98" s="56"/>
      <c r="BX98" s="56"/>
      <c r="BY98" s="56"/>
      <c r="BZ98" s="56"/>
      <c r="CA98" s="56"/>
      <c r="CB98" s="56"/>
      <c r="CC98" s="56"/>
      <c r="CD98" s="56"/>
      <c r="CE98" s="56"/>
      <c r="CF98" s="56"/>
      <c r="CG98" s="56"/>
      <c r="CH98" s="56"/>
      <c r="CI98" s="56"/>
      <c r="CJ98" s="56"/>
      <c r="CK98" s="56"/>
      <c r="CL98" s="56"/>
    </row>
    <row r="99" spans="1:90" s="52" customFormat="1">
      <c r="A99" s="52">
        <v>96</v>
      </c>
      <c r="C99" s="58" t="s">
        <v>464</v>
      </c>
      <c r="D99" s="59" t="s">
        <v>428</v>
      </c>
      <c r="E99" s="59" t="s">
        <v>428</v>
      </c>
      <c r="F99" s="59" t="s">
        <v>428</v>
      </c>
      <c r="G99" s="59" t="s">
        <v>428</v>
      </c>
      <c r="H99" s="59" t="s">
        <v>428</v>
      </c>
      <c r="I99" s="59" t="s">
        <v>428</v>
      </c>
      <c r="J99" s="59" t="s">
        <v>428</v>
      </c>
      <c r="K99" s="59" t="s">
        <v>428</v>
      </c>
      <c r="L99" s="59" t="s">
        <v>428</v>
      </c>
      <c r="M99" s="59" t="s">
        <v>428</v>
      </c>
      <c r="N99" s="59" t="s">
        <v>428</v>
      </c>
      <c r="O99" s="59" t="s">
        <v>428</v>
      </c>
      <c r="P99" s="59" t="s">
        <v>428</v>
      </c>
      <c r="Q99" s="59" t="s">
        <v>428</v>
      </c>
      <c r="R99" s="59" t="s">
        <v>428</v>
      </c>
      <c r="S99" s="59" t="s">
        <v>428</v>
      </c>
      <c r="T99" s="59" t="s">
        <v>428</v>
      </c>
      <c r="U99" s="59" t="s">
        <v>428</v>
      </c>
      <c r="V99" s="59" t="s">
        <v>428</v>
      </c>
      <c r="W99" s="59" t="s">
        <v>428</v>
      </c>
      <c r="X99" s="59" t="s">
        <v>428</v>
      </c>
      <c r="Y99" s="59" t="s">
        <v>428</v>
      </c>
      <c r="Z99" s="59" t="s">
        <v>428</v>
      </c>
      <c r="AA99" s="59" t="s">
        <v>428</v>
      </c>
      <c r="AB99" s="59" t="s">
        <v>428</v>
      </c>
      <c r="AC99" s="59" t="s">
        <v>428</v>
      </c>
      <c r="AD99" s="59" t="s">
        <v>428</v>
      </c>
      <c r="AE99" s="59" t="s">
        <v>428</v>
      </c>
      <c r="AF99" s="59" t="s">
        <v>428</v>
      </c>
      <c r="AG99" s="59" t="s">
        <v>428</v>
      </c>
      <c r="AH99" s="59" t="s">
        <v>428</v>
      </c>
      <c r="AI99" s="59">
        <v>664</v>
      </c>
      <c r="AJ99" s="59">
        <v>1390</v>
      </c>
      <c r="AK99" s="59">
        <v>1645</v>
      </c>
      <c r="AL99" s="59">
        <v>1979</v>
      </c>
      <c r="AM99" s="59">
        <v>2035</v>
      </c>
      <c r="AN99" s="59">
        <v>2255</v>
      </c>
      <c r="AO99" s="59">
        <v>2391</v>
      </c>
      <c r="AP99" s="59">
        <v>2874</v>
      </c>
      <c r="AQ99" s="59">
        <v>3765</v>
      </c>
      <c r="AR99" s="59">
        <v>4671</v>
      </c>
      <c r="AS99" s="59">
        <v>1269</v>
      </c>
      <c r="AT99" s="59">
        <v>5865</v>
      </c>
      <c r="AU99" s="59">
        <v>6852</v>
      </c>
      <c r="AV99" s="59">
        <v>8259</v>
      </c>
      <c r="AW99" s="59">
        <v>10144</v>
      </c>
      <c r="AX99" s="59">
        <v>12345</v>
      </c>
      <c r="AY99" s="59">
        <v>14806</v>
      </c>
      <c r="AZ99" s="59">
        <v>17487</v>
      </c>
      <c r="BA99" s="59">
        <v>19475</v>
      </c>
      <c r="BB99" s="59">
        <v>21808</v>
      </c>
      <c r="BC99" s="59">
        <v>25166</v>
      </c>
      <c r="BD99" s="59">
        <v>29932</v>
      </c>
      <c r="BE99" s="59">
        <v>33677</v>
      </c>
      <c r="BF99" s="59">
        <v>36854</v>
      </c>
      <c r="BG99" s="59">
        <v>41450</v>
      </c>
      <c r="BH99" s="59">
        <v>45456</v>
      </c>
      <c r="BI99" s="59">
        <v>48595</v>
      </c>
      <c r="BJ99" s="59">
        <v>52398</v>
      </c>
      <c r="BK99" s="59">
        <v>57997</v>
      </c>
      <c r="BL99" s="59">
        <v>63482</v>
      </c>
      <c r="BM99" s="59">
        <v>67167</v>
      </c>
      <c r="BN99" s="59">
        <v>71115</v>
      </c>
      <c r="BO99" s="59">
        <v>74808</v>
      </c>
      <c r="BP99" s="59">
        <v>78972</v>
      </c>
      <c r="BQ99" s="59">
        <v>87169</v>
      </c>
      <c r="BR99" s="59">
        <v>97471</v>
      </c>
      <c r="BS99" s="59">
        <v>107013</v>
      </c>
      <c r="BT99" s="59">
        <v>121740</v>
      </c>
      <c r="BU99" s="59">
        <v>131763</v>
      </c>
      <c r="BV99" s="59">
        <v>150903</v>
      </c>
      <c r="BW99" s="59">
        <v>191606</v>
      </c>
      <c r="BX99" s="59">
        <v>230055</v>
      </c>
      <c r="BY99" s="59">
        <v>230997</v>
      </c>
      <c r="BZ99" s="59">
        <v>257584</v>
      </c>
      <c r="CA99" s="59">
        <v>268889</v>
      </c>
      <c r="CB99" s="59">
        <v>297333</v>
      </c>
      <c r="CC99" s="59">
        <v>288074</v>
      </c>
      <c r="CD99" s="59">
        <v>310634</v>
      </c>
      <c r="CE99" s="59">
        <v>327293</v>
      </c>
      <c r="CF99" s="59">
        <v>354091</v>
      </c>
      <c r="CG99" s="59">
        <v>395971</v>
      </c>
      <c r="CH99" s="59">
        <v>409187</v>
      </c>
      <c r="CI99" s="59">
        <v>418369</v>
      </c>
      <c r="CJ99" s="59">
        <v>468248</v>
      </c>
      <c r="CK99" s="59">
        <v>505680</v>
      </c>
      <c r="CL99" s="59">
        <v>547153</v>
      </c>
    </row>
    <row r="100" spans="1:90" s="52" customFormat="1">
      <c r="A100" s="52">
        <v>97</v>
      </c>
      <c r="C100" s="58" t="s">
        <v>478</v>
      </c>
      <c r="D100" s="59" t="s">
        <v>428</v>
      </c>
      <c r="E100" s="59" t="s">
        <v>428</v>
      </c>
      <c r="F100" s="59" t="s">
        <v>428</v>
      </c>
      <c r="G100" s="59" t="s">
        <v>428</v>
      </c>
      <c r="H100" s="59" t="s">
        <v>428</v>
      </c>
      <c r="I100" s="59" t="s">
        <v>428</v>
      </c>
      <c r="J100" s="59" t="s">
        <v>428</v>
      </c>
      <c r="K100" s="59" t="s">
        <v>428</v>
      </c>
      <c r="L100" s="59" t="s">
        <v>428</v>
      </c>
      <c r="M100" s="59" t="s">
        <v>428</v>
      </c>
      <c r="N100" s="59" t="s">
        <v>428</v>
      </c>
      <c r="O100" s="59" t="s">
        <v>428</v>
      </c>
      <c r="P100" s="59" t="s">
        <v>428</v>
      </c>
      <c r="Q100" s="59" t="s">
        <v>428</v>
      </c>
      <c r="R100" s="59" t="s">
        <v>428</v>
      </c>
      <c r="S100" s="59" t="s">
        <v>428</v>
      </c>
      <c r="T100" s="59" t="s">
        <v>428</v>
      </c>
      <c r="U100" s="59" t="s">
        <v>428</v>
      </c>
      <c r="V100" s="59" t="s">
        <v>428</v>
      </c>
      <c r="W100" s="59" t="s">
        <v>428</v>
      </c>
      <c r="X100" s="59" t="s">
        <v>428</v>
      </c>
      <c r="Y100" s="59" t="s">
        <v>428</v>
      </c>
      <c r="Z100" s="59" t="s">
        <v>428</v>
      </c>
      <c r="AA100" s="59" t="s">
        <v>428</v>
      </c>
      <c r="AB100" s="59" t="s">
        <v>428</v>
      </c>
      <c r="AC100" s="59" t="s">
        <v>428</v>
      </c>
      <c r="AD100" s="59" t="s">
        <v>428</v>
      </c>
      <c r="AE100" s="59" t="s">
        <v>428</v>
      </c>
      <c r="AF100" s="59" t="s">
        <v>428</v>
      </c>
      <c r="AG100" s="59" t="s">
        <v>428</v>
      </c>
      <c r="AH100" s="59" t="s">
        <v>428</v>
      </c>
      <c r="AI100" s="59">
        <v>134</v>
      </c>
      <c r="AJ100" s="59">
        <v>143</v>
      </c>
      <c r="AK100" s="59">
        <v>195</v>
      </c>
      <c r="AL100" s="59">
        <v>217</v>
      </c>
      <c r="AM100" s="59">
        <v>248</v>
      </c>
      <c r="AN100" s="59">
        <v>289</v>
      </c>
      <c r="AO100" s="59">
        <v>246</v>
      </c>
      <c r="AP100" s="59">
        <v>409</v>
      </c>
      <c r="AQ100" s="59">
        <v>404</v>
      </c>
      <c r="AR100" s="59">
        <v>528</v>
      </c>
      <c r="AS100" s="59">
        <v>132</v>
      </c>
      <c r="AT100" s="59">
        <v>475</v>
      </c>
      <c r="AU100" s="59">
        <v>494</v>
      </c>
      <c r="AV100" s="59">
        <v>544</v>
      </c>
      <c r="AW100" s="59">
        <v>594</v>
      </c>
      <c r="AX100" s="59">
        <v>889</v>
      </c>
      <c r="AY100" s="59">
        <v>746</v>
      </c>
      <c r="AZ100" s="59">
        <v>823</v>
      </c>
      <c r="BA100" s="59">
        <v>899</v>
      </c>
      <c r="BB100" s="59">
        <v>923</v>
      </c>
      <c r="BC100" s="59">
        <v>1051</v>
      </c>
      <c r="BD100" s="59">
        <v>900</v>
      </c>
      <c r="BE100" s="59">
        <v>1265</v>
      </c>
      <c r="BF100" s="59">
        <v>1450</v>
      </c>
      <c r="BG100" s="59">
        <v>1524</v>
      </c>
      <c r="BH100" s="59">
        <v>1507</v>
      </c>
      <c r="BI100" s="59">
        <v>1658</v>
      </c>
      <c r="BJ100" s="59">
        <v>1845</v>
      </c>
      <c r="BK100" s="59">
        <v>1718</v>
      </c>
      <c r="BL100" s="59">
        <v>1722</v>
      </c>
      <c r="BM100" s="59">
        <v>1770</v>
      </c>
      <c r="BN100" s="59">
        <v>1420</v>
      </c>
      <c r="BO100" s="59">
        <v>1431</v>
      </c>
      <c r="BP100" s="59">
        <v>1510</v>
      </c>
      <c r="BQ100" s="59">
        <v>1780</v>
      </c>
      <c r="BR100" s="59">
        <v>1926</v>
      </c>
      <c r="BS100" s="59">
        <v>1717</v>
      </c>
      <c r="BT100" s="59">
        <v>2245</v>
      </c>
      <c r="BU100" s="59">
        <v>2648</v>
      </c>
      <c r="BV100" s="59">
        <v>2745</v>
      </c>
      <c r="BW100" s="59">
        <v>3208</v>
      </c>
      <c r="BX100" s="59">
        <v>3067</v>
      </c>
      <c r="BY100" s="59">
        <v>3027</v>
      </c>
      <c r="BZ100" s="59">
        <v>2926</v>
      </c>
      <c r="CA100" s="59">
        <v>3061</v>
      </c>
      <c r="CB100" s="59">
        <v>3127</v>
      </c>
      <c r="CC100" s="59">
        <v>3528</v>
      </c>
      <c r="CD100" s="59">
        <v>3252</v>
      </c>
      <c r="CE100" s="59">
        <v>3552</v>
      </c>
      <c r="CF100" s="59">
        <v>2659</v>
      </c>
      <c r="CG100" s="59">
        <v>3129</v>
      </c>
      <c r="CH100" s="59">
        <v>3701</v>
      </c>
      <c r="CI100" s="59">
        <v>4005</v>
      </c>
      <c r="CJ100" s="59">
        <v>4180</v>
      </c>
      <c r="CK100" s="59">
        <v>4259</v>
      </c>
      <c r="CL100" s="59">
        <v>4334</v>
      </c>
    </row>
    <row r="101" spans="1:90" s="52" customFormat="1" ht="13">
      <c r="A101" s="52">
        <v>98</v>
      </c>
      <c r="C101" s="58" t="s">
        <v>466</v>
      </c>
      <c r="D101" s="59" t="s">
        <v>428</v>
      </c>
      <c r="E101" s="59" t="s">
        <v>428</v>
      </c>
      <c r="F101" s="59" t="s">
        <v>428</v>
      </c>
      <c r="G101" s="59" t="s">
        <v>428</v>
      </c>
      <c r="H101" s="59" t="s">
        <v>428</v>
      </c>
      <c r="I101" s="59" t="s">
        <v>428</v>
      </c>
      <c r="J101" s="59" t="s">
        <v>428</v>
      </c>
      <c r="K101" s="59" t="s">
        <v>428</v>
      </c>
      <c r="L101" s="59" t="s">
        <v>428</v>
      </c>
      <c r="M101" s="59" t="s">
        <v>428</v>
      </c>
      <c r="N101" s="59" t="s">
        <v>428</v>
      </c>
      <c r="O101" s="59" t="s">
        <v>428</v>
      </c>
      <c r="P101" s="59" t="s">
        <v>428</v>
      </c>
      <c r="Q101" s="59" t="s">
        <v>428</v>
      </c>
      <c r="R101" s="59" t="s">
        <v>428</v>
      </c>
      <c r="S101" s="59" t="s">
        <v>428</v>
      </c>
      <c r="T101" s="59" t="s">
        <v>428</v>
      </c>
      <c r="U101" s="59" t="s">
        <v>428</v>
      </c>
      <c r="V101" s="59" t="s">
        <v>428</v>
      </c>
      <c r="W101" s="59" t="s">
        <v>428</v>
      </c>
      <c r="X101" s="59" t="s">
        <v>428</v>
      </c>
      <c r="Y101" s="59" t="s">
        <v>428</v>
      </c>
      <c r="Z101" s="59" t="s">
        <v>428</v>
      </c>
      <c r="AA101" s="59" t="s">
        <v>428</v>
      </c>
      <c r="AB101" s="59" t="s">
        <v>428</v>
      </c>
      <c r="AC101" s="59" t="s">
        <v>428</v>
      </c>
      <c r="AD101" s="59" t="s">
        <v>428</v>
      </c>
      <c r="AE101" s="59" t="s">
        <v>428</v>
      </c>
      <c r="AF101" s="59" t="s">
        <v>428</v>
      </c>
      <c r="AG101" s="59" t="s">
        <v>428</v>
      </c>
      <c r="AH101" s="59" t="s">
        <v>428</v>
      </c>
      <c r="AI101" s="59" t="s">
        <v>428</v>
      </c>
      <c r="AJ101" s="59" t="s">
        <v>428</v>
      </c>
      <c r="AK101" s="59" t="s">
        <v>428</v>
      </c>
      <c r="AL101" s="59" t="s">
        <v>428</v>
      </c>
      <c r="AM101" s="59" t="s">
        <v>428</v>
      </c>
      <c r="AN101" s="59" t="s">
        <v>428</v>
      </c>
      <c r="AO101" s="59" t="s">
        <v>428</v>
      </c>
      <c r="AP101" s="59" t="s">
        <v>428</v>
      </c>
      <c r="AQ101" s="59" t="s">
        <v>428</v>
      </c>
      <c r="AR101" s="59" t="s">
        <v>428</v>
      </c>
      <c r="AS101" s="59" t="s">
        <v>428</v>
      </c>
      <c r="AT101" s="59" t="s">
        <v>428</v>
      </c>
      <c r="AU101" s="59" t="s">
        <v>428</v>
      </c>
      <c r="AV101" s="59" t="s">
        <v>428</v>
      </c>
      <c r="AW101" s="59" t="s">
        <v>428</v>
      </c>
      <c r="AX101" s="59" t="s">
        <v>428</v>
      </c>
      <c r="AY101" s="59" t="s">
        <v>428</v>
      </c>
      <c r="AZ101" s="59" t="s">
        <v>428</v>
      </c>
      <c r="BA101" s="59" t="s">
        <v>428</v>
      </c>
      <c r="BB101" s="59" t="s">
        <v>428</v>
      </c>
      <c r="BC101" s="59" t="s">
        <v>428</v>
      </c>
      <c r="BD101" s="59" t="s">
        <v>428</v>
      </c>
      <c r="BE101" s="59" t="s">
        <v>428</v>
      </c>
      <c r="BF101" s="59" t="s">
        <v>428</v>
      </c>
      <c r="BG101" s="59" t="s">
        <v>428</v>
      </c>
      <c r="BH101" s="59" t="s">
        <v>428</v>
      </c>
      <c r="BI101" s="59" t="s">
        <v>428</v>
      </c>
      <c r="BJ101" s="59" t="s">
        <v>428</v>
      </c>
      <c r="BK101" s="59" t="s">
        <v>428</v>
      </c>
      <c r="BL101" s="59" t="s">
        <v>428</v>
      </c>
      <c r="BM101" s="59" t="s">
        <v>428</v>
      </c>
      <c r="BN101" s="59" t="s">
        <v>428</v>
      </c>
      <c r="BO101" s="59" t="s">
        <v>428</v>
      </c>
      <c r="BP101" s="59" t="s">
        <v>428</v>
      </c>
      <c r="BQ101" s="59" t="s">
        <v>428</v>
      </c>
      <c r="BR101" s="59" t="s">
        <v>428</v>
      </c>
      <c r="BS101" s="59" t="s">
        <v>428</v>
      </c>
      <c r="BT101" s="59" t="s">
        <v>428</v>
      </c>
      <c r="BU101" s="59" t="s">
        <v>428</v>
      </c>
      <c r="BV101" s="59" t="s">
        <v>428</v>
      </c>
      <c r="BW101" s="59" t="s">
        <v>428</v>
      </c>
      <c r="BX101" s="59" t="s">
        <v>428</v>
      </c>
      <c r="BY101" s="59" t="s">
        <v>428</v>
      </c>
      <c r="BZ101" s="59" t="s">
        <v>428</v>
      </c>
      <c r="CA101" s="59" t="s">
        <v>428</v>
      </c>
      <c r="CB101" s="59" t="s">
        <v>428</v>
      </c>
      <c r="CC101" s="59" t="s">
        <v>428</v>
      </c>
      <c r="CD101" s="59">
        <v>27</v>
      </c>
      <c r="CE101" s="59">
        <v>58</v>
      </c>
      <c r="CF101" s="59">
        <v>62</v>
      </c>
      <c r="CG101" s="59">
        <v>73</v>
      </c>
      <c r="CH101" s="59">
        <v>83</v>
      </c>
      <c r="CI101" s="59">
        <v>82</v>
      </c>
      <c r="CJ101" s="59">
        <v>89</v>
      </c>
      <c r="CK101" s="59" t="s">
        <v>428</v>
      </c>
      <c r="CL101" s="59" t="s">
        <v>428</v>
      </c>
    </row>
    <row r="102" spans="1:90" s="52" customFormat="1">
      <c r="A102" s="52">
        <v>99</v>
      </c>
      <c r="C102" s="58" t="s">
        <v>467</v>
      </c>
      <c r="D102" s="59" t="s">
        <v>428</v>
      </c>
      <c r="E102" s="59" t="s">
        <v>428</v>
      </c>
      <c r="F102" s="59" t="s">
        <v>428</v>
      </c>
      <c r="G102" s="59" t="s">
        <v>428</v>
      </c>
      <c r="H102" s="59" t="s">
        <v>428</v>
      </c>
      <c r="I102" s="59" t="s">
        <v>428</v>
      </c>
      <c r="J102" s="59" t="s">
        <v>428</v>
      </c>
      <c r="K102" s="59" t="s">
        <v>428</v>
      </c>
      <c r="L102" s="59" t="s">
        <v>428</v>
      </c>
      <c r="M102" s="59" t="s">
        <v>428</v>
      </c>
      <c r="N102" s="59" t="s">
        <v>428</v>
      </c>
      <c r="O102" s="59" t="s">
        <v>428</v>
      </c>
      <c r="P102" s="59" t="s">
        <v>428</v>
      </c>
      <c r="Q102" s="59" t="s">
        <v>428</v>
      </c>
      <c r="R102" s="59" t="s">
        <v>428</v>
      </c>
      <c r="S102" s="59" t="s">
        <v>428</v>
      </c>
      <c r="T102" s="59" t="s">
        <v>428</v>
      </c>
      <c r="U102" s="59" t="s">
        <v>428</v>
      </c>
      <c r="V102" s="59" t="s">
        <v>428</v>
      </c>
      <c r="W102" s="59" t="s">
        <v>428</v>
      </c>
      <c r="X102" s="59" t="s">
        <v>428</v>
      </c>
      <c r="Y102" s="59" t="s">
        <v>428</v>
      </c>
      <c r="Z102" s="59" t="s">
        <v>428</v>
      </c>
      <c r="AA102" s="59" t="s">
        <v>428</v>
      </c>
      <c r="AB102" s="59" t="s">
        <v>428</v>
      </c>
      <c r="AC102" s="59" t="s">
        <v>428</v>
      </c>
      <c r="AD102" s="59" t="s">
        <v>428</v>
      </c>
      <c r="AE102" s="59" t="s">
        <v>428</v>
      </c>
      <c r="AF102" s="59" t="s">
        <v>428</v>
      </c>
      <c r="AG102" s="59" t="s">
        <v>428</v>
      </c>
      <c r="AH102" s="59" t="s">
        <v>428</v>
      </c>
      <c r="AI102" s="59" t="s">
        <v>428</v>
      </c>
      <c r="AJ102" s="59" t="s">
        <v>428</v>
      </c>
      <c r="AK102" s="59" t="s">
        <v>428</v>
      </c>
      <c r="AL102" s="59" t="s">
        <v>428</v>
      </c>
      <c r="AM102" s="59" t="s">
        <v>432</v>
      </c>
      <c r="AN102" s="59" t="s">
        <v>432</v>
      </c>
      <c r="AO102" s="59" t="s">
        <v>432</v>
      </c>
      <c r="AP102" s="59" t="s">
        <v>432</v>
      </c>
      <c r="AQ102" s="59" t="s">
        <v>432</v>
      </c>
      <c r="AR102" s="59">
        <v>1</v>
      </c>
      <c r="AS102" s="59" t="s">
        <v>432</v>
      </c>
      <c r="AT102" s="59">
        <v>2</v>
      </c>
      <c r="AU102" s="59">
        <v>4</v>
      </c>
      <c r="AV102" s="59">
        <v>1</v>
      </c>
      <c r="AW102" s="59">
        <v>8</v>
      </c>
      <c r="AX102" s="59">
        <v>7</v>
      </c>
      <c r="AY102" s="59">
        <v>7</v>
      </c>
      <c r="AZ102" s="59">
        <v>6</v>
      </c>
      <c r="BA102" s="59" t="s">
        <v>428</v>
      </c>
      <c r="BB102" s="59" t="s">
        <v>428</v>
      </c>
      <c r="BC102" s="59" t="s">
        <v>428</v>
      </c>
      <c r="BD102" s="59">
        <v>5</v>
      </c>
      <c r="BE102" s="59">
        <v>4</v>
      </c>
      <c r="BF102" s="59">
        <v>13</v>
      </c>
      <c r="BG102" s="59">
        <v>47</v>
      </c>
      <c r="BH102" s="59">
        <v>58</v>
      </c>
      <c r="BI102" s="59">
        <v>32</v>
      </c>
      <c r="BJ102" s="59">
        <v>11</v>
      </c>
      <c r="BK102" s="59">
        <v>10</v>
      </c>
      <c r="BL102" s="59">
        <v>9</v>
      </c>
      <c r="BM102" s="59">
        <v>9</v>
      </c>
      <c r="BN102" s="59">
        <v>18</v>
      </c>
      <c r="BO102" s="59">
        <v>33</v>
      </c>
      <c r="BP102" s="59">
        <v>36</v>
      </c>
      <c r="BQ102" s="59">
        <v>43</v>
      </c>
      <c r="BR102" s="59">
        <v>55</v>
      </c>
      <c r="BS102" s="59">
        <v>95</v>
      </c>
      <c r="BT102" s="59">
        <v>70</v>
      </c>
      <c r="BU102" s="59">
        <v>79</v>
      </c>
      <c r="BV102" s="59">
        <v>79</v>
      </c>
      <c r="BW102" s="59">
        <v>68</v>
      </c>
      <c r="BX102" s="59">
        <v>63</v>
      </c>
      <c r="BY102" s="59">
        <v>61</v>
      </c>
      <c r="BZ102" s="59">
        <v>58</v>
      </c>
      <c r="CA102" s="59">
        <v>56</v>
      </c>
      <c r="CB102" s="59">
        <v>52</v>
      </c>
      <c r="CC102" s="59">
        <v>80</v>
      </c>
      <c r="CD102" s="59">
        <v>98</v>
      </c>
      <c r="CE102" s="59">
        <v>109</v>
      </c>
      <c r="CF102" s="59">
        <v>125</v>
      </c>
      <c r="CG102" s="59">
        <v>112</v>
      </c>
      <c r="CH102" s="59">
        <v>120</v>
      </c>
      <c r="CI102" s="59" t="s">
        <v>428</v>
      </c>
      <c r="CJ102" s="59" t="s">
        <v>428</v>
      </c>
      <c r="CK102" s="59" t="s">
        <v>428</v>
      </c>
      <c r="CL102" s="59" t="s">
        <v>428</v>
      </c>
    </row>
    <row r="103" spans="1:90" s="52" customFormat="1" thickBot="1">
      <c r="A103" s="52">
        <v>100</v>
      </c>
      <c r="C103" s="60" t="s">
        <v>444</v>
      </c>
      <c r="D103" s="62" t="s">
        <v>428</v>
      </c>
      <c r="E103" s="62" t="s">
        <v>428</v>
      </c>
      <c r="F103" s="62" t="s">
        <v>428</v>
      </c>
      <c r="G103" s="62" t="s">
        <v>428</v>
      </c>
      <c r="H103" s="62" t="s">
        <v>428</v>
      </c>
      <c r="I103" s="62" t="s">
        <v>428</v>
      </c>
      <c r="J103" s="62" t="s">
        <v>428</v>
      </c>
      <c r="K103" s="62" t="s">
        <v>428</v>
      </c>
      <c r="L103" s="62" t="s">
        <v>428</v>
      </c>
      <c r="M103" s="62" t="s">
        <v>428</v>
      </c>
      <c r="N103" s="62" t="s">
        <v>428</v>
      </c>
      <c r="O103" s="62" t="s">
        <v>428</v>
      </c>
      <c r="P103" s="62" t="s">
        <v>428</v>
      </c>
      <c r="Q103" s="62" t="s">
        <v>428</v>
      </c>
      <c r="R103" s="62" t="s">
        <v>428</v>
      </c>
      <c r="S103" s="62" t="s">
        <v>428</v>
      </c>
      <c r="T103" s="62" t="s">
        <v>428</v>
      </c>
      <c r="U103" s="62" t="s">
        <v>428</v>
      </c>
      <c r="V103" s="62" t="s">
        <v>428</v>
      </c>
      <c r="W103" s="62" t="s">
        <v>428</v>
      </c>
      <c r="X103" s="62" t="s">
        <v>428</v>
      </c>
      <c r="Y103" s="62" t="s">
        <v>428</v>
      </c>
      <c r="Z103" s="62" t="s">
        <v>428</v>
      </c>
      <c r="AA103" s="62" t="s">
        <v>428</v>
      </c>
      <c r="AB103" s="62" t="s">
        <v>428</v>
      </c>
      <c r="AC103" s="62" t="s">
        <v>428</v>
      </c>
      <c r="AD103" s="62" t="s">
        <v>428</v>
      </c>
      <c r="AE103" s="62" t="s">
        <v>428</v>
      </c>
      <c r="AF103" s="62" t="s">
        <v>428</v>
      </c>
      <c r="AG103" s="62" t="s">
        <v>428</v>
      </c>
      <c r="AH103" s="62" t="s">
        <v>428</v>
      </c>
      <c r="AI103" s="62">
        <v>798</v>
      </c>
      <c r="AJ103" s="62">
        <v>1532</v>
      </c>
      <c r="AK103" s="62">
        <v>1840</v>
      </c>
      <c r="AL103" s="62">
        <v>2196</v>
      </c>
      <c r="AM103" s="62">
        <v>2283</v>
      </c>
      <c r="AN103" s="62">
        <v>2544</v>
      </c>
      <c r="AO103" s="62">
        <v>2637</v>
      </c>
      <c r="AP103" s="62">
        <v>3283</v>
      </c>
      <c r="AQ103" s="62">
        <v>4170</v>
      </c>
      <c r="AR103" s="62">
        <v>5200</v>
      </c>
      <c r="AS103" s="62">
        <v>1401</v>
      </c>
      <c r="AT103" s="62">
        <v>6342</v>
      </c>
      <c r="AU103" s="62">
        <v>7350</v>
      </c>
      <c r="AV103" s="62">
        <v>8805</v>
      </c>
      <c r="AW103" s="62">
        <v>10746</v>
      </c>
      <c r="AX103" s="62">
        <v>13240</v>
      </c>
      <c r="AY103" s="62">
        <v>15559</v>
      </c>
      <c r="AZ103" s="62">
        <v>18317</v>
      </c>
      <c r="BA103" s="62">
        <v>20374</v>
      </c>
      <c r="BB103" s="62">
        <v>22730</v>
      </c>
      <c r="BC103" s="62">
        <v>26217</v>
      </c>
      <c r="BD103" s="62">
        <v>30837</v>
      </c>
      <c r="BE103" s="62">
        <v>34947</v>
      </c>
      <c r="BF103" s="62">
        <v>38316</v>
      </c>
      <c r="BG103" s="62">
        <v>43022</v>
      </c>
      <c r="BH103" s="62">
        <v>47021</v>
      </c>
      <c r="BI103" s="62">
        <v>50285</v>
      </c>
      <c r="BJ103" s="62">
        <v>54254</v>
      </c>
      <c r="BK103" s="62">
        <v>59724</v>
      </c>
      <c r="BL103" s="62">
        <v>65213</v>
      </c>
      <c r="BM103" s="62">
        <v>68946</v>
      </c>
      <c r="BN103" s="62">
        <v>72553</v>
      </c>
      <c r="BO103" s="62">
        <v>76272</v>
      </c>
      <c r="BP103" s="62">
        <v>80518</v>
      </c>
      <c r="BQ103" s="62">
        <v>88992</v>
      </c>
      <c r="BR103" s="62">
        <v>99452</v>
      </c>
      <c r="BS103" s="62">
        <v>108825</v>
      </c>
      <c r="BT103" s="62">
        <v>124055</v>
      </c>
      <c r="BU103" s="62">
        <v>134490</v>
      </c>
      <c r="BV103" s="62">
        <v>153727</v>
      </c>
      <c r="BW103" s="62">
        <v>194882</v>
      </c>
      <c r="BX103" s="62">
        <v>233185</v>
      </c>
      <c r="BY103" s="62">
        <v>234085</v>
      </c>
      <c r="BZ103" s="62">
        <v>260568</v>
      </c>
      <c r="CA103" s="62">
        <v>272006</v>
      </c>
      <c r="CB103" s="62">
        <v>300512</v>
      </c>
      <c r="CC103" s="62">
        <v>291682</v>
      </c>
      <c r="CD103" s="62">
        <v>314011</v>
      </c>
      <c r="CE103" s="62">
        <v>331012</v>
      </c>
      <c r="CF103" s="62">
        <v>356937</v>
      </c>
      <c r="CG103" s="62">
        <v>399285</v>
      </c>
      <c r="CH103" s="62">
        <v>413091</v>
      </c>
      <c r="CI103" s="62">
        <v>422456</v>
      </c>
      <c r="CJ103" s="62">
        <v>472517</v>
      </c>
      <c r="CK103" s="62">
        <v>509939</v>
      </c>
      <c r="CL103" s="62">
        <v>551487</v>
      </c>
    </row>
    <row r="104" spans="1:90" s="52" customFormat="1" ht="15" thickTop="1" thickBot="1">
      <c r="A104" s="52">
        <v>101</v>
      </c>
      <c r="C104" s="63" t="s">
        <v>445</v>
      </c>
      <c r="D104" s="64" t="s">
        <v>428</v>
      </c>
      <c r="E104" s="64" t="s">
        <v>428</v>
      </c>
      <c r="F104" s="64" t="s">
        <v>428</v>
      </c>
      <c r="G104" s="64" t="s">
        <v>428</v>
      </c>
      <c r="H104" s="64" t="s">
        <v>428</v>
      </c>
      <c r="I104" s="64" t="s">
        <v>428</v>
      </c>
      <c r="J104" s="64" t="s">
        <v>428</v>
      </c>
      <c r="K104" s="64" t="s">
        <v>428</v>
      </c>
      <c r="L104" s="64" t="s">
        <v>428</v>
      </c>
      <c r="M104" s="64" t="s">
        <v>428</v>
      </c>
      <c r="N104" s="64" t="s">
        <v>428</v>
      </c>
      <c r="O104" s="64" t="s">
        <v>428</v>
      </c>
      <c r="P104" s="64" t="s">
        <v>428</v>
      </c>
      <c r="Q104" s="64" t="s">
        <v>428</v>
      </c>
      <c r="R104" s="64" t="s">
        <v>428</v>
      </c>
      <c r="S104" s="64" t="s">
        <v>428</v>
      </c>
      <c r="T104" s="64" t="s">
        <v>428</v>
      </c>
      <c r="U104" s="64" t="s">
        <v>428</v>
      </c>
      <c r="V104" s="64" t="s">
        <v>428</v>
      </c>
      <c r="W104" s="64" t="s">
        <v>428</v>
      </c>
      <c r="X104" s="64" t="s">
        <v>428</v>
      </c>
      <c r="Y104" s="64" t="s">
        <v>428</v>
      </c>
      <c r="Z104" s="64" t="s">
        <v>428</v>
      </c>
      <c r="AA104" s="64" t="s">
        <v>428</v>
      </c>
      <c r="AB104" s="64" t="s">
        <v>428</v>
      </c>
      <c r="AC104" s="64" t="s">
        <v>428</v>
      </c>
      <c r="AD104" s="64" t="s">
        <v>428</v>
      </c>
      <c r="AE104" s="64" t="s">
        <v>428</v>
      </c>
      <c r="AF104" s="64" t="s">
        <v>428</v>
      </c>
      <c r="AG104" s="64" t="s">
        <v>428</v>
      </c>
      <c r="AH104" s="64" t="s">
        <v>428</v>
      </c>
      <c r="AI104" s="64">
        <v>486</v>
      </c>
      <c r="AJ104" s="64">
        <v>-179</v>
      </c>
      <c r="AK104" s="64">
        <v>71</v>
      </c>
      <c r="AL104" s="64">
        <v>-321</v>
      </c>
      <c r="AM104" s="64">
        <v>233</v>
      </c>
      <c r="AN104" s="64">
        <v>191</v>
      </c>
      <c r="AO104" s="64">
        <v>265</v>
      </c>
      <c r="AP104" s="64">
        <v>526</v>
      </c>
      <c r="AQ104" s="64">
        <v>166</v>
      </c>
      <c r="AR104" s="64">
        <v>-220</v>
      </c>
      <c r="AS104" s="64">
        <v>20</v>
      </c>
      <c r="AT104" s="64">
        <v>1041</v>
      </c>
      <c r="AU104" s="64">
        <v>1696</v>
      </c>
      <c r="AV104" s="64">
        <v>1035</v>
      </c>
      <c r="AW104" s="64">
        <v>-471</v>
      </c>
      <c r="AX104" s="64">
        <v>-789</v>
      </c>
      <c r="AY104" s="64">
        <v>2068</v>
      </c>
      <c r="AZ104" s="64">
        <v>830</v>
      </c>
      <c r="BA104" s="64">
        <v>2151</v>
      </c>
      <c r="BB104" s="64">
        <v>1846</v>
      </c>
      <c r="BC104" s="64">
        <v>-1214</v>
      </c>
      <c r="BD104" s="64">
        <v>-3039</v>
      </c>
      <c r="BE104" s="64">
        <v>55</v>
      </c>
      <c r="BF104" s="64">
        <v>5495</v>
      </c>
      <c r="BG104" s="64">
        <v>2585</v>
      </c>
      <c r="BH104" s="64">
        <v>1145</v>
      </c>
      <c r="BI104" s="64">
        <v>2863</v>
      </c>
      <c r="BJ104" s="64">
        <v>6545</v>
      </c>
      <c r="BK104" s="64">
        <v>-2357</v>
      </c>
      <c r="BL104" s="64">
        <v>-7044</v>
      </c>
      <c r="BM104" s="64">
        <v>13079</v>
      </c>
      <c r="BN104" s="64">
        <v>8253</v>
      </c>
      <c r="BO104" s="64">
        <v>5683</v>
      </c>
      <c r="BP104" s="64">
        <v>4760</v>
      </c>
      <c r="BQ104" s="64">
        <v>248</v>
      </c>
      <c r="BR104" s="64">
        <v>-4090</v>
      </c>
      <c r="BS104" s="64">
        <v>-3145</v>
      </c>
      <c r="BT104" s="64">
        <v>-13859</v>
      </c>
      <c r="BU104" s="64">
        <v>-7685</v>
      </c>
      <c r="BV104" s="64">
        <v>-228</v>
      </c>
      <c r="BW104" s="64">
        <v>16379</v>
      </c>
      <c r="BX104" s="64">
        <v>5826</v>
      </c>
      <c r="BY104" s="64">
        <v>11574</v>
      </c>
      <c r="BZ104" s="64">
        <v>2258</v>
      </c>
      <c r="CA104" s="64">
        <v>10570</v>
      </c>
      <c r="CB104" s="64">
        <v>804</v>
      </c>
      <c r="CC104" s="64">
        <v>-1052</v>
      </c>
      <c r="CD104" s="64">
        <v>-1911</v>
      </c>
      <c r="CE104" s="64">
        <v>1510</v>
      </c>
      <c r="CF104" s="64">
        <v>-2206</v>
      </c>
      <c r="CG104" s="64">
        <v>11222</v>
      </c>
      <c r="CH104" s="64">
        <v>-9176</v>
      </c>
      <c r="CI104" s="64">
        <v>13508</v>
      </c>
      <c r="CJ104" s="64">
        <v>3318</v>
      </c>
      <c r="CK104" s="64">
        <v>2647</v>
      </c>
      <c r="CL104" s="64">
        <v>2061</v>
      </c>
    </row>
    <row r="105" spans="1:90" s="52" customFormat="1" thickTop="1">
      <c r="A105" s="52">
        <v>102</v>
      </c>
      <c r="C105" s="63" t="s">
        <v>447</v>
      </c>
      <c r="D105" s="64" t="s">
        <v>428</v>
      </c>
      <c r="E105" s="64" t="s">
        <v>428</v>
      </c>
      <c r="F105" s="64" t="s">
        <v>428</v>
      </c>
      <c r="G105" s="64" t="s">
        <v>428</v>
      </c>
      <c r="H105" s="64" t="s">
        <v>428</v>
      </c>
      <c r="I105" s="64" t="s">
        <v>428</v>
      </c>
      <c r="J105" s="64" t="s">
        <v>428</v>
      </c>
      <c r="K105" s="64" t="s">
        <v>428</v>
      </c>
      <c r="L105" s="64" t="s">
        <v>428</v>
      </c>
      <c r="M105" s="64" t="s">
        <v>428</v>
      </c>
      <c r="N105" s="64" t="s">
        <v>428</v>
      </c>
      <c r="O105" s="64" t="s">
        <v>428</v>
      </c>
      <c r="P105" s="64" t="s">
        <v>428</v>
      </c>
      <c r="Q105" s="64" t="s">
        <v>428</v>
      </c>
      <c r="R105" s="64" t="s">
        <v>428</v>
      </c>
      <c r="S105" s="64" t="s">
        <v>428</v>
      </c>
      <c r="T105" s="64" t="s">
        <v>428</v>
      </c>
      <c r="U105" s="64" t="s">
        <v>428</v>
      </c>
      <c r="V105" s="64" t="s">
        <v>428</v>
      </c>
      <c r="W105" s="64" t="s">
        <v>428</v>
      </c>
      <c r="X105" s="64" t="s">
        <v>428</v>
      </c>
      <c r="Y105" s="64" t="s">
        <v>428</v>
      </c>
      <c r="Z105" s="64" t="s">
        <v>428</v>
      </c>
      <c r="AA105" s="64" t="s">
        <v>428</v>
      </c>
      <c r="AB105" s="64" t="s">
        <v>428</v>
      </c>
      <c r="AC105" s="64" t="s">
        <v>428</v>
      </c>
      <c r="AD105" s="64" t="s">
        <v>428</v>
      </c>
      <c r="AE105" s="64" t="s">
        <v>428</v>
      </c>
      <c r="AF105" s="64" t="s">
        <v>428</v>
      </c>
      <c r="AG105" s="64" t="s">
        <v>428</v>
      </c>
      <c r="AH105" s="64" t="s">
        <v>428</v>
      </c>
      <c r="AI105" s="64" t="s">
        <v>428</v>
      </c>
      <c r="AJ105" s="64" t="s">
        <v>428</v>
      </c>
      <c r="AK105" s="64" t="s">
        <v>428</v>
      </c>
      <c r="AL105" s="64" t="s">
        <v>428</v>
      </c>
      <c r="AM105" s="64" t="s">
        <v>428</v>
      </c>
      <c r="AN105" s="64" t="s">
        <v>428</v>
      </c>
      <c r="AO105" s="64" t="s">
        <v>428</v>
      </c>
      <c r="AP105" s="64" t="s">
        <v>428</v>
      </c>
      <c r="AQ105" s="64" t="s">
        <v>428</v>
      </c>
      <c r="AR105" s="64" t="s">
        <v>428</v>
      </c>
      <c r="AS105" s="64" t="s">
        <v>428</v>
      </c>
      <c r="AT105" s="64" t="s">
        <v>428</v>
      </c>
      <c r="AU105" s="64" t="s">
        <v>428</v>
      </c>
      <c r="AV105" s="64" t="s">
        <v>428</v>
      </c>
      <c r="AW105" s="64" t="s">
        <v>428</v>
      </c>
      <c r="AX105" s="64" t="s">
        <v>428</v>
      </c>
      <c r="AY105" s="64" t="s">
        <v>428</v>
      </c>
      <c r="AZ105" s="64" t="s">
        <v>428</v>
      </c>
      <c r="BA105" s="64" t="s">
        <v>428</v>
      </c>
      <c r="BB105" s="64" t="s">
        <v>428</v>
      </c>
      <c r="BC105" s="64" t="s">
        <v>428</v>
      </c>
      <c r="BD105" s="64" t="s">
        <v>428</v>
      </c>
      <c r="BE105" s="64" t="s">
        <v>428</v>
      </c>
      <c r="BF105" s="64" t="s">
        <v>428</v>
      </c>
      <c r="BG105" s="64" t="s">
        <v>428</v>
      </c>
      <c r="BH105" s="64" t="s">
        <v>428</v>
      </c>
      <c r="BI105" s="64" t="s">
        <v>428</v>
      </c>
      <c r="BJ105" s="64" t="s">
        <v>428</v>
      </c>
      <c r="BK105" s="64" t="s">
        <v>428</v>
      </c>
      <c r="BL105" s="64" t="s">
        <v>428</v>
      </c>
      <c r="BM105" s="64" t="s">
        <v>428</v>
      </c>
      <c r="BN105" s="64" t="s">
        <v>428</v>
      </c>
      <c r="BO105" s="64" t="s">
        <v>428</v>
      </c>
      <c r="BP105" s="64" t="s">
        <v>428</v>
      </c>
      <c r="BQ105" s="64" t="s">
        <v>428</v>
      </c>
      <c r="BR105" s="64" t="s">
        <v>428</v>
      </c>
      <c r="BS105" s="64" t="s">
        <v>428</v>
      </c>
      <c r="BT105" s="64" t="s">
        <v>428</v>
      </c>
      <c r="BU105" s="64">
        <v>-1</v>
      </c>
      <c r="BV105" s="64">
        <v>-2</v>
      </c>
      <c r="BW105" s="64" t="s">
        <v>428</v>
      </c>
      <c r="BX105" s="64">
        <v>8484</v>
      </c>
      <c r="BY105" s="64">
        <v>1</v>
      </c>
      <c r="BZ105" s="64" t="s">
        <v>428</v>
      </c>
      <c r="CA105" s="64" t="s">
        <v>428</v>
      </c>
      <c r="CB105" s="64">
        <v>-1</v>
      </c>
      <c r="CC105" s="64" t="s">
        <v>428</v>
      </c>
      <c r="CD105" s="64">
        <v>1</v>
      </c>
      <c r="CE105" s="64" t="s">
        <v>428</v>
      </c>
      <c r="CF105" s="64" t="s">
        <v>428</v>
      </c>
      <c r="CG105" s="64" t="s">
        <v>428</v>
      </c>
      <c r="CH105" s="64" t="s">
        <v>428</v>
      </c>
      <c r="CI105" s="64" t="s">
        <v>428</v>
      </c>
      <c r="CJ105" s="64" t="s">
        <v>428</v>
      </c>
      <c r="CK105" s="64" t="s">
        <v>428</v>
      </c>
      <c r="CL105" s="64" t="s">
        <v>428</v>
      </c>
    </row>
    <row r="106" spans="1:90" s="52" customFormat="1" ht="13">
      <c r="A106" s="52">
        <v>103</v>
      </c>
      <c r="C106" s="63" t="s">
        <v>468</v>
      </c>
      <c r="D106" s="59" t="s">
        <v>428</v>
      </c>
      <c r="E106" s="59" t="s">
        <v>428</v>
      </c>
      <c r="F106" s="59" t="s">
        <v>428</v>
      </c>
      <c r="G106" s="59" t="s">
        <v>428</v>
      </c>
      <c r="H106" s="59" t="s">
        <v>428</v>
      </c>
      <c r="I106" s="59" t="s">
        <v>428</v>
      </c>
      <c r="J106" s="59" t="s">
        <v>428</v>
      </c>
      <c r="K106" s="59" t="s">
        <v>428</v>
      </c>
      <c r="L106" s="59" t="s">
        <v>428</v>
      </c>
      <c r="M106" s="59" t="s">
        <v>428</v>
      </c>
      <c r="N106" s="59" t="s">
        <v>428</v>
      </c>
      <c r="O106" s="59" t="s">
        <v>428</v>
      </c>
      <c r="P106" s="59" t="s">
        <v>428</v>
      </c>
      <c r="Q106" s="59" t="s">
        <v>428</v>
      </c>
      <c r="R106" s="59" t="s">
        <v>428</v>
      </c>
      <c r="S106" s="59" t="s">
        <v>428</v>
      </c>
      <c r="T106" s="59" t="s">
        <v>428</v>
      </c>
      <c r="U106" s="59" t="s">
        <v>428</v>
      </c>
      <c r="V106" s="59" t="s">
        <v>428</v>
      </c>
      <c r="W106" s="59" t="s">
        <v>428</v>
      </c>
      <c r="X106" s="59" t="s">
        <v>428</v>
      </c>
      <c r="Y106" s="59" t="s">
        <v>428</v>
      </c>
      <c r="Z106" s="59" t="s">
        <v>428</v>
      </c>
      <c r="AA106" s="59" t="s">
        <v>428</v>
      </c>
      <c r="AB106" s="59" t="s">
        <v>428</v>
      </c>
      <c r="AC106" s="59" t="s">
        <v>428</v>
      </c>
      <c r="AD106" s="59" t="s">
        <v>428</v>
      </c>
      <c r="AE106" s="59" t="s">
        <v>428</v>
      </c>
      <c r="AF106" s="59" t="s">
        <v>428</v>
      </c>
      <c r="AG106" s="59" t="s">
        <v>428</v>
      </c>
      <c r="AH106" s="59" t="s">
        <v>428</v>
      </c>
      <c r="AI106" s="59" t="s">
        <v>428</v>
      </c>
      <c r="AJ106" s="59" t="s">
        <v>428</v>
      </c>
      <c r="AK106" s="59" t="s">
        <v>428</v>
      </c>
      <c r="AL106" s="59" t="s">
        <v>428</v>
      </c>
      <c r="AM106" s="59" t="s">
        <v>428</v>
      </c>
      <c r="AN106" s="59" t="s">
        <v>428</v>
      </c>
      <c r="AO106" s="59" t="s">
        <v>428</v>
      </c>
      <c r="AP106" s="59" t="s">
        <v>428</v>
      </c>
      <c r="AQ106" s="59" t="s">
        <v>428</v>
      </c>
      <c r="AR106" s="59" t="s">
        <v>428</v>
      </c>
      <c r="AS106" s="59" t="s">
        <v>428</v>
      </c>
      <c r="AT106" s="59" t="s">
        <v>428</v>
      </c>
      <c r="AU106" s="59" t="s">
        <v>428</v>
      </c>
      <c r="AV106" s="59" t="s">
        <v>428</v>
      </c>
      <c r="AW106" s="59" t="s">
        <v>428</v>
      </c>
      <c r="AX106" s="59" t="s">
        <v>428</v>
      </c>
      <c r="AY106" s="59" t="s">
        <v>428</v>
      </c>
      <c r="AZ106" s="59" t="s">
        <v>428</v>
      </c>
      <c r="BA106" s="59" t="s">
        <v>428</v>
      </c>
      <c r="BB106" s="59" t="s">
        <v>428</v>
      </c>
      <c r="BC106" s="59" t="s">
        <v>428</v>
      </c>
      <c r="BD106" s="59" t="s">
        <v>428</v>
      </c>
      <c r="BE106" s="59" t="s">
        <v>428</v>
      </c>
      <c r="BF106" s="59" t="s">
        <v>428</v>
      </c>
      <c r="BG106" s="59" t="s">
        <v>428</v>
      </c>
      <c r="BH106" s="59" t="s">
        <v>428</v>
      </c>
      <c r="BI106" s="59" t="s">
        <v>428</v>
      </c>
      <c r="BJ106" s="59">
        <v>-1805</v>
      </c>
      <c r="BK106" s="59" t="s">
        <v>428</v>
      </c>
      <c r="BL106" s="59" t="s">
        <v>428</v>
      </c>
      <c r="BM106" s="59" t="s">
        <v>428</v>
      </c>
      <c r="BN106" s="59" t="s">
        <v>428</v>
      </c>
      <c r="BO106" s="59" t="s">
        <v>428</v>
      </c>
      <c r="BP106" s="59" t="s">
        <v>428</v>
      </c>
      <c r="BQ106" s="59" t="s">
        <v>428</v>
      </c>
      <c r="BR106" s="59" t="s">
        <v>428</v>
      </c>
      <c r="BS106" s="59" t="s">
        <v>428</v>
      </c>
      <c r="BT106" s="59" t="s">
        <v>428</v>
      </c>
      <c r="BU106" s="59" t="s">
        <v>428</v>
      </c>
      <c r="BV106" s="59" t="s">
        <v>428</v>
      </c>
      <c r="BW106" s="59" t="s">
        <v>428</v>
      </c>
      <c r="BX106" s="59" t="s">
        <v>428</v>
      </c>
      <c r="BY106" s="59" t="s">
        <v>428</v>
      </c>
      <c r="BZ106" s="59" t="s">
        <v>428</v>
      </c>
      <c r="CA106" s="59" t="s">
        <v>428</v>
      </c>
      <c r="CB106" s="59" t="s">
        <v>428</v>
      </c>
      <c r="CC106" s="59" t="s">
        <v>428</v>
      </c>
      <c r="CD106" s="59" t="s">
        <v>428</v>
      </c>
      <c r="CE106" s="59" t="s">
        <v>428</v>
      </c>
      <c r="CF106" s="59" t="s">
        <v>428</v>
      </c>
      <c r="CG106" s="59" t="s">
        <v>428</v>
      </c>
      <c r="CH106" s="59" t="s">
        <v>428</v>
      </c>
      <c r="CI106" s="59" t="s">
        <v>428</v>
      </c>
      <c r="CJ106" s="59" t="s">
        <v>428</v>
      </c>
      <c r="CK106" s="59" t="s">
        <v>428</v>
      </c>
      <c r="CL106" s="59" t="s">
        <v>428</v>
      </c>
    </row>
    <row r="107" spans="1:90" s="52" customFormat="1" thickBot="1">
      <c r="A107" s="52">
        <v>104</v>
      </c>
      <c r="C107" s="63" t="s">
        <v>448</v>
      </c>
      <c r="D107" s="59" t="s">
        <v>428</v>
      </c>
      <c r="E107" s="59" t="s">
        <v>428</v>
      </c>
      <c r="F107" s="59" t="s">
        <v>428</v>
      </c>
      <c r="G107" s="59" t="s">
        <v>428</v>
      </c>
      <c r="H107" s="59" t="s">
        <v>428</v>
      </c>
      <c r="I107" s="59" t="s">
        <v>428</v>
      </c>
      <c r="J107" s="59" t="s">
        <v>428</v>
      </c>
      <c r="K107" s="59" t="s">
        <v>428</v>
      </c>
      <c r="L107" s="59" t="s">
        <v>428</v>
      </c>
      <c r="M107" s="59" t="s">
        <v>428</v>
      </c>
      <c r="N107" s="59" t="s">
        <v>428</v>
      </c>
      <c r="O107" s="59" t="s">
        <v>428</v>
      </c>
      <c r="P107" s="59" t="s">
        <v>428</v>
      </c>
      <c r="Q107" s="59" t="s">
        <v>428</v>
      </c>
      <c r="R107" s="59" t="s">
        <v>428</v>
      </c>
      <c r="S107" s="59" t="s">
        <v>428</v>
      </c>
      <c r="T107" s="59" t="s">
        <v>428</v>
      </c>
      <c r="U107" s="59" t="s">
        <v>428</v>
      </c>
      <c r="V107" s="59" t="s">
        <v>428</v>
      </c>
      <c r="W107" s="59" t="s">
        <v>428</v>
      </c>
      <c r="X107" s="59" t="s">
        <v>428</v>
      </c>
      <c r="Y107" s="59" t="s">
        <v>428</v>
      </c>
      <c r="Z107" s="59" t="s">
        <v>428</v>
      </c>
      <c r="AA107" s="59" t="s">
        <v>428</v>
      </c>
      <c r="AB107" s="59" t="s">
        <v>428</v>
      </c>
      <c r="AC107" s="59" t="s">
        <v>428</v>
      </c>
      <c r="AD107" s="59" t="s">
        <v>428</v>
      </c>
      <c r="AE107" s="59" t="s">
        <v>428</v>
      </c>
      <c r="AF107" s="59" t="s">
        <v>428</v>
      </c>
      <c r="AG107" s="59" t="s">
        <v>428</v>
      </c>
      <c r="AH107" s="59" t="s">
        <v>428</v>
      </c>
      <c r="AI107" s="59">
        <v>486</v>
      </c>
      <c r="AJ107" s="59">
        <v>307</v>
      </c>
      <c r="AK107" s="59">
        <v>378</v>
      </c>
      <c r="AL107" s="59">
        <v>57</v>
      </c>
      <c r="AM107" s="59">
        <v>290</v>
      </c>
      <c r="AN107" s="59">
        <v>481</v>
      </c>
      <c r="AO107" s="59">
        <v>746</v>
      </c>
      <c r="AP107" s="59">
        <v>1272</v>
      </c>
      <c r="AQ107" s="59">
        <v>1438</v>
      </c>
      <c r="AR107" s="59">
        <v>1219</v>
      </c>
      <c r="AS107" s="59">
        <v>1239</v>
      </c>
      <c r="AT107" s="59">
        <v>2279</v>
      </c>
      <c r="AU107" s="59">
        <v>3975</v>
      </c>
      <c r="AV107" s="59">
        <v>5010</v>
      </c>
      <c r="AW107" s="59">
        <v>4539</v>
      </c>
      <c r="AX107" s="59">
        <v>3750</v>
      </c>
      <c r="AY107" s="59">
        <v>5818</v>
      </c>
      <c r="AZ107" s="59">
        <v>6648</v>
      </c>
      <c r="BA107" s="59">
        <v>8799</v>
      </c>
      <c r="BB107" s="59">
        <v>10645</v>
      </c>
      <c r="BC107" s="59">
        <v>9431</v>
      </c>
      <c r="BD107" s="59">
        <v>6392</v>
      </c>
      <c r="BE107" s="59">
        <v>6447</v>
      </c>
      <c r="BF107" s="59">
        <v>11942</v>
      </c>
      <c r="BG107" s="59">
        <v>14527</v>
      </c>
      <c r="BH107" s="59">
        <v>15672</v>
      </c>
      <c r="BI107" s="59">
        <v>18535</v>
      </c>
      <c r="BJ107" s="59">
        <v>23276</v>
      </c>
      <c r="BK107" s="59">
        <v>20919</v>
      </c>
      <c r="BL107" s="59">
        <v>13874</v>
      </c>
      <c r="BM107" s="59">
        <v>26953</v>
      </c>
      <c r="BN107" s="59">
        <v>35206</v>
      </c>
      <c r="BO107" s="59">
        <v>40889</v>
      </c>
      <c r="BP107" s="59">
        <v>45649</v>
      </c>
      <c r="BQ107" s="59">
        <v>45896</v>
      </c>
      <c r="BR107" s="59">
        <v>41805</v>
      </c>
      <c r="BS107" s="59">
        <v>38660</v>
      </c>
      <c r="BT107" s="59">
        <v>24801</v>
      </c>
      <c r="BU107" s="59">
        <v>17115</v>
      </c>
      <c r="BV107" s="59">
        <v>16885</v>
      </c>
      <c r="BW107" s="59">
        <v>33264</v>
      </c>
      <c r="BX107" s="59">
        <v>47574</v>
      </c>
      <c r="BY107" s="59">
        <v>59149</v>
      </c>
      <c r="BZ107" s="59">
        <v>61407</v>
      </c>
      <c r="CA107" s="59">
        <v>71977</v>
      </c>
      <c r="CB107" s="59">
        <v>72780</v>
      </c>
      <c r="CC107" s="59">
        <v>71728</v>
      </c>
      <c r="CD107" s="59">
        <v>69818</v>
      </c>
      <c r="CE107" s="59">
        <v>71328</v>
      </c>
      <c r="CF107" s="59">
        <v>69122</v>
      </c>
      <c r="CG107" s="59">
        <v>80344</v>
      </c>
      <c r="CH107" s="59">
        <v>71168</v>
      </c>
      <c r="CI107" s="59">
        <v>84676</v>
      </c>
      <c r="CJ107" s="59">
        <v>87994</v>
      </c>
      <c r="CK107" s="59">
        <v>90641</v>
      </c>
      <c r="CL107" s="59">
        <v>92702</v>
      </c>
    </row>
    <row r="108" spans="1:90" s="52" customFormat="1" thickTop="1">
      <c r="A108" s="52">
        <v>105</v>
      </c>
      <c r="C108" s="63" t="s">
        <v>449</v>
      </c>
      <c r="D108" s="64" t="s">
        <v>428</v>
      </c>
      <c r="E108" s="64" t="s">
        <v>428</v>
      </c>
      <c r="F108" s="64" t="s">
        <v>428</v>
      </c>
      <c r="G108" s="64" t="s">
        <v>428</v>
      </c>
      <c r="H108" s="64" t="s">
        <v>428</v>
      </c>
      <c r="I108" s="64" t="s">
        <v>428</v>
      </c>
      <c r="J108" s="64" t="s">
        <v>428</v>
      </c>
      <c r="K108" s="64" t="s">
        <v>428</v>
      </c>
      <c r="L108" s="64" t="s">
        <v>428</v>
      </c>
      <c r="M108" s="64" t="s">
        <v>428</v>
      </c>
      <c r="N108" s="64" t="s">
        <v>428</v>
      </c>
      <c r="O108" s="64" t="s">
        <v>428</v>
      </c>
      <c r="P108" s="64" t="s">
        <v>428</v>
      </c>
      <c r="Q108" s="64" t="s">
        <v>428</v>
      </c>
      <c r="R108" s="64" t="s">
        <v>428</v>
      </c>
      <c r="S108" s="64" t="s">
        <v>428</v>
      </c>
      <c r="T108" s="64" t="s">
        <v>428</v>
      </c>
      <c r="U108" s="64" t="s">
        <v>428</v>
      </c>
      <c r="V108" s="64" t="s">
        <v>428</v>
      </c>
      <c r="W108" s="64" t="s">
        <v>428</v>
      </c>
      <c r="X108" s="64" t="s">
        <v>428</v>
      </c>
      <c r="Y108" s="64" t="s">
        <v>428</v>
      </c>
      <c r="Z108" s="64" t="s">
        <v>428</v>
      </c>
      <c r="AA108" s="64" t="s">
        <v>428</v>
      </c>
      <c r="AB108" s="64" t="s">
        <v>428</v>
      </c>
      <c r="AC108" s="64" t="s">
        <v>428</v>
      </c>
      <c r="AD108" s="64" t="s">
        <v>428</v>
      </c>
      <c r="AE108" s="64" t="s">
        <v>428</v>
      </c>
      <c r="AF108" s="64" t="s">
        <v>428</v>
      </c>
      <c r="AG108" s="64" t="s">
        <v>428</v>
      </c>
      <c r="AH108" s="64" t="s">
        <v>428</v>
      </c>
      <c r="AI108" s="64">
        <v>479</v>
      </c>
      <c r="AJ108" s="64">
        <v>281</v>
      </c>
      <c r="AK108" s="64">
        <v>358</v>
      </c>
      <c r="AL108" s="64">
        <v>13</v>
      </c>
      <c r="AM108" s="64">
        <v>257</v>
      </c>
      <c r="AN108" s="64">
        <v>478</v>
      </c>
      <c r="AO108" s="64">
        <v>700</v>
      </c>
      <c r="AP108" s="64">
        <v>1231</v>
      </c>
      <c r="AQ108" s="64">
        <v>1378</v>
      </c>
      <c r="AR108" s="64">
        <v>1230</v>
      </c>
      <c r="AS108" s="64">
        <v>1244</v>
      </c>
      <c r="AT108" s="64">
        <v>2232</v>
      </c>
      <c r="AU108" s="64">
        <v>4021</v>
      </c>
      <c r="AV108" s="64">
        <v>4974</v>
      </c>
      <c r="AW108" s="64">
        <v>4558</v>
      </c>
      <c r="AX108" s="64">
        <v>3821</v>
      </c>
      <c r="AY108" s="64">
        <v>5874</v>
      </c>
      <c r="AZ108" s="64">
        <v>6958</v>
      </c>
      <c r="BA108" s="64">
        <v>9117</v>
      </c>
      <c r="BB108" s="64">
        <v>10736</v>
      </c>
      <c r="BC108" s="64">
        <v>9424</v>
      </c>
      <c r="BD108" s="64">
        <v>6166</v>
      </c>
      <c r="BE108" s="64">
        <v>6326</v>
      </c>
      <c r="BF108" s="64">
        <v>11928</v>
      </c>
      <c r="BG108" s="64">
        <v>14286</v>
      </c>
      <c r="BH108" s="64">
        <v>16241</v>
      </c>
      <c r="BI108" s="64">
        <v>18534</v>
      </c>
      <c r="BJ108" s="64">
        <v>23268</v>
      </c>
      <c r="BK108" s="64">
        <v>21489</v>
      </c>
      <c r="BL108" s="64">
        <v>13513</v>
      </c>
      <c r="BM108" s="64">
        <v>27175</v>
      </c>
      <c r="BN108" s="64">
        <v>34464</v>
      </c>
      <c r="BO108" s="64">
        <v>39502</v>
      </c>
      <c r="BP108" s="64">
        <v>26529</v>
      </c>
      <c r="BQ108" s="64">
        <v>45075</v>
      </c>
      <c r="BR108" s="64">
        <v>41978</v>
      </c>
      <c r="BS108" s="64">
        <v>38804</v>
      </c>
      <c r="BT108" s="64">
        <v>24850</v>
      </c>
      <c r="BU108" s="64">
        <v>17115</v>
      </c>
      <c r="BV108" s="64">
        <v>17202</v>
      </c>
      <c r="BW108" s="64">
        <v>33061</v>
      </c>
      <c r="BX108" s="64">
        <v>39248</v>
      </c>
      <c r="BY108" s="64">
        <v>59090</v>
      </c>
      <c r="BZ108" s="64">
        <v>61764</v>
      </c>
      <c r="CA108" s="64">
        <v>70982</v>
      </c>
      <c r="CB108" s="64">
        <v>70446</v>
      </c>
      <c r="CC108" s="64">
        <v>69324</v>
      </c>
      <c r="CD108" s="64">
        <v>67385</v>
      </c>
      <c r="CE108" s="64">
        <v>68391</v>
      </c>
      <c r="CF108" s="64">
        <v>66128</v>
      </c>
      <c r="CG108" s="64">
        <v>78344</v>
      </c>
      <c r="CH108" s="64">
        <v>68997</v>
      </c>
      <c r="CI108" s="64">
        <v>84676</v>
      </c>
      <c r="CJ108" s="64">
        <v>87994</v>
      </c>
      <c r="CK108" s="64">
        <v>90641</v>
      </c>
      <c r="CL108" s="64">
        <v>92702</v>
      </c>
    </row>
    <row r="109" spans="1:90" s="52" customFormat="1" ht="13">
      <c r="A109" s="52">
        <v>106</v>
      </c>
      <c r="C109" s="65" t="s">
        <v>450</v>
      </c>
      <c r="D109" s="66" t="s">
        <v>428</v>
      </c>
      <c r="E109" s="66" t="s">
        <v>428</v>
      </c>
      <c r="F109" s="66" t="s">
        <v>428</v>
      </c>
      <c r="G109" s="66" t="s">
        <v>428</v>
      </c>
      <c r="H109" s="66" t="s">
        <v>428</v>
      </c>
      <c r="I109" s="66" t="s">
        <v>428</v>
      </c>
      <c r="J109" s="66" t="s">
        <v>428</v>
      </c>
      <c r="K109" s="66" t="s">
        <v>428</v>
      </c>
      <c r="L109" s="66" t="s">
        <v>428</v>
      </c>
      <c r="M109" s="66" t="s">
        <v>428</v>
      </c>
      <c r="N109" s="66" t="s">
        <v>428</v>
      </c>
      <c r="O109" s="66" t="s">
        <v>428</v>
      </c>
      <c r="P109" s="66" t="s">
        <v>428</v>
      </c>
      <c r="Q109" s="66" t="s">
        <v>428</v>
      </c>
      <c r="R109" s="66" t="s">
        <v>428</v>
      </c>
      <c r="S109" s="66" t="s">
        <v>428</v>
      </c>
      <c r="T109" s="66" t="s">
        <v>428</v>
      </c>
      <c r="U109" s="66" t="s">
        <v>428</v>
      </c>
      <c r="V109" s="66" t="s">
        <v>428</v>
      </c>
      <c r="W109" s="66" t="s">
        <v>428</v>
      </c>
      <c r="X109" s="66" t="s">
        <v>428</v>
      </c>
      <c r="Y109" s="66" t="s">
        <v>428</v>
      </c>
      <c r="Z109" s="66" t="s">
        <v>428</v>
      </c>
      <c r="AA109" s="66" t="s">
        <v>428</v>
      </c>
      <c r="AB109" s="66" t="s">
        <v>428</v>
      </c>
      <c r="AC109" s="66" t="s">
        <v>428</v>
      </c>
      <c r="AD109" s="66" t="s">
        <v>428</v>
      </c>
      <c r="AE109" s="66" t="s">
        <v>428</v>
      </c>
      <c r="AF109" s="66" t="s">
        <v>428</v>
      </c>
      <c r="AG109" s="66" t="s">
        <v>428</v>
      </c>
      <c r="AH109" s="66" t="s">
        <v>428</v>
      </c>
      <c r="AI109" s="66">
        <v>7</v>
      </c>
      <c r="AJ109" s="66">
        <v>25</v>
      </c>
      <c r="AK109" s="66">
        <v>20</v>
      </c>
      <c r="AL109" s="66">
        <v>44</v>
      </c>
      <c r="AM109" s="66">
        <v>33</v>
      </c>
      <c r="AN109" s="66">
        <v>3</v>
      </c>
      <c r="AO109" s="66">
        <v>46</v>
      </c>
      <c r="AP109" s="66">
        <v>41</v>
      </c>
      <c r="AQ109" s="66">
        <v>60</v>
      </c>
      <c r="AR109" s="66">
        <v>-12</v>
      </c>
      <c r="AS109" s="66">
        <v>-5</v>
      </c>
      <c r="AT109" s="66">
        <v>47</v>
      </c>
      <c r="AU109" s="66">
        <v>-45</v>
      </c>
      <c r="AV109" s="66">
        <v>36</v>
      </c>
      <c r="AW109" s="66">
        <v>-19</v>
      </c>
      <c r="AX109" s="66">
        <v>-72</v>
      </c>
      <c r="AY109" s="66">
        <v>-56</v>
      </c>
      <c r="AZ109" s="66">
        <v>-310</v>
      </c>
      <c r="BA109" s="66">
        <v>-318</v>
      </c>
      <c r="BB109" s="66">
        <v>-91</v>
      </c>
      <c r="BC109" s="66">
        <v>7</v>
      </c>
      <c r="BD109" s="66">
        <v>226</v>
      </c>
      <c r="BE109" s="66">
        <v>121</v>
      </c>
      <c r="BF109" s="66">
        <v>15</v>
      </c>
      <c r="BG109" s="66">
        <v>241</v>
      </c>
      <c r="BH109" s="66">
        <v>-569</v>
      </c>
      <c r="BI109" s="66">
        <v>2</v>
      </c>
      <c r="BJ109" s="66">
        <v>8</v>
      </c>
      <c r="BK109" s="66">
        <v>-570</v>
      </c>
      <c r="BL109" s="66">
        <v>361</v>
      </c>
      <c r="BM109" s="66">
        <v>-222</v>
      </c>
      <c r="BN109" s="66">
        <v>742</v>
      </c>
      <c r="BO109" s="66">
        <v>1387</v>
      </c>
      <c r="BP109" s="66">
        <v>19120</v>
      </c>
      <c r="BQ109" s="66">
        <v>821</v>
      </c>
      <c r="BR109" s="66">
        <v>-174</v>
      </c>
      <c r="BS109" s="66">
        <v>-145</v>
      </c>
      <c r="BT109" s="66">
        <v>-49</v>
      </c>
      <c r="BU109" s="66" t="s">
        <v>428</v>
      </c>
      <c r="BV109" s="66">
        <v>-317</v>
      </c>
      <c r="BW109" s="66">
        <v>203</v>
      </c>
      <c r="BX109" s="66">
        <v>8326</v>
      </c>
      <c r="BY109" s="66">
        <v>59</v>
      </c>
      <c r="BZ109" s="66">
        <v>-357</v>
      </c>
      <c r="CA109" s="66">
        <v>995</v>
      </c>
      <c r="CB109" s="66">
        <v>2334</v>
      </c>
      <c r="CC109" s="66">
        <v>2404</v>
      </c>
      <c r="CD109" s="66">
        <v>2433</v>
      </c>
      <c r="CE109" s="66">
        <v>2937</v>
      </c>
      <c r="CF109" s="66">
        <v>2994</v>
      </c>
      <c r="CG109" s="66">
        <v>2000</v>
      </c>
      <c r="CH109" s="66">
        <v>2171</v>
      </c>
      <c r="CI109" s="66" t="s">
        <v>428</v>
      </c>
      <c r="CJ109" s="66" t="s">
        <v>428</v>
      </c>
      <c r="CK109" s="66" t="s">
        <v>428</v>
      </c>
      <c r="CL109" s="66" t="s">
        <v>428</v>
      </c>
    </row>
    <row r="110" spans="1:90" s="52" customFormat="1" ht="16.5" customHeight="1">
      <c r="A110" s="52">
        <v>107</v>
      </c>
      <c r="C110" s="128" t="s">
        <v>479</v>
      </c>
      <c r="D110" s="128"/>
      <c r="E110" s="128"/>
      <c r="F110" s="128"/>
      <c r="G110" s="128"/>
      <c r="H110" s="128"/>
      <c r="I110" s="128"/>
      <c r="J110" s="128"/>
      <c r="K110" s="128"/>
      <c r="L110" s="128"/>
    </row>
    <row r="111" spans="1:90" s="52" customFormat="1" ht="16.5" customHeight="1">
      <c r="A111" s="52">
        <v>108</v>
      </c>
      <c r="C111" s="124" t="s">
        <v>480</v>
      </c>
      <c r="D111" s="124"/>
      <c r="E111" s="124"/>
      <c r="F111" s="124"/>
      <c r="G111" s="124"/>
      <c r="H111" s="124"/>
      <c r="I111" s="124"/>
      <c r="J111" s="124"/>
      <c r="K111" s="124"/>
      <c r="L111" s="124"/>
    </row>
    <row r="112" spans="1:90" s="52" customFormat="1" ht="16.5" customHeight="1">
      <c r="A112" s="52">
        <v>109</v>
      </c>
      <c r="C112" s="124" t="s">
        <v>481</v>
      </c>
      <c r="D112" s="124"/>
      <c r="E112" s="124"/>
      <c r="F112" s="124"/>
      <c r="G112" s="124"/>
      <c r="H112" s="124"/>
      <c r="I112" s="124"/>
      <c r="J112" s="124"/>
      <c r="K112" s="124"/>
      <c r="L112" s="124"/>
    </row>
    <row r="113" spans="1:12" s="52" customFormat="1" ht="30.75" customHeight="1">
      <c r="A113" s="52">
        <v>110</v>
      </c>
      <c r="C113" s="124" t="s">
        <v>482</v>
      </c>
      <c r="D113" s="124"/>
      <c r="E113" s="124"/>
      <c r="F113" s="124"/>
      <c r="G113" s="124"/>
      <c r="H113" s="124"/>
      <c r="I113" s="124"/>
      <c r="J113" s="124"/>
      <c r="K113" s="124"/>
      <c r="L113" s="124"/>
    </row>
    <row r="114" spans="1:12" s="52" customFormat="1" ht="16.5" customHeight="1">
      <c r="A114" s="52">
        <v>111</v>
      </c>
      <c r="C114" s="124" t="s">
        <v>483</v>
      </c>
      <c r="D114" s="124"/>
      <c r="E114" s="124"/>
      <c r="F114" s="124"/>
      <c r="G114" s="124"/>
      <c r="H114" s="124"/>
      <c r="I114" s="124"/>
      <c r="J114" s="124"/>
      <c r="K114" s="124"/>
      <c r="L114" s="124"/>
    </row>
    <row r="115" spans="1:12" s="52" customFormat="1" ht="16.5" customHeight="1">
      <c r="A115" s="52">
        <v>112</v>
      </c>
      <c r="C115" s="124" t="s">
        <v>484</v>
      </c>
      <c r="D115" s="124"/>
      <c r="E115" s="124"/>
      <c r="F115" s="124"/>
      <c r="G115" s="124"/>
      <c r="H115" s="124"/>
      <c r="I115" s="124"/>
      <c r="J115" s="124"/>
      <c r="K115" s="124"/>
      <c r="L115" s="124"/>
    </row>
    <row r="116" spans="1:12" s="52" customFormat="1" ht="14.25" customHeight="1">
      <c r="A116" s="52">
        <v>113</v>
      </c>
      <c r="C116" s="125" t="s">
        <v>485</v>
      </c>
      <c r="D116" s="125"/>
      <c r="E116" s="125"/>
      <c r="F116" s="125"/>
      <c r="G116" s="125"/>
      <c r="H116" s="125"/>
      <c r="I116" s="125"/>
      <c r="J116" s="125"/>
      <c r="K116" s="125"/>
      <c r="L116" s="125"/>
    </row>
    <row r="117" spans="1:12" s="52" customFormat="1" ht="42.75" customHeight="1">
      <c r="A117" s="52">
        <v>114</v>
      </c>
      <c r="C117" s="125" t="s">
        <v>486</v>
      </c>
      <c r="D117" s="125"/>
      <c r="E117" s="125"/>
      <c r="F117" s="125"/>
      <c r="G117" s="125"/>
      <c r="H117" s="125"/>
      <c r="I117" s="125"/>
      <c r="J117" s="125"/>
      <c r="K117" s="125"/>
      <c r="L117" s="125"/>
    </row>
  </sheetData>
  <mergeCells count="10">
    <mergeCell ref="C114:L114"/>
    <mergeCell ref="C115:L115"/>
    <mergeCell ref="C116:L116"/>
    <mergeCell ref="C117:L117"/>
    <mergeCell ref="C1:M1"/>
    <mergeCell ref="C2:L2"/>
    <mergeCell ref="C110:L110"/>
    <mergeCell ref="C111:L111"/>
    <mergeCell ref="C112:L112"/>
    <mergeCell ref="C113:L113"/>
  </mergeCells>
  <pageMargins left="0.5" right="0.5" top="0.5" bottom="0.5" header="0.5" footer="0.5"/>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3"/>
  <sheetViews>
    <sheetView workbookViewId="0">
      <pane xSplit="2" ySplit="3" topLeftCell="C88" activePane="bottomRight" state="frozen"/>
      <selection pane="topRight" activeCell="B1" sqref="B1"/>
      <selection pane="bottomLeft" activeCell="A2" sqref="A2"/>
      <selection pane="bottomRight" activeCell="B105" sqref="B105"/>
    </sheetView>
  </sheetViews>
  <sheetFormatPr baseColWidth="10" defaultColWidth="9.1640625" defaultRowHeight="13" outlineLevelRow="4" outlineLevelCol="1" x14ac:dyDescent="0"/>
  <cols>
    <col min="1" max="1" width="9.1640625" style="22"/>
    <col min="2" max="2" width="72.6640625" style="22" customWidth="1"/>
    <col min="3" max="3" width="9.1640625" style="22" customWidth="1"/>
    <col min="4" max="12" width="9.1640625" style="22" customWidth="1" outlineLevel="1"/>
    <col min="13" max="13" width="9.1640625" style="22" customWidth="1"/>
    <col min="14" max="22" width="9.1640625" style="22" customWidth="1" outlineLevel="1"/>
    <col min="23" max="23" width="9.1640625" style="22" customWidth="1"/>
    <col min="24" max="27" width="9.1640625" style="22" customWidth="1" outlineLevel="1"/>
    <col min="28" max="28" width="9.1640625" style="22" customWidth="1"/>
    <col min="29" max="32" width="9.1640625" style="22" customWidth="1" outlineLevel="1"/>
    <col min="33" max="37" width="9.1640625" style="22" customWidth="1"/>
    <col min="38" max="16384" width="9.1640625" style="22"/>
  </cols>
  <sheetData>
    <row r="1" spans="1:41">
      <c r="A1" s="22" t="s">
        <v>500</v>
      </c>
      <c r="B1" s="23" t="s">
        <v>501</v>
      </c>
    </row>
    <row r="2" spans="1:41">
      <c r="C2" s="123" t="s">
        <v>329</v>
      </c>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row>
    <row r="3" spans="1:41">
      <c r="B3" s="76"/>
      <c r="C3" s="77">
        <v>1980</v>
      </c>
      <c r="D3" s="77">
        <v>1981</v>
      </c>
      <c r="E3" s="77">
        <v>1982</v>
      </c>
      <c r="F3" s="77">
        <v>1983</v>
      </c>
      <c r="G3" s="77">
        <v>1984</v>
      </c>
      <c r="H3" s="77">
        <v>1985</v>
      </c>
      <c r="I3" s="77">
        <v>1986</v>
      </c>
      <c r="J3" s="77">
        <v>1987</v>
      </c>
      <c r="K3" s="77">
        <v>1988</v>
      </c>
      <c r="L3" s="77">
        <v>1989</v>
      </c>
      <c r="M3" s="77">
        <v>1990</v>
      </c>
      <c r="N3" s="77">
        <v>1991</v>
      </c>
      <c r="O3" s="77">
        <v>1992</v>
      </c>
      <c r="P3" s="77">
        <v>1993</v>
      </c>
      <c r="Q3" s="77">
        <v>1994</v>
      </c>
      <c r="R3" s="77">
        <v>1995</v>
      </c>
      <c r="S3" s="77">
        <v>1996</v>
      </c>
      <c r="T3" s="77">
        <v>1997</v>
      </c>
      <c r="U3" s="77">
        <v>1998</v>
      </c>
      <c r="V3" s="77">
        <v>1999</v>
      </c>
      <c r="W3" s="77">
        <v>2000</v>
      </c>
      <c r="X3" s="77">
        <v>2001</v>
      </c>
      <c r="Y3" s="77">
        <v>2002</v>
      </c>
      <c r="Z3" s="77">
        <v>2003</v>
      </c>
      <c r="AA3" s="77">
        <v>2004</v>
      </c>
      <c r="AB3" s="77">
        <v>2005</v>
      </c>
      <c r="AC3" s="77">
        <v>2006</v>
      </c>
      <c r="AD3" s="77">
        <v>2007</v>
      </c>
      <c r="AE3" s="77">
        <v>2008</v>
      </c>
      <c r="AF3" s="77">
        <v>2009</v>
      </c>
      <c r="AG3" s="77">
        <v>2010</v>
      </c>
      <c r="AH3" s="77">
        <v>2011</v>
      </c>
      <c r="AI3" s="77">
        <v>2012</v>
      </c>
      <c r="AJ3" s="77">
        <v>2013</v>
      </c>
      <c r="AK3" s="77">
        <v>2014</v>
      </c>
    </row>
    <row r="4" spans="1:41">
      <c r="B4" s="22" t="s">
        <v>0</v>
      </c>
    </row>
    <row r="5" spans="1:41">
      <c r="A5" s="22" t="str">
        <f>B4</f>
        <v>Revenue</v>
      </c>
      <c r="B5" s="25" t="s">
        <v>502</v>
      </c>
      <c r="C5" s="107">
        <f>'Federal P&amp;L'!B3+'State and Local P&amp;L'!B3-'State and Local P&amp;L'!B23</f>
        <v>770234475</v>
      </c>
      <c r="D5" s="107">
        <f>'Federal P&amp;L'!C3+'State and Local P&amp;L'!C3-'State and Local P&amp;L'!C23</f>
        <v>886091027</v>
      </c>
      <c r="E5" s="107">
        <f>'Federal P&amp;L'!D3+'State and Local P&amp;L'!D3-'State and Local P&amp;L'!D23</f>
        <v>928593522</v>
      </c>
      <c r="F5" s="107">
        <f>'Federal P&amp;L'!E3+'State and Local P&amp;L'!E3-'State and Local P&amp;L'!E23</f>
        <v>943487780</v>
      </c>
      <c r="G5" s="107">
        <f>'Federal P&amp;L'!F3+'State and Local P&amp;L'!F3-'State and Local P&amp;L'!F23</f>
        <v>1049722301</v>
      </c>
      <c r="H5" s="107">
        <f>'Federal P&amp;L'!G3+'State and Local P&amp;L'!G3-'State and Local P&amp;L'!G23</f>
        <v>1156591168</v>
      </c>
      <c r="I5" s="107">
        <f>'Federal P&amp;L'!H3+'State and Local P&amp;L'!H3-'State and Local P&amp;L'!H23</f>
        <v>1232437055</v>
      </c>
      <c r="J5" s="107">
        <f>'Federal P&amp;L'!I3+'State and Local P&amp;L'!I3-'State and Local P&amp;L'!I23</f>
        <v>1363313105</v>
      </c>
      <c r="K5" s="107">
        <f>'Federal P&amp;L'!J3+'State and Local P&amp;L'!J3-'State and Local P&amp;L'!J23</f>
        <v>1433268181</v>
      </c>
      <c r="L5" s="107">
        <f>'Federal P&amp;L'!K3+'State and Local P&amp;L'!K3-'State and Local P&amp;L'!K23</f>
        <v>1550889931</v>
      </c>
      <c r="M5" s="107">
        <f>'Federal P&amp;L'!L3+'State and Local P&amp;L'!L3-'State and Local P&amp;L'!L23</f>
        <v>1639391158</v>
      </c>
      <c r="N5" s="107">
        <f>'Federal P&amp;L'!M3+'State and Local P&amp;L'!M3-'State and Local P&amp;L'!M23</f>
        <v>1679769412</v>
      </c>
      <c r="O5" s="107">
        <f>'Federal P&amp;L'!N3+'State and Local P&amp;L'!N3-'State and Local P&amp;L'!N23</f>
        <v>1776447330</v>
      </c>
      <c r="P5" s="107">
        <f>'Federal P&amp;L'!O3+'State and Local P&amp;L'!O3-'State and Local P&amp;L'!O23</f>
        <v>1882619100</v>
      </c>
      <c r="Q5" s="107">
        <f>'Federal P&amp;L'!P3+'State and Local P&amp;L'!P3-'State and Local P&amp;L'!P23</f>
        <v>2017584478</v>
      </c>
      <c r="R5" s="107">
        <f>'Federal P&amp;L'!Q3+'State and Local P&amp;L'!Q3-'State and Local P&amp;L'!Q23</f>
        <v>2162181048</v>
      </c>
      <c r="S5" s="107">
        <f>'Federal P&amp;L'!R3+'State and Local P&amp;L'!R3-'State and Local P&amp;L'!R23</f>
        <v>2330558229</v>
      </c>
      <c r="T5" s="107">
        <f>'Federal P&amp;L'!S3+'State and Local P&amp;L'!S3-'State and Local P&amp;L'!S23</f>
        <v>2543821543</v>
      </c>
      <c r="U5" s="107">
        <f>'Federal P&amp;L'!T3+'State and Local P&amp;L'!T3-'State and Local P&amp;L'!T23</f>
        <v>2774177695</v>
      </c>
      <c r="V5" s="107">
        <f>'Federal P&amp;L'!U3+'State and Local P&amp;L'!U3-'State and Local P&amp;L'!U23</f>
        <v>2915303245</v>
      </c>
      <c r="W5" s="107">
        <f>'Federal P&amp;L'!V3+'State and Local P&amp;L'!V3-'State and Local P&amp;L'!V23</f>
        <v>3216311901</v>
      </c>
      <c r="X5" s="107">
        <f>'Federal P&amp;L'!W3+'State and Local P&amp;L'!W3-'State and Local P&amp;L'!W23</f>
        <v>3063051086</v>
      </c>
      <c r="Y5" s="107">
        <f>'Federal P&amp;L'!X3+'State and Local P&amp;L'!X3-'State and Local P&amp;L'!X23</f>
        <v>2785577241</v>
      </c>
      <c r="Z5" s="107">
        <f>'Federal P&amp;L'!Y3+'State and Local P&amp;L'!Y3-'State and Local P&amp;L'!Y23</f>
        <v>2903951582</v>
      </c>
      <c r="AA5" s="107">
        <f>'Federal P&amp;L'!Z3+'State and Local P&amp;L'!Z3-'State and Local P&amp;L'!Z23</f>
        <v>3323158594</v>
      </c>
      <c r="AB5" s="107">
        <f>'Federal P&amp;L'!AA3+'State and Local P&amp;L'!AA3-'State and Local P&amp;L'!AA23</f>
        <v>3643024514</v>
      </c>
      <c r="AC5" s="107">
        <f>'Federal P&amp;L'!AB3+'State and Local P&amp;L'!AB3-'State and Local P&amp;L'!AB23</f>
        <v>4040386568</v>
      </c>
      <c r="AD5" s="107">
        <f>'Federal P&amp;L'!AC3+'State and Local P&amp;L'!AC3-'State and Local P&amp;L'!AC23</f>
        <v>4485053666</v>
      </c>
      <c r="AE5" s="107">
        <f>'Federal P&amp;L'!AD3+'State and Local P&amp;L'!AD3-'State and Local P&amp;L'!AD23</f>
        <v>3948796423</v>
      </c>
      <c r="AF5" s="107">
        <f>'Federal P&amp;L'!AE3+'State and Local P&amp;L'!AE3-'State and Local P&amp;L'!AE23</f>
        <v>2932360080</v>
      </c>
      <c r="AG5" s="107">
        <f>'Federal P&amp;L'!AF3+'State and Local P&amp;L'!AF3-'State and Local P&amp;L'!AF23</f>
        <v>3935840633</v>
      </c>
      <c r="AH5" s="107">
        <f>'Federal P&amp;L'!AG3+'State and Local P&amp;L'!AG3-'State and Local P&amp;L'!AG23</f>
        <v>4283234817</v>
      </c>
      <c r="AI5" s="107">
        <f>'Federal P&amp;L'!AH3+'State and Local P&amp;L'!AH3-'State and Local P&amp;L'!AH23</f>
        <v>4103225645</v>
      </c>
      <c r="AJ5" s="107">
        <f>'Federal P&amp;L'!AI3+'State and Local P&amp;L'!AI3-'State and Local P&amp;L'!AI23</f>
        <v>4780262698</v>
      </c>
      <c r="AK5" s="107">
        <f>'Federal P&amp;L'!AJ3+'State and Local P&amp;L'!AJ3-'State and Local P&amp;L'!AJ23</f>
        <v>5217217757</v>
      </c>
    </row>
    <row r="6" spans="1:41" outlineLevel="1">
      <c r="A6" s="22" t="str">
        <f>B4</f>
        <v>Revenue</v>
      </c>
      <c r="B6" s="38" t="s">
        <v>1</v>
      </c>
      <c r="C6" s="108">
        <f>'Federal P&amp;L'!B4+'State and Local P&amp;L'!B4</f>
        <v>726848652</v>
      </c>
      <c r="D6" s="108">
        <f>'Federal P&amp;L'!C4+'State and Local P&amp;L'!C4</f>
        <v>829128064</v>
      </c>
      <c r="E6" s="108">
        <f>'Federal P&amp;L'!D4+'State and Local P&amp;L'!D4</f>
        <v>867460743</v>
      </c>
      <c r="F6" s="108">
        <f>'Federal P&amp;L'!E4+'State and Local P&amp;L'!E4</f>
        <v>869673489</v>
      </c>
      <c r="G6" s="108">
        <f>'Federal P&amp;L'!F4+'State and Local P&amp;L'!F4</f>
        <v>970680686</v>
      </c>
      <c r="H6" s="108">
        <f>'Federal P&amp;L'!G4+'State and Local P&amp;L'!G4</f>
        <v>1067850101</v>
      </c>
      <c r="I6" s="108">
        <f>'Federal P&amp;L'!H4+'State and Local P&amp;L'!H4</f>
        <v>1124741712</v>
      </c>
      <c r="J6" s="108">
        <f>'Federal P&amp;L'!I4+'State and Local P&amp;L'!I4</f>
        <v>1242995483</v>
      </c>
      <c r="K6" s="108">
        <f>'Federal P&amp;L'!J4+'State and Local P&amp;L'!J4</f>
        <v>1329261443</v>
      </c>
      <c r="L6" s="108">
        <f>'Federal P&amp;L'!K4+'State and Local P&amp;L'!K4</f>
        <v>1441799788</v>
      </c>
      <c r="M6" s="108">
        <f>'Federal P&amp;L'!L4+'State and Local P&amp;L'!L4</f>
        <v>1511709993</v>
      </c>
      <c r="N6" s="108">
        <f>'Federal P&amp;L'!M4+'State and Local P&amp;L'!M4</f>
        <v>1563333694</v>
      </c>
      <c r="O6" s="108">
        <f>'Federal P&amp;L'!N4+'State and Local P&amp;L'!N4</f>
        <v>1631203367</v>
      </c>
      <c r="P6" s="108">
        <f>'Federal P&amp;L'!O4+'State and Local P&amp;L'!O4</f>
        <v>1737426227</v>
      </c>
      <c r="Q6" s="108">
        <f>'Federal P&amp;L'!P4+'State and Local P&amp;L'!P4</f>
        <v>1869571680</v>
      </c>
      <c r="R6" s="108">
        <f>'Federal P&amp;L'!Q4+'State and Local P&amp;L'!Q4</f>
        <v>1992644648</v>
      </c>
      <c r="S6" s="108">
        <f>'Federal P&amp;L'!R4+'State and Local P&amp;L'!R4</f>
        <v>2125103760</v>
      </c>
      <c r="T6" s="108">
        <f>'Federal P&amp;L'!S4+'State and Local P&amp;L'!S4</f>
        <v>2291763005</v>
      </c>
      <c r="U6" s="108">
        <f>'Federal P&amp;L'!T4+'State and Local P&amp;L'!T4</f>
        <v>2475128747</v>
      </c>
      <c r="V6" s="108">
        <f>'Federal P&amp;L'!U4+'State and Local P&amp;L'!U4</f>
        <v>2620898139</v>
      </c>
      <c r="W6" s="108">
        <f>'Federal P&amp;L'!V4+'State and Local P&amp;L'!V4</f>
        <v>2869087568</v>
      </c>
      <c r="X6" s="108">
        <f>'Federal P&amp;L'!W4+'State and Local P&amp;L'!W4</f>
        <v>2883131885</v>
      </c>
      <c r="Y6" s="108">
        <f>'Federal P&amp;L'!X4+'State and Local P&amp;L'!X4</f>
        <v>2742277241</v>
      </c>
      <c r="Z6" s="108">
        <f>'Federal P&amp;L'!Y4+'State and Local P&amp;L'!Y4</f>
        <v>2707023994</v>
      </c>
      <c r="AA6" s="108">
        <f>'Federal P&amp;L'!Z4+'State and Local P&amp;L'!Z4</f>
        <v>2880998625</v>
      </c>
      <c r="AB6" s="108">
        <f>'Federal P&amp;L'!AA4+'State and Local P&amp;L'!AA4</f>
        <v>3243612536</v>
      </c>
      <c r="AC6" s="108">
        <f>'Federal P&amp;L'!AB4+'State and Local P&amp;L'!AB4</f>
        <v>3594023134</v>
      </c>
      <c r="AD6" s="108">
        <f>'Federal P&amp;L'!AC4+'State and Local P&amp;L'!AC4</f>
        <v>3831156635</v>
      </c>
      <c r="AE6" s="108">
        <f>'Federal P&amp;L'!AD4+'State and Local P&amp;L'!AD4</f>
        <v>3832957599</v>
      </c>
      <c r="AF6" s="108">
        <f>'Federal P&amp;L'!AE4+'State and Local P&amp;L'!AE4</f>
        <v>3365355466</v>
      </c>
      <c r="AG6" s="108">
        <f>'Federal P&amp;L'!AF4+'State and Local P&amp;L'!AF4</f>
        <v>3376897717</v>
      </c>
      <c r="AH6" s="108">
        <f>'Federal P&amp;L'!AG4+'State and Local P&amp;L'!AG4</f>
        <v>3576988860</v>
      </c>
      <c r="AI6" s="108">
        <f>'Federal P&amp;L'!AH4+'State and Local P&amp;L'!AH4</f>
        <v>3765899821</v>
      </c>
      <c r="AJ6" s="108">
        <f>'Federal P&amp;L'!AI4+'State and Local P&amp;L'!AI4</f>
        <v>4159230411</v>
      </c>
      <c r="AK6" s="108">
        <f>'Federal P&amp;L'!AJ4+'State and Local P&amp;L'!AJ4</f>
        <v>4411212655</v>
      </c>
    </row>
    <row r="7" spans="1:41" outlineLevel="2">
      <c r="A7" s="22" t="str">
        <f>B6</f>
        <v>Tax Revenue</v>
      </c>
      <c r="B7" s="27" t="s">
        <v>3</v>
      </c>
      <c r="C7" s="109">
        <f>'Federal P&amp;L'!B5+'State and Local P&amp;L'!B5</f>
        <v>286148662</v>
      </c>
      <c r="D7" s="109">
        <f>'Federal P&amp;L'!C5+'State and Local P&amp;L'!C5</f>
        <v>332343526</v>
      </c>
      <c r="E7" s="109">
        <f>'Federal P&amp;L'!D5+'State and Local P&amp;L'!D5</f>
        <v>348482656</v>
      </c>
      <c r="F7" s="109">
        <f>'Federal P&amp;L'!E5+'State and Local P&amp;L'!E5</f>
        <v>344066741</v>
      </c>
      <c r="G7" s="109">
        <f>'Federal P&amp;L'!F5+'State and Local P&amp;L'!F5</f>
        <v>363286781</v>
      </c>
      <c r="H7" s="109">
        <f>'Federal P&amp;L'!G5+'State and Local P&amp;L'!G5</f>
        <v>404892421</v>
      </c>
      <c r="I7" s="109">
        <f>'Federal P&amp;L'!H5+'State and Local P&amp;L'!H5</f>
        <v>423324323</v>
      </c>
      <c r="J7" s="109">
        <f>'Federal P&amp;L'!I5+'State and Local P&amp;L'!I5</f>
        <v>476491743</v>
      </c>
      <c r="K7" s="109">
        <f>'Federal P&amp;L'!J5+'State and Local P&amp;L'!J5</f>
        <v>489530608</v>
      </c>
      <c r="L7" s="109">
        <f>'Federal P&amp;L'!K5+'State and Local P&amp;L'!K5</f>
        <v>543495979</v>
      </c>
      <c r="M7" s="109">
        <f>'Federal P&amp;L'!L5+'State and Local P&amp;L'!L5</f>
        <v>572524024</v>
      </c>
      <c r="N7" s="109">
        <f>'Federal P&amp;L'!M5+'State and Local P&amp;L'!M5</f>
        <v>577168275</v>
      </c>
      <c r="O7" s="109">
        <f>'Federal P&amp;L'!N5+'State and Local P&amp;L'!N5</f>
        <v>591528329</v>
      </c>
      <c r="P7" s="109">
        <f>'Federal P&amp;L'!O5+'State and Local P&amp;L'!O5</f>
        <v>632915522</v>
      </c>
      <c r="Q7" s="109">
        <f>'Federal P&amp;L'!P5+'State and Local P&amp;L'!P5</f>
        <v>671864672</v>
      </c>
      <c r="R7" s="109">
        <f>'Federal P&amp;L'!Q5+'State and Local P&amp;L'!Q5</f>
        <v>728174595</v>
      </c>
      <c r="S7" s="109">
        <f>'Federal P&amp;L'!R5+'State and Local P&amp;L'!R5</f>
        <v>803259248</v>
      </c>
      <c r="T7" s="109">
        <f>'Federal P&amp;L'!S5+'State and Local P&amp;L'!S5</f>
        <v>896535891</v>
      </c>
      <c r="U7" s="109">
        <f>'Federal P&amp;L'!T5+'State and Local P&amp;L'!T5</f>
        <v>1004216035</v>
      </c>
      <c r="V7" s="109">
        <f>'Federal P&amp;L'!U5+'State and Local P&amp;L'!U5</f>
        <v>1068788854</v>
      </c>
      <c r="W7" s="109">
        <f>'Federal P&amp;L'!V5+'State and Local P&amp;L'!V5</f>
        <v>1216122682</v>
      </c>
      <c r="X7" s="109">
        <f>'Federal P&amp;L'!W5+'State and Local P&amp;L'!W5</f>
        <v>1220672547</v>
      </c>
      <c r="Y7" s="109">
        <f>'Federal P&amp;L'!X5+'State and Local P&amp;L'!X5</f>
        <v>1061177254</v>
      </c>
      <c r="Z7" s="109">
        <f>'Federal P&amp;L'!Y5+'State and Local P&amp;L'!Y5</f>
        <v>993106020</v>
      </c>
      <c r="AA7" s="109">
        <f>'Federal P&amp;L'!Z5+'State and Local P&amp;L'!Z5</f>
        <v>1024173769</v>
      </c>
      <c r="AB7" s="109">
        <f>'Federal P&amp;L'!AA5+'State and Local P&amp;L'!AA5</f>
        <v>1169495042</v>
      </c>
      <c r="AC7" s="109">
        <f>'Federal P&amp;L'!AB5+'State and Local P&amp;L'!AB5</f>
        <v>1312575132</v>
      </c>
      <c r="AD7" s="109">
        <f>'Federal P&amp;L'!AC5+'State and Local P&amp;L'!AC5</f>
        <v>1453750113</v>
      </c>
      <c r="AE7" s="109">
        <f>'Federal P&amp;L'!AD5+'State and Local P&amp;L'!AD5</f>
        <v>1450649076</v>
      </c>
      <c r="AF7" s="109">
        <f>'Federal P&amp;L'!AE5+'State and Local P&amp;L'!AE5</f>
        <v>1186249521</v>
      </c>
      <c r="AG7" s="109">
        <f>'Federal P&amp;L'!AF5+'State and Local P&amp;L'!AF5</f>
        <v>1160059473</v>
      </c>
      <c r="AH7" s="109">
        <f>'Federal P&amp;L'!AG5+'State and Local P&amp;L'!AG5</f>
        <v>1376766135</v>
      </c>
      <c r="AI7" s="109">
        <f>'Federal P&amp;L'!AH5+'State and Local P&amp;L'!AH5</f>
        <v>1439461616</v>
      </c>
      <c r="AJ7" s="109">
        <f>'Federal P&amp;L'!AI5+'State and Local P&amp;L'!AI5</f>
        <v>1655114576</v>
      </c>
      <c r="AK7" s="109">
        <f>'Federal P&amp;L'!AJ5+'State and Local P&amp;L'!AJ5</f>
        <v>1735703706</v>
      </c>
    </row>
    <row r="8" spans="1:41" outlineLevel="2">
      <c r="A8" s="22" t="str">
        <f>B6</f>
        <v>Tax Revenue</v>
      </c>
      <c r="B8" s="27" t="s">
        <v>6</v>
      </c>
      <c r="C8" s="109">
        <f>'Federal P&amp;L'!B7</f>
        <v>155537189</v>
      </c>
      <c r="D8" s="109">
        <f>'Federal P&amp;L'!C7</f>
        <v>180497726</v>
      </c>
      <c r="E8" s="109">
        <f>'Federal P&amp;L'!D7</f>
        <v>199365036</v>
      </c>
      <c r="F8" s="109">
        <f>'Federal P&amp;L'!E7</f>
        <v>207644920</v>
      </c>
      <c r="G8" s="109">
        <f>'Federal P&amp;L'!F7</f>
        <v>238314793</v>
      </c>
      <c r="H8" s="109">
        <f>'Federal P&amp;L'!G7</f>
        <v>264703685</v>
      </c>
      <c r="I8" s="109">
        <f>'Federal P&amp;L'!H7</f>
        <v>283912398</v>
      </c>
      <c r="J8" s="109">
        <f>'Federal P&amp;L'!I7</f>
        <v>303887951</v>
      </c>
      <c r="K8" s="109">
        <f>'Federal P&amp;L'!J7</f>
        <v>335768060</v>
      </c>
      <c r="L8" s="109">
        <f>'Federal P&amp;L'!K7</f>
        <v>361556549</v>
      </c>
      <c r="M8" s="109">
        <f>'Federal P&amp;L'!L7</f>
        <v>382955992</v>
      </c>
      <c r="N8" s="109">
        <f>'Federal P&amp;L'!M7</f>
        <v>399313772</v>
      </c>
      <c r="O8" s="109">
        <f>'Federal P&amp;L'!N7</f>
        <v>417621876</v>
      </c>
      <c r="P8" s="109">
        <f>'Federal P&amp;L'!O7</f>
        <v>432829147</v>
      </c>
      <c r="Q8" s="109">
        <f>'Federal P&amp;L'!P7</f>
        <v>466012437</v>
      </c>
      <c r="R8" s="109">
        <f>'Federal P&amp;L'!Q7</f>
        <v>489111000</v>
      </c>
      <c r="S8" s="109">
        <f>'Federal P&amp;L'!R7</f>
        <v>513821000</v>
      </c>
      <c r="T8" s="109">
        <f>'Federal P&amp;L'!S7</f>
        <v>544133000</v>
      </c>
      <c r="U8" s="109">
        <f>'Federal P&amp;L'!T7</f>
        <v>577208000</v>
      </c>
      <c r="V8" s="109">
        <f>'Federal P&amp;L'!U7</f>
        <v>617389000</v>
      </c>
      <c r="W8" s="109">
        <f>'Federal P&amp;L'!V7</f>
        <v>658744000</v>
      </c>
      <c r="X8" s="109">
        <f>'Federal P&amp;L'!W7</f>
        <v>700289000</v>
      </c>
      <c r="Y8" s="109">
        <f>'Federal P&amp;L'!X7</f>
        <v>708405000</v>
      </c>
      <c r="Z8" s="109">
        <f>'Federal P&amp;L'!Y7</f>
        <v>721624000</v>
      </c>
      <c r="AA8" s="109">
        <f>'Federal P&amp;L'!Z7</f>
        <v>743408000</v>
      </c>
      <c r="AB8" s="109">
        <f>'Federal P&amp;L'!AA7</f>
        <v>804682000</v>
      </c>
      <c r="AC8" s="109">
        <f>'Federal P&amp;L'!AB7</f>
        <v>849320000</v>
      </c>
      <c r="AD8" s="109">
        <f>'Federal P&amp;L'!AC7</f>
        <v>881942000</v>
      </c>
      <c r="AE8" s="109">
        <f>'Federal P&amp;L'!AD7</f>
        <v>913555000</v>
      </c>
      <c r="AF8" s="109">
        <f>'Federal P&amp;L'!AE7</f>
        <v>906005000</v>
      </c>
      <c r="AG8" s="109">
        <f>'Federal P&amp;L'!AF7</f>
        <v>880923000</v>
      </c>
      <c r="AH8" s="109">
        <f>'Federal P&amp;L'!AG7</f>
        <v>835290000</v>
      </c>
      <c r="AI8" s="109">
        <f>'Federal P&amp;L'!AH7</f>
        <v>862646000</v>
      </c>
      <c r="AJ8" s="109">
        <f>'Federal P&amp;L'!AI7</f>
        <v>965755000</v>
      </c>
      <c r="AK8" s="109">
        <f>'Federal P&amp;L'!AJ7</f>
        <v>1040773000</v>
      </c>
    </row>
    <row r="9" spans="1:41" outlineLevel="3">
      <c r="A9" s="22" t="str">
        <f>B8</f>
        <v>Payroll Taxes</v>
      </c>
      <c r="B9" s="28" t="s">
        <v>54</v>
      </c>
      <c r="C9" s="109">
        <f>'Federal P&amp;L'!B8</f>
        <v>114412955</v>
      </c>
      <c r="D9" s="109">
        <f>'Federal P&amp;L'!C8</f>
        <v>131605620</v>
      </c>
      <c r="E9" s="109">
        <f>'Federal P&amp;L'!D8</f>
        <v>145112894</v>
      </c>
      <c r="F9" s="109">
        <f>'Federal P&amp;L'!E8</f>
        <v>149098287</v>
      </c>
      <c r="G9" s="109">
        <f>'Federal P&amp;L'!F8</f>
        <v>168118948</v>
      </c>
      <c r="H9" s="109">
        <f>'Federal P&amp;L'!G8</f>
        <v>188679481</v>
      </c>
      <c r="I9" s="109">
        <f>'Federal P&amp;L'!H8</f>
        <v>203085310</v>
      </c>
      <c r="J9" s="109">
        <f>'Federal P&amp;L'!I8</f>
        <v>216701396</v>
      </c>
      <c r="K9" s="109">
        <f>'Federal P&amp;L'!J8</f>
        <v>245561890</v>
      </c>
      <c r="L9" s="109">
        <f>'Federal P&amp;L'!K8</f>
        <v>268188263</v>
      </c>
      <c r="M9" s="109">
        <f>'Federal P&amp;L'!L8</f>
        <v>286722389</v>
      </c>
      <c r="N9" s="109">
        <f>'Federal P&amp;L'!M8</f>
        <v>299295400</v>
      </c>
      <c r="O9" s="109">
        <f>'Federal P&amp;L'!N8</f>
        <v>308164762</v>
      </c>
      <c r="P9" s="109">
        <f>'Federal P&amp;L'!O8</f>
        <v>318009717</v>
      </c>
      <c r="Q9" s="109">
        <f>'Federal P&amp;L'!P8</f>
        <v>341098090</v>
      </c>
      <c r="R9" s="109">
        <f>'Federal P&amp;L'!Q8</f>
        <v>357219000</v>
      </c>
      <c r="S9" s="109">
        <f>'Federal P&amp;L'!R8</f>
        <v>373460000</v>
      </c>
      <c r="T9" s="109">
        <f>'Federal P&amp;L'!S8</f>
        <v>398173000</v>
      </c>
      <c r="U9" s="109">
        <f>'Federal P&amp;L'!T8</f>
        <v>422569000</v>
      </c>
      <c r="V9" s="109">
        <f>'Federal P&amp;L'!U8</f>
        <v>451589000</v>
      </c>
      <c r="W9" s="109">
        <f>'Federal P&amp;L'!V8</f>
        <v>488212000</v>
      </c>
      <c r="X9" s="109">
        <f>'Federal P&amp;L'!W8</f>
        <v>515420000</v>
      </c>
      <c r="Y9" s="109">
        <f>'Federal P&amp;L'!X8</f>
        <v>524199000</v>
      </c>
      <c r="Z9" s="109">
        <f>'Federal P&amp;L'!Y8</f>
        <v>533444000</v>
      </c>
      <c r="AA9" s="109">
        <f>'Federal P&amp;L'!Z8</f>
        <v>545346000</v>
      </c>
      <c r="AB9" s="109">
        <f>'Federal P&amp;L'!AA8</f>
        <v>588417000</v>
      </c>
      <c r="AC9" s="109">
        <f>'Federal P&amp;L'!AB8</f>
        <v>620007000</v>
      </c>
      <c r="AD9" s="109">
        <f>'Federal P&amp;L'!AC8</f>
        <v>647388000</v>
      </c>
      <c r="AE9" s="109">
        <f>'Federal P&amp;L'!AD8</f>
        <v>671183000</v>
      </c>
      <c r="AF9" s="109">
        <f>'Federal P&amp;L'!AE8</f>
        <v>668235000</v>
      </c>
      <c r="AG9" s="109">
        <f>'Federal P&amp;L'!AF8</f>
        <v>646623000</v>
      </c>
      <c r="AH9" s="109">
        <f>'Federal P&amp;L'!AG8</f>
        <v>580887000</v>
      </c>
      <c r="AI9" s="109">
        <f>'Federal P&amp;L'!AH8</f>
        <v>585093000</v>
      </c>
      <c r="AJ9" s="109">
        <f>'Federal P&amp;L'!AI8</f>
        <v>689442000</v>
      </c>
      <c r="AK9" s="109">
        <f>'Federal P&amp;L'!AJ8</f>
        <v>751302000</v>
      </c>
    </row>
    <row r="10" spans="1:41" outlineLevel="4">
      <c r="A10" s="22" t="str">
        <f>B9</f>
        <v>Social Security</v>
      </c>
      <c r="B10" s="29" t="s">
        <v>72</v>
      </c>
      <c r="C10" s="109">
        <f>'Federal P&amp;L'!B9</f>
        <v>97607697</v>
      </c>
      <c r="D10" s="109">
        <f>'Federal P&amp;L'!C9</f>
        <v>119016123</v>
      </c>
      <c r="E10" s="109">
        <f>'Federal P&amp;L'!D9</f>
        <v>124246445</v>
      </c>
      <c r="F10" s="109">
        <f>'Federal P&amp;L'!E9</f>
        <v>130506498</v>
      </c>
      <c r="G10" s="109">
        <f>'Federal P&amp;L'!F9</f>
        <v>152163541</v>
      </c>
      <c r="H10" s="109">
        <f>'Federal P&amp;L'!G9</f>
        <v>172110010</v>
      </c>
      <c r="I10" s="109">
        <f>'Federal P&amp;L'!H9</f>
        <v>185125526</v>
      </c>
      <c r="J10" s="109">
        <f>'Federal P&amp;L'!I9</f>
        <v>197552022</v>
      </c>
      <c r="K10" s="109">
        <f>'Federal P&amp;L'!J9</f>
        <v>224052691</v>
      </c>
      <c r="L10" s="109">
        <f>'Federal P&amp;L'!K9</f>
        <v>244721652</v>
      </c>
      <c r="M10" s="109">
        <f>'Federal P&amp;L'!L9</f>
        <v>259617763</v>
      </c>
      <c r="N10" s="109">
        <f>'Federal P&amp;L'!M9</f>
        <v>270388319</v>
      </c>
      <c r="O10" s="109">
        <f>'Federal P&amp;L'!N9</f>
        <v>278317434</v>
      </c>
      <c r="P10" s="109">
        <f>'Federal P&amp;L'!O9</f>
        <v>287224064</v>
      </c>
      <c r="Q10" s="109">
        <f>'Federal P&amp;L'!P9</f>
        <v>308089951</v>
      </c>
      <c r="R10" s="109">
        <f>'Federal P&amp;L'!Q9</f>
        <v>289300000</v>
      </c>
      <c r="S10" s="109">
        <f>'Federal P&amp;L'!R9</f>
        <v>316932000</v>
      </c>
      <c r="T10" s="109">
        <f>'Federal P&amp;L'!S9</f>
        <v>342044000</v>
      </c>
      <c r="U10" s="109">
        <f>'Federal P&amp;L'!T9</f>
        <v>364627000</v>
      </c>
      <c r="V10" s="109">
        <f>'Federal P&amp;L'!U9</f>
        <v>389705000</v>
      </c>
      <c r="W10" s="109">
        <f>'Federal P&amp;L'!V9</f>
        <v>418212000</v>
      </c>
      <c r="X10" s="109">
        <f>'Federal P&amp;L'!W9</f>
        <v>440811000</v>
      </c>
      <c r="Y10" s="109">
        <f>'Federal P&amp;L'!X9</f>
        <v>448132000</v>
      </c>
      <c r="Z10" s="109">
        <f>'Federal P&amp;L'!Y9</f>
        <v>456013000</v>
      </c>
      <c r="AA10" s="109">
        <f>'Federal P&amp;L'!Z9</f>
        <v>466181000</v>
      </c>
      <c r="AB10" s="109">
        <f>'Federal P&amp;L'!AA9</f>
        <v>502998000</v>
      </c>
      <c r="AC10" s="109">
        <f>'Federal P&amp;L'!AB9</f>
        <v>530006000</v>
      </c>
      <c r="AD10" s="109">
        <f>'Federal P&amp;L'!AC9</f>
        <v>553415000</v>
      </c>
      <c r="AE10" s="109">
        <f>'Federal P&amp;L'!AD9</f>
        <v>573750000</v>
      </c>
      <c r="AF10" s="109">
        <f>'Federal P&amp;L'!AE9</f>
        <v>571228000</v>
      </c>
      <c r="AG10" s="109">
        <f>'Federal P&amp;L'!AF9</f>
        <v>552761000</v>
      </c>
      <c r="AH10" s="109">
        <f>'Federal P&amp;L'!AG9</f>
        <v>496591000</v>
      </c>
      <c r="AI10" s="109">
        <f>'Federal P&amp;L'!AH9</f>
        <v>500114000</v>
      </c>
      <c r="AJ10" s="109">
        <f>'Federal P&amp;L'!AI9</f>
        <v>589375000</v>
      </c>
      <c r="AK10" s="109">
        <f>'Federal P&amp;L'!AJ9</f>
        <v>642244000</v>
      </c>
    </row>
    <row r="11" spans="1:41" outlineLevel="4">
      <c r="A11" s="22" t="str">
        <f>B9</f>
        <v>Social Security</v>
      </c>
      <c r="B11" s="29" t="s">
        <v>73</v>
      </c>
      <c r="C11" s="109">
        <f>'Federal P&amp;L'!B10</f>
        <v>16805258</v>
      </c>
      <c r="D11" s="109">
        <f>'Federal P&amp;L'!C10</f>
        <v>12589497</v>
      </c>
      <c r="E11" s="109">
        <f>'Federal P&amp;L'!D10</f>
        <v>20866449</v>
      </c>
      <c r="F11" s="109">
        <f>'Federal P&amp;L'!E10</f>
        <v>18591789</v>
      </c>
      <c r="G11" s="109">
        <f>'Federal P&amp;L'!F10</f>
        <v>15955407</v>
      </c>
      <c r="H11" s="109">
        <f>'Federal P&amp;L'!G10</f>
        <v>16569471</v>
      </c>
      <c r="I11" s="109">
        <f>'Federal P&amp;L'!H10</f>
        <v>17959784</v>
      </c>
      <c r="J11" s="109">
        <f>'Federal P&amp;L'!I10</f>
        <v>19149374</v>
      </c>
      <c r="K11" s="109">
        <f>'Federal P&amp;L'!J10</f>
        <v>21509199</v>
      </c>
      <c r="L11" s="109">
        <f>'Federal P&amp;L'!K10</f>
        <v>23466611</v>
      </c>
      <c r="M11" s="109">
        <f>'Federal P&amp;L'!L10</f>
        <v>27104626</v>
      </c>
      <c r="N11" s="109">
        <f>'Federal P&amp;L'!M10</f>
        <v>28907081</v>
      </c>
      <c r="O11" s="109">
        <f>'Federal P&amp;L'!N10</f>
        <v>29847328</v>
      </c>
      <c r="P11" s="109">
        <f>'Federal P&amp;L'!O10</f>
        <v>30785653</v>
      </c>
      <c r="Q11" s="109">
        <f>'Federal P&amp;L'!P10</f>
        <v>33008139</v>
      </c>
      <c r="R11" s="109">
        <f>'Federal P&amp;L'!Q10</f>
        <v>67919000</v>
      </c>
      <c r="S11" s="109">
        <f>'Federal P&amp;L'!R10</f>
        <v>56528000</v>
      </c>
      <c r="T11" s="109">
        <f>'Federal P&amp;L'!S10</f>
        <v>56129000</v>
      </c>
      <c r="U11" s="109">
        <f>'Federal P&amp;L'!T10</f>
        <v>57942000</v>
      </c>
      <c r="V11" s="109">
        <f>'Federal P&amp;L'!U10</f>
        <v>61884000</v>
      </c>
      <c r="W11" s="109">
        <f>'Federal P&amp;L'!V10</f>
        <v>70000000</v>
      </c>
      <c r="X11" s="109">
        <f>'Federal P&amp;L'!W10</f>
        <v>74609000</v>
      </c>
      <c r="Y11" s="109">
        <f>'Federal P&amp;L'!X10</f>
        <v>76067000</v>
      </c>
      <c r="Z11" s="109">
        <f>'Federal P&amp;L'!Y10</f>
        <v>77431000</v>
      </c>
      <c r="AA11" s="109">
        <f>'Federal P&amp;L'!Z10</f>
        <v>79165000</v>
      </c>
      <c r="AB11" s="109">
        <f>'Federal P&amp;L'!AA10</f>
        <v>85419000</v>
      </c>
      <c r="AC11" s="109">
        <f>'Federal P&amp;L'!AB10</f>
        <v>90001000</v>
      </c>
      <c r="AD11" s="109">
        <f>'Federal P&amp;L'!AC10</f>
        <v>93973000</v>
      </c>
      <c r="AE11" s="109">
        <f>'Federal P&amp;L'!AD10</f>
        <v>97433000</v>
      </c>
      <c r="AF11" s="109">
        <f>'Federal P&amp;L'!AE10</f>
        <v>97007000</v>
      </c>
      <c r="AG11" s="109">
        <f>'Federal P&amp;L'!AF10</f>
        <v>93862000</v>
      </c>
      <c r="AH11" s="109">
        <f>'Federal P&amp;L'!AG10</f>
        <v>84296000</v>
      </c>
      <c r="AI11" s="109">
        <f>'Federal P&amp;L'!AH10</f>
        <v>84979000</v>
      </c>
      <c r="AJ11" s="109">
        <f>'Federal P&amp;L'!AI10</f>
        <v>100067000</v>
      </c>
      <c r="AK11" s="109">
        <f>'Federal P&amp;L'!AJ10</f>
        <v>109058000</v>
      </c>
      <c r="AO11" s="78"/>
    </row>
    <row r="12" spans="1:41" outlineLevel="3">
      <c r="A12" s="22" t="str">
        <f>B8</f>
        <v>Payroll Taxes</v>
      </c>
      <c r="B12" s="28" t="s">
        <v>71</v>
      </c>
      <c r="C12" s="109">
        <f>'Federal P&amp;L'!B11</f>
        <v>2322877</v>
      </c>
      <c r="D12" s="109">
        <f>'Federal P&amp;L'!C11</f>
        <v>2457238</v>
      </c>
      <c r="E12" s="109">
        <f>'Federal P&amp;L'!D11</f>
        <v>2917475</v>
      </c>
      <c r="F12" s="109">
        <f>'Federal P&amp;L'!E11</f>
        <v>2804784</v>
      </c>
      <c r="G12" s="109">
        <f>'Federal P&amp;L'!F11</f>
        <v>3321050</v>
      </c>
      <c r="H12" s="109">
        <f>'Federal P&amp;L'!G11</f>
        <v>3604883</v>
      </c>
      <c r="I12" s="109">
        <f>'Federal P&amp;L'!H11</f>
        <v>3498038</v>
      </c>
      <c r="J12" s="109">
        <f>'Federal P&amp;L'!I11</f>
        <v>3633923</v>
      </c>
      <c r="K12" s="109">
        <f>'Federal P&amp;L'!J11</f>
        <v>3742809</v>
      </c>
      <c r="L12" s="109">
        <f>'Federal P&amp;L'!K11</f>
        <v>3797284</v>
      </c>
      <c r="M12" s="109">
        <f>'Federal P&amp;L'!L11</f>
        <v>3679227</v>
      </c>
      <c r="N12" s="109">
        <f>'Federal P&amp;L'!M11</f>
        <v>3798927</v>
      </c>
      <c r="O12" s="109">
        <f>'Federal P&amp;L'!N11</f>
        <v>3956741</v>
      </c>
      <c r="P12" s="109">
        <f>'Federal P&amp;L'!O11</f>
        <v>3781142</v>
      </c>
      <c r="Q12" s="109">
        <f>'Federal P&amp;L'!P11</f>
        <v>3722269</v>
      </c>
      <c r="R12" s="109">
        <f>'Federal P&amp;L'!Q11</f>
        <v>3942000</v>
      </c>
      <c r="S12" s="109">
        <f>'Federal P&amp;L'!R11</f>
        <v>3872000</v>
      </c>
      <c r="T12" s="109">
        <f>'Federal P&amp;L'!S11</f>
        <v>4051000</v>
      </c>
      <c r="U12" s="109">
        <f>'Federal P&amp;L'!T11</f>
        <v>4352000</v>
      </c>
      <c r="V12" s="109">
        <f>'Federal P&amp;L'!U11</f>
        <v>4144000</v>
      </c>
      <c r="W12" s="109">
        <f>'Federal P&amp;L'!V11</f>
        <v>4338000</v>
      </c>
      <c r="X12" s="109">
        <f>'Federal P&amp;L'!W11</f>
        <v>4272000</v>
      </c>
      <c r="Y12" s="109">
        <f>'Federal P&amp;L'!X11</f>
        <v>4177000</v>
      </c>
      <c r="Z12" s="109">
        <f>'Federal P&amp;L'!Y11</f>
        <v>3953000</v>
      </c>
      <c r="AA12" s="109">
        <f>'Federal P&amp;L'!Z11</f>
        <v>4026000</v>
      </c>
      <c r="AB12" s="109">
        <f>'Federal P&amp;L'!AA11</f>
        <v>4120000</v>
      </c>
      <c r="AC12" s="109">
        <f>'Federal P&amp;L'!AB11</f>
        <v>4232000</v>
      </c>
      <c r="AD12" s="109">
        <f>'Federal P&amp;L'!AC11</f>
        <v>4261000</v>
      </c>
      <c r="AE12" s="109">
        <f>'Federal P&amp;L'!AD11</f>
        <v>4433000</v>
      </c>
      <c r="AF12" s="109">
        <f>'Federal P&amp;L'!AE11</f>
        <v>4213000</v>
      </c>
      <c r="AG12" s="109">
        <f>'Federal P&amp;L'!AF11</f>
        <v>4139000</v>
      </c>
      <c r="AH12" s="109">
        <f>'Federal P&amp;L'!AG11</f>
        <v>4238000</v>
      </c>
      <c r="AI12" s="109">
        <f>'Federal P&amp;L'!AH11</f>
        <v>4283000</v>
      </c>
      <c r="AJ12" s="109">
        <f>'Federal P&amp;L'!AI11</f>
        <v>4901000</v>
      </c>
      <c r="AK12" s="109">
        <f>'Federal P&amp;L'!AJ11</f>
        <v>5357000</v>
      </c>
    </row>
    <row r="13" spans="1:41" outlineLevel="3">
      <c r="A13" s="22" t="str">
        <f>B8</f>
        <v>Payroll Taxes</v>
      </c>
      <c r="B13" s="28" t="s">
        <v>19</v>
      </c>
      <c r="C13" s="109">
        <f>'Federal P&amp;L'!B12</f>
        <v>23465569</v>
      </c>
      <c r="D13" s="109">
        <f>'Federal P&amp;L'!C12</f>
        <v>30671920</v>
      </c>
      <c r="E13" s="109">
        <f>'Federal P&amp;L'!D12</f>
        <v>34698279</v>
      </c>
      <c r="F13" s="109">
        <f>'Federal P&amp;L'!E12</f>
        <v>36695215</v>
      </c>
      <c r="G13" s="109">
        <f>'Federal P&amp;L'!F12</f>
        <v>41567575</v>
      </c>
      <c r="H13" s="109">
        <f>'Federal P&amp;L'!G12</f>
        <v>46319507</v>
      </c>
      <c r="I13" s="109">
        <f>'Federal P&amp;L'!H12</f>
        <v>52939476</v>
      </c>
      <c r="J13" s="109">
        <f>'Federal P&amp;L'!I12</f>
        <v>57692391</v>
      </c>
      <c r="K13" s="109">
        <f>'Federal P&amp;L'!J12</f>
        <v>61663468</v>
      </c>
      <c r="L13" s="109">
        <f>'Federal P&amp;L'!K12</f>
        <v>67316730</v>
      </c>
      <c r="M13" s="109">
        <f>'Federal P&amp;L'!L12</f>
        <v>70601937</v>
      </c>
      <c r="N13" s="109">
        <f>'Federal P&amp;L'!M12</f>
        <v>74958383</v>
      </c>
      <c r="O13" s="109">
        <f>'Federal P&amp;L'!N12</f>
        <v>81345902</v>
      </c>
      <c r="P13" s="109">
        <f>'Federal P&amp;L'!O12</f>
        <v>83517522</v>
      </c>
      <c r="Q13" s="109">
        <f>'Federal P&amp;L'!P12</f>
        <v>92421573</v>
      </c>
      <c r="R13" s="109">
        <f>'Federal P&amp;L'!Q12</f>
        <v>98412000</v>
      </c>
      <c r="S13" s="109">
        <f>'Federal P&amp;L'!R12</f>
        <v>107306000</v>
      </c>
      <c r="T13" s="109">
        <f>'Federal P&amp;L'!S12</f>
        <v>113105000</v>
      </c>
      <c r="U13" s="109">
        <f>'Federal P&amp;L'!T12</f>
        <v>122295000</v>
      </c>
      <c r="V13" s="109">
        <f>'Federal P&amp;L'!U12</f>
        <v>134773000</v>
      </c>
      <c r="W13" s="109">
        <f>'Federal P&amp;L'!V12</f>
        <v>138157000</v>
      </c>
      <c r="X13" s="109">
        <f>'Federal P&amp;L'!W12</f>
        <v>152353000</v>
      </c>
      <c r="Y13" s="109">
        <f>'Federal P&amp;L'!X12</f>
        <v>151962000</v>
      </c>
      <c r="Z13" s="109">
        <f>'Federal P&amp;L'!Y12</f>
        <v>150235000</v>
      </c>
      <c r="AA13" s="109">
        <f>'Federal P&amp;L'!Z12</f>
        <v>153839000</v>
      </c>
      <c r="AB13" s="109">
        <f>'Federal P&amp;L'!AA12</f>
        <v>169370000</v>
      </c>
      <c r="AC13" s="109">
        <f>'Federal P&amp;L'!AB12</f>
        <v>180833000</v>
      </c>
      <c r="AD13" s="109">
        <f>'Federal P&amp;L'!AC12</f>
        <v>188446000</v>
      </c>
      <c r="AE13" s="109">
        <f>'Federal P&amp;L'!AD12</f>
        <v>197690000</v>
      </c>
      <c r="AF13" s="109">
        <f>'Federal P&amp;L'!AE12</f>
        <v>194598000</v>
      </c>
      <c r="AG13" s="109">
        <f>'Federal P&amp;L'!AF12</f>
        <v>184110000</v>
      </c>
      <c r="AH13" s="109">
        <f>'Federal P&amp;L'!AG12</f>
        <v>192515000</v>
      </c>
      <c r="AI13" s="109">
        <f>'Federal P&amp;L'!AH12</f>
        <v>205236000</v>
      </c>
      <c r="AJ13" s="109">
        <f>'Federal P&amp;L'!AI12</f>
        <v>213448000</v>
      </c>
      <c r="AK13" s="109">
        <f>'Federal P&amp;L'!AJ12</f>
        <v>228159000</v>
      </c>
    </row>
    <row r="14" spans="1:41" outlineLevel="3">
      <c r="A14" s="22" t="str">
        <f>B8</f>
        <v>Payroll Taxes</v>
      </c>
      <c r="B14" s="28" t="s">
        <v>20</v>
      </c>
      <c r="C14" s="109">
        <f>'Federal P&amp;L'!B13</f>
        <v>15335788</v>
      </c>
      <c r="D14" s="109">
        <f>'Federal P&amp;L'!C13</f>
        <v>15762948</v>
      </c>
      <c r="E14" s="109">
        <f>'Federal P&amp;L'!D13</f>
        <v>16636388</v>
      </c>
      <c r="F14" s="109">
        <f>'Federal P&amp;L'!E13</f>
        <v>19046634</v>
      </c>
      <c r="G14" s="109">
        <f>'Federal P&amp;L'!F13</f>
        <v>25307220</v>
      </c>
      <c r="H14" s="109">
        <f>'Federal P&amp;L'!G13</f>
        <v>26099814</v>
      </c>
      <c r="I14" s="109">
        <f>'Federal P&amp;L'!H13</f>
        <v>24389574</v>
      </c>
      <c r="J14" s="109">
        <f>'Federal P&amp;L'!I13</f>
        <v>25860241</v>
      </c>
      <c r="K14" s="109">
        <f>'Federal P&amp;L'!J13</f>
        <v>24799893</v>
      </c>
      <c r="L14" s="109">
        <f>'Federal P&amp;L'!K13</f>
        <v>22254272</v>
      </c>
      <c r="M14" s="109">
        <f>'Federal P&amp;L'!L13</f>
        <v>21952439</v>
      </c>
      <c r="N14" s="109">
        <f>'Federal P&amp;L'!M13</f>
        <v>21261062</v>
      </c>
      <c r="O14" s="109">
        <f>'Federal P&amp;L'!N13</f>
        <v>24154471</v>
      </c>
      <c r="P14" s="109">
        <f>'Federal P&amp;L'!O13</f>
        <v>27520766</v>
      </c>
      <c r="Q14" s="109">
        <f>'Federal P&amp;L'!P13</f>
        <v>28770505</v>
      </c>
      <c r="R14" s="109">
        <f>'Federal P&amp;L'!Q13</f>
        <v>29538000</v>
      </c>
      <c r="S14" s="109">
        <f>'Federal P&amp;L'!R13</f>
        <v>29183000</v>
      </c>
      <c r="T14" s="109">
        <f>'Federal P&amp;L'!S13</f>
        <v>28804000</v>
      </c>
      <c r="U14" s="109">
        <f>'Federal P&amp;L'!T13</f>
        <v>27992000</v>
      </c>
      <c r="V14" s="109">
        <f>'Federal P&amp;L'!U13</f>
        <v>26883000</v>
      </c>
      <c r="W14" s="109">
        <f>'Federal P&amp;L'!V13</f>
        <v>28037000</v>
      </c>
      <c r="X14" s="109">
        <f>'Federal P&amp;L'!W13</f>
        <v>28244000</v>
      </c>
      <c r="Y14" s="109">
        <f>'Federal P&amp;L'!X13</f>
        <v>28067000</v>
      </c>
      <c r="Z14" s="109">
        <f>'Federal P&amp;L'!Y13</f>
        <v>33992000</v>
      </c>
      <c r="AA14" s="109">
        <f>'Federal P&amp;L'!Z13</f>
        <v>40197000</v>
      </c>
      <c r="AB14" s="109">
        <f>'Federal P&amp;L'!AA13</f>
        <v>42775000</v>
      </c>
      <c r="AC14" s="109">
        <f>'Federal P&amp;L'!AB13</f>
        <v>44248000</v>
      </c>
      <c r="AD14" s="109">
        <f>'Federal P&amp;L'!AC13</f>
        <v>41847000</v>
      </c>
      <c r="AE14" s="109">
        <f>'Federal P&amp;L'!AD13</f>
        <v>40249000</v>
      </c>
      <c r="AF14" s="109">
        <f>'Federal P&amp;L'!AE13</f>
        <v>38959000</v>
      </c>
      <c r="AG14" s="109">
        <f>'Federal P&amp;L'!AF13</f>
        <v>46051000</v>
      </c>
      <c r="AH14" s="109">
        <f>'Federal P&amp;L'!AG13</f>
        <v>57650000</v>
      </c>
      <c r="AI14" s="109">
        <f>'Federal P&amp;L'!AH13</f>
        <v>68034000</v>
      </c>
      <c r="AJ14" s="109">
        <f>'Federal P&amp;L'!AI13</f>
        <v>57964000</v>
      </c>
      <c r="AK14" s="109">
        <f>'Federal P&amp;L'!AJ13</f>
        <v>55955000</v>
      </c>
    </row>
    <row r="15" spans="1:41" outlineLevel="2">
      <c r="A15" s="22" t="str">
        <f>B6</f>
        <v>Tax Revenue</v>
      </c>
      <c r="B15" s="27" t="s">
        <v>4</v>
      </c>
      <c r="C15" s="109">
        <f>'Federal P&amp;L'!B14+'State and Local P&amp;L'!B6</f>
        <v>77921004</v>
      </c>
      <c r="D15" s="109">
        <f>'Federal P&amp;L'!C14+'State and Local P&amp;L'!C6</f>
        <v>75280633</v>
      </c>
      <c r="E15" s="109">
        <f>'Federal P&amp;L'!D14+'State and Local P&amp;L'!D6</f>
        <v>64235295</v>
      </c>
      <c r="F15" s="109">
        <f>'Federal P&amp;L'!E14+'State and Local P&amp;L'!E6</f>
        <v>51279213</v>
      </c>
      <c r="G15" s="109">
        <f>'Federal P&amp;L'!F14+'State and Local P&amp;L'!F6</f>
        <v>73691070</v>
      </c>
      <c r="H15" s="109">
        <f>'Federal P&amp;L'!G14+'State and Local P&amp;L'!G6</f>
        <v>80482876</v>
      </c>
      <c r="I15" s="109">
        <f>'Federal P&amp;L'!H14+'State and Local P&amp;L'!H6</f>
        <v>83137452</v>
      </c>
      <c r="J15" s="109">
        <f>'Federal P&amp;L'!I14+'State and Local P&amp;L'!I6</f>
        <v>106350397</v>
      </c>
      <c r="K15" s="109">
        <f>'Federal P&amp;L'!J14+'State and Local P&amp;L'!J6</f>
        <v>118171536</v>
      </c>
      <c r="L15" s="109">
        <f>'Federal P&amp;L'!K14+'State and Local P&amp;L'!K6</f>
        <v>129217000</v>
      </c>
      <c r="M15" s="109">
        <f>'Federal P&amp;L'!L14+'State and Local P&amp;L'!L6</f>
        <v>117073020</v>
      </c>
      <c r="N15" s="109">
        <f>'Federal P&amp;L'!M14+'State and Local P&amp;L'!M6</f>
        <v>120328267</v>
      </c>
      <c r="O15" s="109">
        <f>'Federal P&amp;L'!N14+'State and Local P&amp;L'!N6</f>
        <v>124140815</v>
      </c>
      <c r="P15" s="109">
        <f>'Federal P&amp;L'!O14+'State and Local P&amp;L'!O6</f>
        <v>143937474</v>
      </c>
      <c r="Q15" s="109">
        <f>'Federal P&amp;L'!P14+'State and Local P&amp;L'!P6</f>
        <v>168704241</v>
      </c>
      <c r="R15" s="109">
        <f>'Federal P&amp;L'!Q14+'State and Local P&amp;L'!Q6</f>
        <v>188409814</v>
      </c>
      <c r="S15" s="109">
        <f>'Federal P&amp;L'!R14+'State and Local P&amp;L'!R6</f>
        <v>203833111</v>
      </c>
      <c r="T15" s="109">
        <f>'Federal P&amp;L'!S14+'State and Local P&amp;L'!S6</f>
        <v>216113422</v>
      </c>
      <c r="U15" s="109">
        <f>'Federal P&amp;L'!T14+'State and Local P&amp;L'!T6</f>
        <v>223088615</v>
      </c>
      <c r="V15" s="109">
        <f>'Federal P&amp;L'!U14+'State and Local P&amp;L'!U6</f>
        <v>218602371</v>
      </c>
      <c r="W15" s="109">
        <f>'Federal P&amp;L'!V14+'State and Local P&amp;L'!V6</f>
        <v>243347903</v>
      </c>
      <c r="X15" s="109">
        <f>'Federal P&amp;L'!W14+'State and Local P&amp;L'!W6</f>
        <v>186371152</v>
      </c>
      <c r="Y15" s="109">
        <f>'Federal P&amp;L'!X14+'State and Local P&amp;L'!X6</f>
        <v>176195862</v>
      </c>
      <c r="Z15" s="109">
        <f>'Federal P&amp;L'!Y14+'State and Local P&amp;L'!Y6</f>
        <v>163147064</v>
      </c>
      <c r="AA15" s="109">
        <f>'Federal P&amp;L'!Z14+'State and Local P&amp;L'!Z6</f>
        <v>223086793</v>
      </c>
      <c r="AB15" s="109">
        <f>'Federal P&amp;L'!AA14+'State and Local P&amp;L'!AA6</f>
        <v>321537712</v>
      </c>
      <c r="AC15" s="109">
        <f>'Federal P&amp;L'!AB14+'State and Local P&amp;L'!AB6</f>
        <v>406995748</v>
      </c>
      <c r="AD15" s="109">
        <f>'Federal P&amp;L'!AC14+'State and Local P&amp;L'!AC6</f>
        <v>431197942</v>
      </c>
      <c r="AE15" s="109">
        <f>'Federal P&amp;L'!AD14+'State and Local P&amp;L'!AD6</f>
        <v>361576891</v>
      </c>
      <c r="AF15" s="109">
        <f>'Federal P&amp;L'!AE14+'State and Local P&amp;L'!AE6</f>
        <v>184508861</v>
      </c>
      <c r="AG15" s="109">
        <f>'Federal P&amp;L'!AF14+'State and Local P&amp;L'!AF6</f>
        <v>235544796</v>
      </c>
      <c r="AH15" s="109">
        <f>'Federal P&amp;L'!AG14+'State and Local P&amp;L'!AG6</f>
        <v>229506906</v>
      </c>
      <c r="AI15" s="109">
        <f>'Federal P&amp;L'!AH14+'State and Local P&amp;L'!AH6</f>
        <v>291222513</v>
      </c>
      <c r="AJ15" s="109">
        <f>'Federal P&amp;L'!AI14+'State and Local P&amp;L'!AI6</f>
        <v>326414727</v>
      </c>
      <c r="AK15" s="109">
        <f>'Federal P&amp;L'!AJ14+'State and Local P&amp;L'!AJ6</f>
        <v>375290763</v>
      </c>
    </row>
    <row r="16" spans="1:41" outlineLevel="2">
      <c r="A16" s="22" t="str">
        <f>B6</f>
        <v>Tax Revenue</v>
      </c>
      <c r="B16" s="27" t="s">
        <v>5</v>
      </c>
      <c r="C16" s="109">
        <f>'Federal P&amp;L'!B15+'State and Local P&amp;L'!B7</f>
        <v>104255744</v>
      </c>
      <c r="D16" s="109">
        <f>'Federal P&amp;L'!C15+'State and Local P&amp;L'!C7</f>
        <v>126810563</v>
      </c>
      <c r="E16" s="109">
        <f>'Federal P&amp;L'!D15+'State and Local P&amp;L'!D7</f>
        <v>129923712</v>
      </c>
      <c r="F16" s="109">
        <f>'Federal P&amp;L'!E15+'State and Local P&amp;L'!E7</f>
        <v>135546701</v>
      </c>
      <c r="G16" s="109">
        <f>'Federal P&amp;L'!F15+'State and Local P&amp;L'!F7</f>
        <v>151458769</v>
      </c>
      <c r="H16" s="109">
        <f>'Federal P&amp;L'!G15+'State and Local P&amp;L'!G7</f>
        <v>162367394</v>
      </c>
      <c r="I16" s="109">
        <f>'Federal P&amp;L'!H15+'State and Local P&amp;L'!H7</f>
        <v>167923108</v>
      </c>
      <c r="J16" s="109">
        <f>'Federal P&amp;L'!I15+'State and Local P&amp;L'!I7</f>
        <v>176548160</v>
      </c>
      <c r="K16" s="109">
        <f>'Federal P&amp;L'!J15+'State and Local P&amp;L'!J7</f>
        <v>191679199</v>
      </c>
      <c r="L16" s="109">
        <f>'Federal P&amp;L'!K15+'State and Local P&amp;L'!K7</f>
        <v>200721791</v>
      </c>
      <c r="M16" s="109">
        <f>'Federal P&amp;L'!L15+'State and Local P&amp;L'!L7</f>
        <v>213229959</v>
      </c>
      <c r="N16" s="109">
        <f>'Federal P&amp;L'!M15+'State and Local P&amp;L'!M7</f>
        <v>227972348</v>
      </c>
      <c r="O16" s="109">
        <f>'Federal P&amp;L'!N15+'State and Local P&amp;L'!N7</f>
        <v>243296164</v>
      </c>
      <c r="P16" s="109">
        <f>'Federal P&amp;L'!O15+'State and Local P&amp;L'!O7</f>
        <v>257706083</v>
      </c>
      <c r="Q16" s="109">
        <f>'Federal P&amp;L'!P15+'State and Local P&amp;L'!P7</f>
        <v>278853100</v>
      </c>
      <c r="R16" s="109">
        <f>'Federal P&amp;L'!Q15+'State and Local P&amp;L'!Q7</f>
        <v>294752397</v>
      </c>
      <c r="S16" s="109">
        <f>'Federal P&amp;L'!R15+'State and Local P&amp;L'!R7</f>
        <v>302961062</v>
      </c>
      <c r="T16" s="109">
        <f>'Federal P&amp;L'!S15+'State and Local P&amp;L'!S7</f>
        <v>318658150</v>
      </c>
      <c r="U16" s="109">
        <f>'Federal P&amp;L'!T15+'State and Local P&amp;L'!T7</f>
        <v>332556406</v>
      </c>
      <c r="V16" s="109">
        <f>'Federal P&amp;L'!U15+'State and Local P&amp;L'!U7</f>
        <v>361406942</v>
      </c>
      <c r="W16" s="109">
        <f>'Federal P&amp;L'!V15+'State and Local P&amp;L'!V7</f>
        <v>378154792</v>
      </c>
      <c r="X16" s="109">
        <f>'Federal P&amp;L'!W15+'State and Local P&amp;L'!W7</f>
        <v>386448988</v>
      </c>
      <c r="Y16" s="109">
        <f>'Federal P&amp;L'!X15+'State and Local P&amp;L'!X7</f>
        <v>391111506</v>
      </c>
      <c r="Z16" s="109">
        <f>'Federal P&amp;L'!Y15+'State and Local P&amp;L'!Y7</f>
        <v>405310567</v>
      </c>
      <c r="AA16" s="109">
        <f>'Federal P&amp;L'!Z15+'State and Local P&amp;L'!Z7</f>
        <v>430881946</v>
      </c>
      <c r="AB16" s="109">
        <f>'Federal P&amp;L'!AA15+'State and Local P&amp;L'!AA7</f>
        <v>457360166</v>
      </c>
      <c r="AC16" s="109">
        <f>'Federal P&amp;L'!AB15+'State and Local P&amp;L'!AB7</f>
        <v>491695525</v>
      </c>
      <c r="AD16" s="109">
        <f>'Federal P&amp;L'!AC15+'State and Local P&amp;L'!AC7</f>
        <v>505538533</v>
      </c>
      <c r="AE16" s="109">
        <f>'Federal P&amp;L'!AD15+'State and Local P&amp;L'!AD7</f>
        <v>517278957</v>
      </c>
      <c r="AF16" s="109">
        <f>'Federal P&amp;L'!AE15+'State and Local P&amp;L'!AE7</f>
        <v>496611330</v>
      </c>
      <c r="AG16" s="109">
        <f>'Federal P&amp;L'!AF15+'State and Local P&amp;L'!AF7</f>
        <v>502479729</v>
      </c>
      <c r="AH16" s="109">
        <f>'Federal P&amp;L'!AG15+'State and Local P&amp;L'!AG7</f>
        <v>536360488</v>
      </c>
      <c r="AI16" s="109">
        <f>'Federal P&amp;L'!AH15+'State and Local P&amp;L'!AH7</f>
        <v>555605283</v>
      </c>
      <c r="AJ16" s="109">
        <f>'Federal P&amp;L'!AI15+'State and Local P&amp;L'!AI7</f>
        <v>579245236</v>
      </c>
      <c r="AK16" s="109">
        <f>'Federal P&amp;L'!AJ15+'State and Local P&amp;L'!AJ7</f>
        <v>610736126</v>
      </c>
    </row>
    <row r="17" spans="1:37" outlineLevel="3">
      <c r="A17" s="22" t="str">
        <f>B16</f>
        <v>Sales and Excise Taxes</v>
      </c>
      <c r="B17" s="28" t="s">
        <v>21</v>
      </c>
      <c r="C17" s="109">
        <f>'State and Local P&amp;L'!B8</f>
        <v>51327616</v>
      </c>
      <c r="D17" s="109">
        <f>'State and Local P&amp;L'!C8</f>
        <v>55641390</v>
      </c>
      <c r="E17" s="109">
        <f>'State and Local P&amp;L'!D8</f>
        <v>60573300</v>
      </c>
      <c r="F17" s="109">
        <f>'State and Local P&amp;L'!E8</f>
        <v>64889896</v>
      </c>
      <c r="G17" s="109">
        <f>'State and Local P&amp;L'!F8</f>
        <v>75211609</v>
      </c>
      <c r="H17" s="109">
        <f>'State and Local P&amp;L'!G8</f>
        <v>84295648</v>
      </c>
      <c r="I17" s="109">
        <f>'State and Local P&amp;L'!H8</f>
        <v>90694713</v>
      </c>
      <c r="J17" s="109">
        <f>'State and Local P&amp;L'!I8</f>
        <v>96602538</v>
      </c>
      <c r="K17" s="109">
        <f>'State and Local P&amp;L'!J8</f>
        <v>105237831</v>
      </c>
      <c r="L17" s="109">
        <f>'State and Local P&amp;L'!K8</f>
        <v>112673222</v>
      </c>
      <c r="M17" s="109">
        <f>'State and Local P&amp;L'!L8</f>
        <v>121286594</v>
      </c>
      <c r="N17" s="109">
        <f>'State and Local P&amp;L'!M8</f>
        <v>125448814</v>
      </c>
      <c r="O17" s="109">
        <f>'State and Local P&amp;L'!N8</f>
        <v>131978309</v>
      </c>
      <c r="P17" s="109">
        <f>'State and Local P&amp;L'!O8</f>
        <v>138822010</v>
      </c>
      <c r="Q17" s="109">
        <f>'State and Local P&amp;L'!P8</f>
        <v>149039888</v>
      </c>
      <c r="R17" s="109">
        <f>'State and Local P&amp;L'!Q8</f>
        <v>160166175</v>
      </c>
      <c r="S17" s="109">
        <f>'State and Local P&amp;L'!R8</f>
        <v>169072372</v>
      </c>
      <c r="T17" s="109">
        <f>'State and Local P&amp;L'!S8</f>
        <v>178746275</v>
      </c>
      <c r="U17" s="109">
        <f>'State and Local P&amp;L'!T8</f>
        <v>188752895</v>
      </c>
      <c r="V17" s="109">
        <f>'State and Local P&amp;L'!U8</f>
        <v>200626752</v>
      </c>
      <c r="W17" s="109">
        <f>'State and Local P&amp;L'!V8</f>
        <v>215112414</v>
      </c>
      <c r="X17" s="109">
        <f>'State and Local P&amp;L'!W8</f>
        <v>223428227</v>
      </c>
      <c r="Y17" s="109">
        <f>'State and Local P&amp;L'!X8</f>
        <v>222986687</v>
      </c>
      <c r="Z17" s="109">
        <f>'State and Local P&amp;L'!Y8</f>
        <v>229222301</v>
      </c>
      <c r="AA17" s="109">
        <f>'State and Local P&amp;L'!Z8</f>
        <v>245342513</v>
      </c>
      <c r="AB17" s="109">
        <f>'State and Local P&amp;L'!AA8</f>
        <v>262951838</v>
      </c>
      <c r="AC17" s="109">
        <f>'State and Local P&amp;L'!AB8</f>
        <v>285829129</v>
      </c>
      <c r="AD17" s="109">
        <f>'State and Local P&amp;L'!AC8</f>
        <v>300601232</v>
      </c>
      <c r="AE17" s="109">
        <f>'State and Local P&amp;L'!AD8</f>
        <v>304739498</v>
      </c>
      <c r="AF17" s="109">
        <f>'State and Local P&amp;L'!AE8</f>
        <v>291300296</v>
      </c>
      <c r="AG17" s="109">
        <f>'State and Local P&amp;L'!AF8</f>
        <v>288499186</v>
      </c>
      <c r="AH17" s="109">
        <f>'State and Local P&amp;L'!AG8</f>
        <v>304668034</v>
      </c>
      <c r="AI17" s="109">
        <f>'State and Local P&amp;L'!AH8</f>
        <v>314135839</v>
      </c>
      <c r="AJ17" s="109">
        <f>'State and Local P&amp;L'!AI8</f>
        <v>327036761</v>
      </c>
      <c r="AK17" s="109">
        <f>'State and Local P&amp;L'!AJ8</f>
        <v>347183136</v>
      </c>
    </row>
    <row r="18" spans="1:37" outlineLevel="3">
      <c r="A18" s="22" t="str">
        <f>B16</f>
        <v>Sales and Excise Taxes</v>
      </c>
      <c r="B18" s="28" t="s">
        <v>22</v>
      </c>
      <c r="C18" s="109">
        <f>'Federal P&amp;L'!B15+'State and Local P&amp;L'!B9</f>
        <v>52928128</v>
      </c>
      <c r="D18" s="109">
        <f>'Federal P&amp;L'!C15+'State and Local P&amp;L'!C9</f>
        <v>71169173</v>
      </c>
      <c r="E18" s="109">
        <f>'Federal P&amp;L'!D15+'State and Local P&amp;L'!D9</f>
        <v>69350412</v>
      </c>
      <c r="F18" s="109">
        <f>'Federal P&amp;L'!E15+'State and Local P&amp;L'!E9</f>
        <v>70656805</v>
      </c>
      <c r="G18" s="109">
        <f>'Federal P&amp;L'!F15+'State and Local P&amp;L'!F9</f>
        <v>76247160</v>
      </c>
      <c r="H18" s="109">
        <f>'Federal P&amp;L'!G15+'State and Local P&amp;L'!G9</f>
        <v>78071746</v>
      </c>
      <c r="I18" s="109">
        <f>'Federal P&amp;L'!H15+'State and Local P&amp;L'!H9</f>
        <v>77228395</v>
      </c>
      <c r="J18" s="109">
        <f>'Federal P&amp;L'!I15+'State and Local P&amp;L'!I9</f>
        <v>79945622</v>
      </c>
      <c r="K18" s="109">
        <f>'Federal P&amp;L'!J15+'State and Local P&amp;L'!J9</f>
        <v>86441368</v>
      </c>
      <c r="L18" s="109">
        <f>'Federal P&amp;L'!K15+'State and Local P&amp;L'!K9</f>
        <v>88048569</v>
      </c>
      <c r="M18" s="109">
        <f>'Federal P&amp;L'!L15+'State and Local P&amp;L'!L9</f>
        <v>91943365</v>
      </c>
      <c r="N18" s="109">
        <f>'Federal P&amp;L'!M15+'State and Local P&amp;L'!M9</f>
        <v>102523534</v>
      </c>
      <c r="O18" s="109">
        <f>'Federal P&amp;L'!N15+'State and Local P&amp;L'!N9</f>
        <v>111317855</v>
      </c>
      <c r="P18" s="109">
        <f>'Federal P&amp;L'!O15+'State and Local P&amp;L'!O9</f>
        <v>118884073</v>
      </c>
      <c r="Q18" s="109">
        <f>'Federal P&amp;L'!P15+'State and Local P&amp;L'!P9</f>
        <v>129813212</v>
      </c>
      <c r="R18" s="109">
        <f>'Federal P&amp;L'!Q15+'State and Local P&amp;L'!Q9</f>
        <v>134586222</v>
      </c>
      <c r="S18" s="109">
        <f>'Federal P&amp;L'!R15+'State and Local P&amp;L'!R9</f>
        <v>133888690</v>
      </c>
      <c r="T18" s="109">
        <f>'Federal P&amp;L'!S15+'State and Local P&amp;L'!S9</f>
        <v>139911875</v>
      </c>
      <c r="U18" s="109">
        <f>'Federal P&amp;L'!T15+'State and Local P&amp;L'!T9</f>
        <v>143803511</v>
      </c>
      <c r="V18" s="109">
        <f>'Federal P&amp;L'!U15+'State and Local P&amp;L'!U9</f>
        <v>160780190</v>
      </c>
      <c r="W18" s="109">
        <f>'Federal P&amp;L'!V15+'State and Local P&amp;L'!V9</f>
        <v>163042378</v>
      </c>
      <c r="X18" s="109">
        <f>'Federal P&amp;L'!W15+'State and Local P&amp;L'!W9</f>
        <v>163020761</v>
      </c>
      <c r="Y18" s="109">
        <f>'Federal P&amp;L'!X15+'State and Local P&amp;L'!X9</f>
        <v>168124819</v>
      </c>
      <c r="Z18" s="109">
        <f>'Federal P&amp;L'!Y15+'State and Local P&amp;L'!Y9</f>
        <v>176088266</v>
      </c>
      <c r="AA18" s="109">
        <f>'Federal P&amp;L'!Z15+'State and Local P&amp;L'!Z9</f>
        <v>185539433</v>
      </c>
      <c r="AB18" s="109">
        <f>'Federal P&amp;L'!AA15+'State and Local P&amp;L'!AA9</f>
        <v>194408328</v>
      </c>
      <c r="AC18" s="109">
        <f>'Federal P&amp;L'!AB15+'State and Local P&amp;L'!AB9</f>
        <v>205866396</v>
      </c>
      <c r="AD18" s="109">
        <f>'Federal P&amp;L'!AC15+'State and Local P&amp;L'!AC9</f>
        <v>204937301</v>
      </c>
      <c r="AE18" s="109">
        <f>'Federal P&amp;L'!AD15+'State and Local P&amp;L'!AD9</f>
        <v>212539459</v>
      </c>
      <c r="AF18" s="109">
        <f>'Federal P&amp;L'!AE15+'State and Local P&amp;L'!AE9</f>
        <v>205311034</v>
      </c>
      <c r="AG18" s="109">
        <f>'Federal P&amp;L'!AF15+'State and Local P&amp;L'!AF9</f>
        <v>213980543</v>
      </c>
      <c r="AH18" s="109">
        <f>'Federal P&amp;L'!AG15+'State and Local P&amp;L'!AG9</f>
        <v>231692454</v>
      </c>
      <c r="AI18" s="109">
        <f>'Federal P&amp;L'!AH15+'State and Local P&amp;L'!AH9</f>
        <v>241469444</v>
      </c>
      <c r="AJ18" s="109">
        <f>'Federal P&amp;L'!AI15+'State and Local P&amp;L'!AI9</f>
        <v>252208475</v>
      </c>
      <c r="AK18" s="109">
        <f>'Federal P&amp;L'!AJ15+'State and Local P&amp;L'!AJ9</f>
        <v>263552990</v>
      </c>
    </row>
    <row r="19" spans="1:37" outlineLevel="2">
      <c r="A19" s="22" t="str">
        <f>B6</f>
        <v>Tax Revenue</v>
      </c>
      <c r="B19" s="27" t="s">
        <v>7</v>
      </c>
      <c r="C19" s="109">
        <f>'State and Local P&amp;L'!B14</f>
        <v>68498743</v>
      </c>
      <c r="D19" s="109">
        <f>'State and Local P&amp;L'!C14</f>
        <v>74969444</v>
      </c>
      <c r="E19" s="109">
        <f>'State and Local P&amp;L'!D14</f>
        <v>82067442</v>
      </c>
      <c r="F19" s="109">
        <f>'State and Local P&amp;L'!E14</f>
        <v>89104863</v>
      </c>
      <c r="G19" s="109">
        <f>'State and Local P&amp;L'!F14</f>
        <v>96456745</v>
      </c>
      <c r="H19" s="109">
        <f>'State and Local P&amp;L'!G14</f>
        <v>103756624</v>
      </c>
      <c r="I19" s="109">
        <f>'State and Local P&amp;L'!H14</f>
        <v>111709287</v>
      </c>
      <c r="J19" s="109">
        <f>'State and Local P&amp;L'!I14</f>
        <v>121202638</v>
      </c>
      <c r="K19" s="109">
        <f>'State and Local P&amp;L'!J14</f>
        <v>132212301</v>
      </c>
      <c r="L19" s="109">
        <f>'State and Local P&amp;L'!K14</f>
        <v>142400237</v>
      </c>
      <c r="M19" s="109">
        <f>'State and Local P&amp;L'!L14</f>
        <v>155613321</v>
      </c>
      <c r="N19" s="109">
        <f>'State and Local P&amp;L'!M14</f>
        <v>167999489</v>
      </c>
      <c r="O19" s="109">
        <f>'State and Local P&amp;L'!N14</f>
        <v>180320503</v>
      </c>
      <c r="P19" s="109">
        <f>'State and Local P&amp;L'!O14</f>
        <v>189743930</v>
      </c>
      <c r="Q19" s="109">
        <f>'State and Local P&amp;L'!P14</f>
        <v>197141008</v>
      </c>
      <c r="R19" s="109">
        <f>'State and Local P&amp;L'!Q14</f>
        <v>203451246</v>
      </c>
      <c r="S19" s="109">
        <f>'State and Local P&amp;L'!R14</f>
        <v>209440794</v>
      </c>
      <c r="T19" s="109">
        <f>'State and Local P&amp;L'!S14</f>
        <v>218760306</v>
      </c>
      <c r="U19" s="109">
        <f>'State and Local P&amp;L'!T14</f>
        <v>230150058</v>
      </c>
      <c r="V19" s="109">
        <f>'State and Local P&amp;L'!U14</f>
        <v>239671604</v>
      </c>
      <c r="W19" s="109">
        <f>'State and Local P&amp;L'!V14</f>
        <v>249177604</v>
      </c>
      <c r="X19" s="109">
        <f>'State and Local P&amp;L'!W14</f>
        <v>263689177</v>
      </c>
      <c r="Y19" s="109">
        <f>'State and Local P&amp;L'!X14</f>
        <v>279191478</v>
      </c>
      <c r="Z19" s="109">
        <f>'State and Local P&amp;L'!Y14</f>
        <v>296683185</v>
      </c>
      <c r="AA19" s="109">
        <f>'State and Local P&amp;L'!Z14</f>
        <v>317941413</v>
      </c>
      <c r="AB19" s="109">
        <f>'State and Local P&amp;L'!AA14</f>
        <v>335779002</v>
      </c>
      <c r="AC19" s="109">
        <f>'State and Local P&amp;L'!AB14</f>
        <v>364558999</v>
      </c>
      <c r="AD19" s="109">
        <f>'State and Local P&amp;L'!AC14</f>
        <v>388905357</v>
      </c>
      <c r="AE19" s="109">
        <f>'State and Local P&amp;L'!AD14</f>
        <v>409539657</v>
      </c>
      <c r="AF19" s="109">
        <f>'State and Local P&amp;L'!AE14</f>
        <v>434818264</v>
      </c>
      <c r="AG19" s="109">
        <f>'State and Local P&amp;L'!AF14</f>
        <v>443947292</v>
      </c>
      <c r="AH19" s="109">
        <f>'State and Local P&amp;L'!AG14</f>
        <v>445771236</v>
      </c>
      <c r="AI19" s="109">
        <f>'State and Local P&amp;L'!AH14</f>
        <v>447120120</v>
      </c>
      <c r="AJ19" s="109">
        <f>'State and Local P&amp;L'!AI14</f>
        <v>453052504</v>
      </c>
      <c r="AK19" s="109">
        <f>'State and Local P&amp;L'!AJ14</f>
        <v>466391552</v>
      </c>
    </row>
    <row r="20" spans="1:37" outlineLevel="2">
      <c r="A20" s="22" t="str">
        <f>B6</f>
        <v>Tax Revenue</v>
      </c>
      <c r="B20" s="27" t="s">
        <v>8</v>
      </c>
      <c r="C20" s="109">
        <f>'Federal P&amp;L'!B16+'State and Local P&amp;L'!B15</f>
        <v>8424749</v>
      </c>
      <c r="D20" s="109">
        <f>'Federal P&amp;L'!C16+'State and Local P&amp;L'!C15</f>
        <v>9015505</v>
      </c>
      <c r="E20" s="109">
        <f>'Federal P&amp;L'!D16+'State and Local P&amp;L'!D15</f>
        <v>10340687</v>
      </c>
      <c r="F20" s="109">
        <f>'Federal P&amp;L'!E16+'State and Local P&amp;L'!E15</f>
        <v>8598008</v>
      </c>
      <c r="G20" s="109">
        <f>'Federal P&amp;L'!F16+'State and Local P&amp;L'!F15</f>
        <v>8236513</v>
      </c>
      <c r="H20" s="109">
        <f>'Federal P&amp;L'!G16+'State and Local P&amp;L'!G15</f>
        <v>8750004</v>
      </c>
      <c r="I20" s="109">
        <f>'Federal P&amp;L'!H16+'State and Local P&amp;L'!H15</f>
        <v>9493090</v>
      </c>
      <c r="J20" s="109">
        <f>'Federal P&amp;L'!I16+'State and Local P&amp;L'!I15</f>
        <v>10561772</v>
      </c>
      <c r="K20" s="109">
        <f>'Federal P&amp;L'!J16+'State and Local P&amp;L'!J15</f>
        <v>10868650</v>
      </c>
      <c r="L20" s="109">
        <f>'Federal P&amp;L'!K16+'State and Local P&amp;L'!K15</f>
        <v>12255511</v>
      </c>
      <c r="M20" s="109">
        <f>'Federal P&amp;L'!L16+'State and Local P&amp;L'!L15</f>
        <v>15355563</v>
      </c>
      <c r="N20" s="109">
        <f>'Federal P&amp;L'!M16+'State and Local P&amp;L'!M15</f>
        <v>15448646</v>
      </c>
      <c r="O20" s="109">
        <f>'Federal P&amp;L'!N16+'State and Local P&amp;L'!N15</f>
        <v>15629068</v>
      </c>
      <c r="P20" s="109">
        <f>'Federal P&amp;L'!O16+'State and Local P&amp;L'!O15</f>
        <v>17274195</v>
      </c>
      <c r="Q20" s="109">
        <f>'Federal P&amp;L'!P16+'State and Local P&amp;L'!P15</f>
        <v>20278546</v>
      </c>
      <c r="R20" s="109">
        <f>'Federal P&amp;L'!Q16+'State and Local P&amp;L'!Q15</f>
        <v>19684289</v>
      </c>
      <c r="S20" s="109">
        <f>'Federal P&amp;L'!R16+'State and Local P&amp;L'!R15</f>
        <v>22541273</v>
      </c>
      <c r="T20" s="109">
        <f>'Federal P&amp;L'!S16+'State and Local P&amp;L'!S15</f>
        <v>25785439</v>
      </c>
      <c r="U20" s="109">
        <f>'Federal P&amp;L'!T16+'State and Local P&amp;L'!T15</f>
        <v>31047125</v>
      </c>
      <c r="V20" s="109">
        <f>'Federal P&amp;L'!U16+'State and Local P&amp;L'!U15</f>
        <v>35301383</v>
      </c>
      <c r="W20" s="109">
        <f>'Federal P&amp;L'!V16+'State and Local P&amp;L'!V15</f>
        <v>37044202</v>
      </c>
      <c r="X20" s="109">
        <f>'Federal P&amp;L'!W16+'State and Local P&amp;L'!W15</f>
        <v>35950511</v>
      </c>
      <c r="Y20" s="109">
        <f>'Federal P&amp;L'!X16+'State and Local P&amp;L'!X15</f>
        <v>34017323</v>
      </c>
      <c r="Z20" s="109">
        <f>'Federal P&amp;L'!Y16+'State and Local P&amp;L'!Y15</f>
        <v>28674248</v>
      </c>
      <c r="AA20" s="109">
        <f>'Federal P&amp;L'!Z16+'State and Local P&amp;L'!Z15</f>
        <v>30589175</v>
      </c>
      <c r="AB20" s="109">
        <f>'Federal P&amp;L'!AA16+'State and Local P&amp;L'!AA15</f>
        <v>30185759</v>
      </c>
      <c r="AC20" s="109">
        <f>'Federal P&amp;L'!AB16+'State and Local P&amp;L'!AB15</f>
        <v>32837948</v>
      </c>
      <c r="AD20" s="109">
        <f>'Federal P&amp;L'!AC16+'State and Local P&amp;L'!AC15</f>
        <v>31162279</v>
      </c>
      <c r="AE20" s="109">
        <f>'Federal P&amp;L'!AD16+'State and Local P&amp;L'!AD15</f>
        <v>34193697</v>
      </c>
      <c r="AF20" s="109">
        <f>'Federal P&amp;L'!AE16+'State and Local P&amp;L'!AE15</f>
        <v>28401680</v>
      </c>
      <c r="AG20" s="109">
        <f>'Federal P&amp;L'!AF16+'State and Local P&amp;L'!AF15</f>
        <v>23038376</v>
      </c>
      <c r="AH20" s="109">
        <f>'Federal P&amp;L'!AG16+'State and Local P&amp;L'!AG15</f>
        <v>12209811</v>
      </c>
      <c r="AI20" s="109">
        <f>'Federal P&amp;L'!AH16+'State and Local P&amp;L'!AH15</f>
        <v>18844614</v>
      </c>
      <c r="AJ20" s="109">
        <f>'Federal P&amp;L'!AI16+'State and Local P&amp;L'!AI15</f>
        <v>24096122</v>
      </c>
      <c r="AK20" s="109">
        <f>'Federal P&amp;L'!AJ16+'State and Local P&amp;L'!AJ15</f>
        <v>24310825</v>
      </c>
    </row>
    <row r="21" spans="1:37" outlineLevel="2">
      <c r="A21" s="22" t="str">
        <f>B6</f>
        <v>Tax Revenue</v>
      </c>
      <c r="B21" s="27" t="s">
        <v>9</v>
      </c>
      <c r="C21" s="109">
        <f>'State and Local P&amp;L'!B16</f>
        <v>4167399</v>
      </c>
      <c r="D21" s="109">
        <f>'State and Local P&amp;L'!C16</f>
        <v>6379191</v>
      </c>
      <c r="E21" s="109">
        <f>'State and Local P&amp;L'!D16</f>
        <v>7829520</v>
      </c>
      <c r="F21" s="109">
        <f>'State and Local P&amp;L'!E16</f>
        <v>7405553</v>
      </c>
      <c r="G21" s="109">
        <f>'State and Local P&amp;L'!F16</f>
        <v>7266418</v>
      </c>
      <c r="H21" s="109">
        <f>'State and Local P&amp;L'!G16</f>
        <v>7211178</v>
      </c>
      <c r="I21" s="109">
        <f>'State and Local P&amp;L'!H16</f>
        <v>6125394</v>
      </c>
      <c r="J21" s="109">
        <f>'State and Local P&amp;L'!I16</f>
        <v>4050098</v>
      </c>
      <c r="K21" s="109">
        <f>'State and Local P&amp;L'!J16</f>
        <v>4330890</v>
      </c>
      <c r="L21" s="109">
        <f>'State and Local P&amp;L'!K16</f>
        <v>4144152</v>
      </c>
      <c r="M21" s="109">
        <f>'State and Local P&amp;L'!L16</f>
        <v>4682531</v>
      </c>
      <c r="N21" s="109">
        <f>'State and Local P&amp;L'!M16</f>
        <v>5366911</v>
      </c>
      <c r="O21" s="109">
        <f>'State and Local P&amp;L'!N16</f>
        <v>4647479</v>
      </c>
      <c r="P21" s="109">
        <f>'State and Local P&amp;L'!O16</f>
        <v>4907971</v>
      </c>
      <c r="Q21" s="109">
        <f>'State and Local P&amp;L'!P16</f>
        <v>4298003</v>
      </c>
      <c r="R21" s="109">
        <f>'State and Local P&amp;L'!Q16</f>
        <v>4467629</v>
      </c>
      <c r="S21" s="109">
        <f>'State and Local P&amp;L'!R16</f>
        <v>4115529</v>
      </c>
      <c r="T21" s="109">
        <f>'State and Local P&amp;L'!S16</f>
        <v>4867898</v>
      </c>
      <c r="U21" s="109">
        <f>'State and Local P&amp;L'!T16</f>
        <v>4165773</v>
      </c>
      <c r="V21" s="109">
        <f>'State and Local P&amp;L'!U16</f>
        <v>3135150</v>
      </c>
      <c r="W21" s="109">
        <f>'State and Local P&amp;L'!V16</f>
        <v>4368012</v>
      </c>
      <c r="X21" s="109">
        <f>'State and Local P&amp;L'!W16</f>
        <v>6408733</v>
      </c>
      <c r="Y21" s="109">
        <f>'State and Local P&amp;L'!X16</f>
        <v>4233989</v>
      </c>
      <c r="Z21" s="109">
        <f>'State and Local P&amp;L'!Y16</f>
        <v>5321561</v>
      </c>
      <c r="AA21" s="109">
        <f>'State and Local P&amp;L'!Z16</f>
        <v>6362179</v>
      </c>
      <c r="AB21" s="109">
        <f>'State and Local P&amp;L'!AA16</f>
        <v>8176588</v>
      </c>
      <c r="AC21" s="109">
        <f>'State and Local P&amp;L'!AB16</f>
        <v>10567667</v>
      </c>
      <c r="AD21" s="109">
        <f>'State and Local P&amp;L'!AC16</f>
        <v>11141705</v>
      </c>
      <c r="AE21" s="109">
        <f>'State and Local P&amp;L'!AD16</f>
        <v>17887975</v>
      </c>
      <c r="AF21" s="109">
        <f>'State and Local P&amp;L'!AE16</f>
        <v>13490468</v>
      </c>
      <c r="AG21" s="109">
        <f>'State and Local P&amp;L'!AF16</f>
        <v>11479671</v>
      </c>
      <c r="AH21" s="109">
        <f>'State and Local P&amp;L'!AG16</f>
        <v>14714276</v>
      </c>
      <c r="AI21" s="109">
        <f>'State and Local P&amp;L'!AH16</f>
        <v>17376037</v>
      </c>
      <c r="AJ21" s="109">
        <f>'State and Local P&amp;L'!AI16</f>
        <v>16569866</v>
      </c>
      <c r="AK21" s="109">
        <f>'State and Local P&amp;L'!AJ16</f>
        <v>17869250</v>
      </c>
    </row>
    <row r="22" spans="1:37" outlineLevel="2">
      <c r="A22" s="22" t="str">
        <f>B6</f>
        <v>Tax Revenue</v>
      </c>
      <c r="B22" s="27" t="s">
        <v>10</v>
      </c>
      <c r="C22" s="109">
        <f>'Federal P&amp;L'!B17</f>
        <v>7173836</v>
      </c>
      <c r="D22" s="109">
        <f>'Federal P&amp;L'!C17</f>
        <v>8082808</v>
      </c>
      <c r="E22" s="109">
        <f>'Federal P&amp;L'!D17</f>
        <v>8854093</v>
      </c>
      <c r="F22" s="109">
        <f>'Federal P&amp;L'!E17</f>
        <v>8654732</v>
      </c>
      <c r="G22" s="109">
        <f>'Federal P&amp;L'!F17</f>
        <v>11370044</v>
      </c>
      <c r="H22" s="109">
        <f>'Federal P&amp;L'!G17</f>
        <v>12078567</v>
      </c>
      <c r="I22" s="109">
        <f>'Federal P&amp;L'!H17</f>
        <v>13326653</v>
      </c>
      <c r="J22" s="109">
        <f>'Federal P&amp;L'!I17</f>
        <v>15085039</v>
      </c>
      <c r="K22" s="109">
        <f>'Federal P&amp;L'!J17</f>
        <v>16198125</v>
      </c>
      <c r="L22" s="109">
        <f>'Federal P&amp;L'!K17</f>
        <v>16333533</v>
      </c>
      <c r="M22" s="109">
        <f>'Federal P&amp;L'!L17</f>
        <v>16707311</v>
      </c>
      <c r="N22" s="109">
        <f>'Federal P&amp;L'!M17</f>
        <v>15949168</v>
      </c>
      <c r="O22" s="109">
        <f>'Federal P&amp;L'!N17</f>
        <v>17359439</v>
      </c>
      <c r="P22" s="109">
        <f>'Federal P&amp;L'!O17</f>
        <v>18802080</v>
      </c>
      <c r="Q22" s="109">
        <f>'Federal P&amp;L'!P17</f>
        <v>20098865</v>
      </c>
      <c r="R22" s="109">
        <f>'Federal P&amp;L'!Q17</f>
        <v>19301000</v>
      </c>
      <c r="S22" s="109">
        <f>'Federal P&amp;L'!R17</f>
        <v>18670000</v>
      </c>
      <c r="T22" s="109">
        <f>'Federal P&amp;L'!S17</f>
        <v>17928000</v>
      </c>
      <c r="U22" s="109">
        <f>'Federal P&amp;L'!T17</f>
        <v>18297000</v>
      </c>
      <c r="V22" s="109">
        <f>'Federal P&amp;L'!U17</f>
        <v>18336000</v>
      </c>
      <c r="W22" s="109">
        <f>'Federal P&amp;L'!V17</f>
        <v>19914000</v>
      </c>
      <c r="X22" s="109">
        <f>'Federal P&amp;L'!W17</f>
        <v>19369000</v>
      </c>
      <c r="Y22" s="109">
        <f>'Federal P&amp;L'!X17</f>
        <v>18602000</v>
      </c>
      <c r="Z22" s="109">
        <f>'Federal P&amp;L'!Y17</f>
        <v>19862000</v>
      </c>
      <c r="AA22" s="109">
        <f>'Federal P&amp;L'!Z17</f>
        <v>21083000</v>
      </c>
      <c r="AB22" s="109">
        <f>'Federal P&amp;L'!AA17</f>
        <v>23379000</v>
      </c>
      <c r="AC22" s="109">
        <f>'Federal P&amp;L'!AB17</f>
        <v>24810000</v>
      </c>
      <c r="AD22" s="109">
        <f>'Federal P&amp;L'!AC17</f>
        <v>26010000</v>
      </c>
      <c r="AE22" s="109">
        <f>'Federal P&amp;L'!AD17</f>
        <v>27568000</v>
      </c>
      <c r="AF22" s="109">
        <f>'Federal P&amp;L'!AE17</f>
        <v>22453000</v>
      </c>
      <c r="AG22" s="109">
        <f>'Federal P&amp;L'!AF17</f>
        <v>25298000</v>
      </c>
      <c r="AH22" s="109">
        <f>'Federal P&amp;L'!AG17</f>
        <v>29519000</v>
      </c>
      <c r="AI22" s="109">
        <f>'Federal P&amp;L'!AH17</f>
        <v>30307000</v>
      </c>
      <c r="AJ22" s="109">
        <f>'Federal P&amp;L'!AI17</f>
        <v>31815000</v>
      </c>
      <c r="AK22" s="109">
        <f>'Federal P&amp;L'!AJ17</f>
        <v>33926000</v>
      </c>
    </row>
    <row r="23" spans="1:37" outlineLevel="2">
      <c r="A23" s="22" t="str">
        <f>B6</f>
        <v>Tax Revenue</v>
      </c>
      <c r="B23" s="27" t="s">
        <v>11</v>
      </c>
      <c r="C23" s="109">
        <f>'State and Local P&amp;L'!B17</f>
        <v>9078807</v>
      </c>
      <c r="D23" s="109">
        <f>'State and Local P&amp;L'!C17</f>
        <v>9904838</v>
      </c>
      <c r="E23" s="109">
        <f>'State and Local P&amp;L'!D17</f>
        <v>10530741</v>
      </c>
      <c r="F23" s="109">
        <f>'State and Local P&amp;L'!E17</f>
        <v>11117117</v>
      </c>
      <c r="G23" s="109">
        <f>'State and Local P&amp;L'!F17</f>
        <v>12402129</v>
      </c>
      <c r="H23" s="109">
        <f>'State and Local P&amp;L'!G17</f>
        <v>14326555</v>
      </c>
      <c r="I23" s="109">
        <f>'State and Local P&amp;L'!H17</f>
        <v>15494400</v>
      </c>
      <c r="J23" s="109">
        <f>'State and Local P&amp;L'!I17</f>
        <v>16596116</v>
      </c>
      <c r="K23" s="109">
        <f>'State and Local P&amp;L'!J17</f>
        <v>17673687</v>
      </c>
      <c r="L23" s="109">
        <f>'State and Local P&amp;L'!K17</f>
        <v>18415462</v>
      </c>
      <c r="M23" s="109">
        <f>'State and Local P&amp;L'!L17</f>
        <v>19634702</v>
      </c>
      <c r="N23" s="109">
        <f>'State and Local P&amp;L'!M17</f>
        <v>20225962</v>
      </c>
      <c r="O23" s="109">
        <f>'State and Local P&amp;L'!N17</f>
        <v>22466000</v>
      </c>
      <c r="P23" s="109">
        <f>'State and Local P&amp;L'!O17</f>
        <v>24182294</v>
      </c>
      <c r="Q23" s="109">
        <f>'State and Local P&amp;L'!P17</f>
        <v>25047834</v>
      </c>
      <c r="R23" s="109">
        <f>'State and Local P&amp;L'!Q17</f>
        <v>27210725</v>
      </c>
      <c r="S23" s="109">
        <f>'State and Local P&amp;L'!R17</f>
        <v>28333996</v>
      </c>
      <c r="T23" s="109">
        <f>'State and Local P&amp;L'!S17</f>
        <v>29293738</v>
      </c>
      <c r="U23" s="109">
        <f>'State and Local P&amp;L'!T17</f>
        <v>30906539</v>
      </c>
      <c r="V23" s="109">
        <f>'State and Local P&amp;L'!U17</f>
        <v>31727532</v>
      </c>
      <c r="W23" s="109">
        <f>'State and Local P&amp;L'!V17</f>
        <v>33927319</v>
      </c>
      <c r="X23" s="109">
        <f>'State and Local P&amp;L'!W17</f>
        <v>34197890</v>
      </c>
      <c r="Y23" s="109">
        <f>'State and Local P&amp;L'!X17</f>
        <v>36716191</v>
      </c>
      <c r="Z23" s="109">
        <f>'State and Local P&amp;L'!Y17</f>
        <v>37269481</v>
      </c>
      <c r="AA23" s="109">
        <f>'State and Local P&amp;L'!Z17</f>
        <v>41255979</v>
      </c>
      <c r="AB23" s="109">
        <f>'State and Local P&amp;L'!AA17</f>
        <v>56809940</v>
      </c>
      <c r="AC23" s="109">
        <f>'State and Local P&amp;L'!AB17</f>
        <v>61403130</v>
      </c>
      <c r="AD23" s="109">
        <f>'State and Local P&amp;L'!AC17</f>
        <v>63744902</v>
      </c>
      <c r="AE23" s="109">
        <f>'State and Local P&amp;L'!AD17</f>
        <v>65978268</v>
      </c>
      <c r="AF23" s="109">
        <f>'State and Local P&amp;L'!AE17</f>
        <v>64356905</v>
      </c>
      <c r="AG23" s="109">
        <f>'State and Local P&amp;L'!AF17</f>
        <v>64614156</v>
      </c>
      <c r="AH23" s="109">
        <f>'State and Local P&amp;L'!AG17</f>
        <v>66317275</v>
      </c>
      <c r="AI23" s="109">
        <f>'State and Local P&amp;L'!AH17</f>
        <v>69701116</v>
      </c>
      <c r="AJ23" s="109">
        <f>'State and Local P&amp;L'!AI17</f>
        <v>71371532</v>
      </c>
      <c r="AK23" s="109">
        <f>'State and Local P&amp;L'!AJ17</f>
        <v>68015921</v>
      </c>
    </row>
    <row r="24" spans="1:37" outlineLevel="2">
      <c r="A24" s="22" t="str">
        <f>B6</f>
        <v>Tax Revenue</v>
      </c>
      <c r="B24" s="27" t="s">
        <v>12</v>
      </c>
      <c r="C24" s="109">
        <f>'Federal P&amp;L'!B18+'State and Local P&amp;L'!B18</f>
        <v>5642519</v>
      </c>
      <c r="D24" s="109">
        <f>'Federal P&amp;L'!C18+'State and Local P&amp;L'!C18</f>
        <v>5843830</v>
      </c>
      <c r="E24" s="109">
        <f>'Federal P&amp;L'!D18+'State and Local P&amp;L'!D18</f>
        <v>5831561</v>
      </c>
      <c r="F24" s="109">
        <f>'Federal P&amp;L'!E18+'State and Local P&amp;L'!E18</f>
        <v>6255641</v>
      </c>
      <c r="G24" s="109">
        <f>'Federal P&amp;L'!F18+'State and Local P&amp;L'!F18</f>
        <v>8197424</v>
      </c>
      <c r="H24" s="109">
        <f>'Federal P&amp;L'!G18+'State and Local P&amp;L'!G18</f>
        <v>9280797</v>
      </c>
      <c r="I24" s="109">
        <f>'Federal P&amp;L'!H18+'State and Local P&amp;L'!H18</f>
        <v>10295607</v>
      </c>
      <c r="J24" s="109">
        <f>'Federal P&amp;L'!I18+'State and Local P&amp;L'!I18</f>
        <v>12221569</v>
      </c>
      <c r="K24" s="109">
        <f>'Federal P&amp;L'!J18+'State and Local P&amp;L'!J18</f>
        <v>12828387</v>
      </c>
      <c r="L24" s="109">
        <f>'Federal P&amp;L'!K18+'State and Local P&amp;L'!K18</f>
        <v>13259574</v>
      </c>
      <c r="M24" s="109">
        <f>'Federal P&amp;L'!L18+'State and Local P&amp;L'!L18</f>
        <v>13933570</v>
      </c>
      <c r="N24" s="109">
        <f>'Federal P&amp;L'!M18+'State and Local P&amp;L'!M18</f>
        <v>13560856</v>
      </c>
      <c r="O24" s="109">
        <f>'Federal P&amp;L'!N18+'State and Local P&amp;L'!N18</f>
        <v>14193694</v>
      </c>
      <c r="P24" s="109">
        <f>'Federal P&amp;L'!O18+'State and Local P&amp;L'!O18</f>
        <v>15127531</v>
      </c>
      <c r="Q24" s="109">
        <f>'Federal P&amp;L'!P18+'State and Local P&amp;L'!P18</f>
        <v>17272974</v>
      </c>
      <c r="R24" s="109">
        <f>'Federal P&amp;L'!Q18+'State and Local P&amp;L'!Q18</f>
        <v>18081953</v>
      </c>
      <c r="S24" s="109">
        <f>'Federal P&amp;L'!R18+'State and Local P&amp;L'!R18</f>
        <v>18127747</v>
      </c>
      <c r="T24" s="109">
        <f>'Federal P&amp;L'!S18+'State and Local P&amp;L'!S18</f>
        <v>19687161</v>
      </c>
      <c r="U24" s="109">
        <f>'Federal P&amp;L'!T18+'State and Local P&amp;L'!T18</f>
        <v>23493196</v>
      </c>
      <c r="V24" s="109">
        <f>'Federal P&amp;L'!U18+'State and Local P&amp;L'!U18</f>
        <v>26539303</v>
      </c>
      <c r="W24" s="109">
        <f>'Federal P&amp;L'!V18+'State and Local P&amp;L'!V18</f>
        <v>28287054</v>
      </c>
      <c r="X24" s="109">
        <f>'Federal P&amp;L'!W18+'State and Local P&amp;L'!W18</f>
        <v>29734887</v>
      </c>
      <c r="Y24" s="109">
        <f>'Federal P&amp;L'!X18+'State and Local P&amp;L'!X18</f>
        <v>32626638</v>
      </c>
      <c r="Z24" s="109">
        <f>'Federal P&amp;L'!Y18+'State and Local P&amp;L'!Y18</f>
        <v>36025868</v>
      </c>
      <c r="AA24" s="109">
        <f>'Federal P&amp;L'!Z18+'State and Local P&amp;L'!Z18</f>
        <v>42216371</v>
      </c>
      <c r="AB24" s="109">
        <f>'Federal P&amp;L'!AA18+'State and Local P&amp;L'!AA18</f>
        <v>36207327</v>
      </c>
      <c r="AC24" s="109">
        <f>'Federal P&amp;L'!AB18+'State and Local P&amp;L'!AB18</f>
        <v>39258985</v>
      </c>
      <c r="AD24" s="109">
        <f>'Federal P&amp;L'!AC18+'State and Local P&amp;L'!AC18</f>
        <v>37763804</v>
      </c>
      <c r="AE24" s="109">
        <f>'Federal P&amp;L'!AD18+'State and Local P&amp;L'!AD18</f>
        <v>34730078</v>
      </c>
      <c r="AF24" s="109">
        <f>'Federal P&amp;L'!AE18+'State and Local P&amp;L'!AE18</f>
        <v>28460437</v>
      </c>
      <c r="AG24" s="109">
        <f>'Federal P&amp;L'!AF18+'State and Local P&amp;L'!AF18</f>
        <v>29513224</v>
      </c>
      <c r="AH24" s="109">
        <f>'Federal P&amp;L'!AG18+'State and Local P&amp;L'!AG18</f>
        <v>30533733</v>
      </c>
      <c r="AI24" s="109">
        <f>'Federal P&amp;L'!AH18+'State and Local P&amp;L'!AH18</f>
        <v>33615522</v>
      </c>
      <c r="AJ24" s="109">
        <f>'Federal P&amp;L'!AI18+'State and Local P&amp;L'!AI18</f>
        <v>35795848</v>
      </c>
      <c r="AK24" s="109">
        <f>'Federal P&amp;L'!AJ18+'State and Local P&amp;L'!AJ18</f>
        <v>38195512</v>
      </c>
    </row>
    <row r="25" spans="1:37" outlineLevel="1">
      <c r="A25" s="22" t="str">
        <f>B4</f>
        <v>Revenue</v>
      </c>
      <c r="B25" s="43" t="s">
        <v>2</v>
      </c>
      <c r="C25" s="110">
        <f>'Federal P&amp;L'!B19+'State and Local P&amp;L'!B19-'State and Local P&amp;L'!B23</f>
        <v>43385823</v>
      </c>
      <c r="D25" s="110">
        <f>'Federal P&amp;L'!C19+'State and Local P&amp;L'!C19-'State and Local P&amp;L'!C23</f>
        <v>56962963</v>
      </c>
      <c r="E25" s="110">
        <f>'Federal P&amp;L'!D19+'State and Local P&amp;L'!D19-'State and Local P&amp;L'!D23</f>
        <v>61132779</v>
      </c>
      <c r="F25" s="110">
        <f>'Federal P&amp;L'!E19+'State and Local P&amp;L'!E19-'State and Local P&amp;L'!E23</f>
        <v>73814291</v>
      </c>
      <c r="G25" s="110">
        <f>'Federal P&amp;L'!F19+'State and Local P&amp;L'!F19-'State and Local P&amp;L'!F23</f>
        <v>79041615</v>
      </c>
      <c r="H25" s="110">
        <f>'Federal P&amp;L'!G19+'State and Local P&amp;L'!G19-'State and Local P&amp;L'!G23</f>
        <v>88741067</v>
      </c>
      <c r="I25" s="110">
        <f>'Federal P&amp;L'!H19+'State and Local P&amp;L'!H19-'State and Local P&amp;L'!H23</f>
        <v>107695343</v>
      </c>
      <c r="J25" s="110">
        <f>'Federal P&amp;L'!I19+'State and Local P&amp;L'!I19-'State and Local P&amp;L'!I23</f>
        <v>120317622</v>
      </c>
      <c r="K25" s="110">
        <f>'Federal P&amp;L'!J19+'State and Local P&amp;L'!J19-'State and Local P&amp;L'!J23</f>
        <v>104006738</v>
      </c>
      <c r="L25" s="110">
        <f>'Federal P&amp;L'!K19+'State and Local P&amp;L'!K19-'State and Local P&amp;L'!K23</f>
        <v>109090143</v>
      </c>
      <c r="M25" s="110">
        <f>'Federal P&amp;L'!L19+'State and Local P&amp;L'!L19-'State and Local P&amp;L'!L23</f>
        <v>127681165</v>
      </c>
      <c r="N25" s="110">
        <f>'Federal P&amp;L'!M19+'State and Local P&amp;L'!M19-'State and Local P&amp;L'!M23</f>
        <v>116435718</v>
      </c>
      <c r="O25" s="110">
        <f>'Federal P&amp;L'!N19+'State and Local P&amp;L'!N19-'State and Local P&amp;L'!N23</f>
        <v>145243963</v>
      </c>
      <c r="P25" s="110">
        <f>'Federal P&amp;L'!O19+'State and Local P&amp;L'!O19-'State and Local P&amp;L'!O23</f>
        <v>145192873</v>
      </c>
      <c r="Q25" s="110">
        <f>'Federal P&amp;L'!P19+'State and Local P&amp;L'!P19-'State and Local P&amp;L'!P23</f>
        <v>148012798</v>
      </c>
      <c r="R25" s="110">
        <f>'Federal P&amp;L'!Q19+'State and Local P&amp;L'!Q19-'State and Local P&amp;L'!Q23</f>
        <v>169536400</v>
      </c>
      <c r="S25" s="110">
        <f>'Federal P&amp;L'!R19+'State and Local P&amp;L'!R19-'State and Local P&amp;L'!R23</f>
        <v>205454469</v>
      </c>
      <c r="T25" s="110">
        <f>'Federal P&amp;L'!S19+'State and Local P&amp;L'!S19-'State and Local P&amp;L'!S23</f>
        <v>252058538</v>
      </c>
      <c r="U25" s="110">
        <f>'Federal P&amp;L'!T19+'State and Local P&amp;L'!T19-'State and Local P&amp;L'!T23</f>
        <v>299048948</v>
      </c>
      <c r="V25" s="110">
        <f>'Federal P&amp;L'!U19+'State and Local P&amp;L'!U19-'State and Local P&amp;L'!U23</f>
        <v>294405106</v>
      </c>
      <c r="W25" s="110">
        <f>'Federal P&amp;L'!V19+'State and Local P&amp;L'!V19-'State and Local P&amp;L'!V23</f>
        <v>347224333</v>
      </c>
      <c r="X25" s="110">
        <f>'Federal P&amp;L'!W19+'State and Local P&amp;L'!W19-'State and Local P&amp;L'!W23</f>
        <v>179919201</v>
      </c>
      <c r="Y25" s="110">
        <f>'Federal P&amp;L'!X19+'State and Local P&amp;L'!X19-'State and Local P&amp;L'!X23</f>
        <v>43300000</v>
      </c>
      <c r="Z25" s="110">
        <f>'Federal P&amp;L'!Y19+'State and Local P&amp;L'!Y19-'State and Local P&amp;L'!Y23</f>
        <v>196927588</v>
      </c>
      <c r="AA25" s="110">
        <f>'Federal P&amp;L'!Z19+'State and Local P&amp;L'!Z19-'State and Local P&amp;L'!Z23</f>
        <v>442159969</v>
      </c>
      <c r="AB25" s="110">
        <f>'Federal P&amp;L'!AA19+'State and Local P&amp;L'!AA19-'State and Local P&amp;L'!AA23</f>
        <v>399411978</v>
      </c>
      <c r="AC25" s="110">
        <f>'Federal P&amp;L'!AB19+'State and Local P&amp;L'!AB19-'State and Local P&amp;L'!AB23</f>
        <v>446363434</v>
      </c>
      <c r="AD25" s="110">
        <f>'Federal P&amp;L'!AC19+'State and Local P&amp;L'!AC19-'State and Local P&amp;L'!AC23</f>
        <v>653897031</v>
      </c>
      <c r="AE25" s="110">
        <f>'Federal P&amp;L'!AD19+'State and Local P&amp;L'!AD19-'State and Local P&amp;L'!AD23</f>
        <v>115838824</v>
      </c>
      <c r="AF25" s="110">
        <f>'Federal P&amp;L'!AE19+'State and Local P&amp;L'!AE19-'State and Local P&amp;L'!AE23</f>
        <v>-432995386</v>
      </c>
      <c r="AG25" s="110">
        <f>'Federal P&amp;L'!AF19+'State and Local P&amp;L'!AF19-'State and Local P&amp;L'!AF23</f>
        <v>558942916</v>
      </c>
      <c r="AH25" s="110">
        <f>'Federal P&amp;L'!AG19+'State and Local P&amp;L'!AG19-'State and Local P&amp;L'!AG23</f>
        <v>706245957</v>
      </c>
      <c r="AI25" s="110">
        <f>'Federal P&amp;L'!AH19+'State and Local P&amp;L'!AH19-'State and Local P&amp;L'!AH23</f>
        <v>337325824</v>
      </c>
      <c r="AJ25" s="110">
        <f>'Federal P&amp;L'!AI19+'State and Local P&amp;L'!AI19-'State and Local P&amp;L'!AI23</f>
        <v>621032287</v>
      </c>
      <c r="AK25" s="110">
        <f>'Federal P&amp;L'!AJ19+'State and Local P&amp;L'!AJ19-'State and Local P&amp;L'!AJ23</f>
        <v>806005102</v>
      </c>
    </row>
    <row r="26" spans="1:37" outlineLevel="2">
      <c r="A26" s="22" t="str">
        <f>B25</f>
        <v>Non-Tax Revenue</v>
      </c>
      <c r="B26" s="27" t="s">
        <v>13</v>
      </c>
      <c r="C26" s="109">
        <f>'Federal P&amp;L'!B20+'State and Local P&amp;L'!B20</f>
        <v>8265509</v>
      </c>
      <c r="D26" s="109">
        <f>'Federal P&amp;L'!C20+'State and Local P&amp;L'!C20</f>
        <v>16299441</v>
      </c>
      <c r="E26" s="109">
        <f>'Federal P&amp;L'!D20+'State and Local P&amp;L'!D20</f>
        <v>14280727</v>
      </c>
      <c r="F26" s="109">
        <f>'Federal P&amp;L'!E20+'State and Local P&amp;L'!E20</f>
        <v>20549127</v>
      </c>
      <c r="G26" s="109">
        <f>'Federal P&amp;L'!F20+'State and Local P&amp;L'!F20</f>
        <v>19611764</v>
      </c>
      <c r="H26" s="109">
        <f>'Federal P&amp;L'!G20+'State and Local P&amp;L'!G20</f>
        <v>20581933</v>
      </c>
      <c r="I26" s="109">
        <f>'Federal P&amp;L'!H20+'State and Local P&amp;L'!H20</f>
        <v>21256377</v>
      </c>
      <c r="J26" s="109">
        <f>'Federal P&amp;L'!I20+'State and Local P&amp;L'!I20</f>
        <v>23823652</v>
      </c>
      <c r="K26" s="109">
        <f>'Federal P&amp;L'!J20+'State and Local P&amp;L'!J20</f>
        <v>9111196</v>
      </c>
      <c r="L26" s="109">
        <f>'Federal P&amp;L'!K20+'State and Local P&amp;L'!K20</f>
        <v>7730230</v>
      </c>
      <c r="M26" s="109">
        <f>'Federal P&amp;L'!L20+'State and Local P&amp;L'!L20</f>
        <v>8488576</v>
      </c>
      <c r="N26" s="109">
        <f>'Federal P&amp;L'!M20+'State and Local P&amp;L'!M20</f>
        <v>8725860</v>
      </c>
      <c r="O26" s="109">
        <f>'Federal P&amp;L'!N20+'State and Local P&amp;L'!N20</f>
        <v>7446407</v>
      </c>
      <c r="P26" s="109">
        <f>'Federal P&amp;L'!O20+'State and Local P&amp;L'!O20</f>
        <v>8203459</v>
      </c>
      <c r="Q26" s="109">
        <f>'Federal P&amp;L'!P20+'State and Local P&amp;L'!P20</f>
        <v>8130730</v>
      </c>
      <c r="R26" s="109">
        <f>'Federal P&amp;L'!Q20+'State and Local P&amp;L'!Q20</f>
        <v>15795469</v>
      </c>
      <c r="S26" s="109">
        <f>'Federal P&amp;L'!R20+'State and Local P&amp;L'!R20</f>
        <v>9690514</v>
      </c>
      <c r="T26" s="109">
        <f>'Federal P&amp;L'!S20+'State and Local P&amp;L'!S20</f>
        <v>23310251</v>
      </c>
      <c r="U26" s="109">
        <f>'Federal P&amp;L'!T20+'State and Local P&amp;L'!T20</f>
        <v>20364909</v>
      </c>
      <c r="V26" s="109">
        <f>'Federal P&amp;L'!U20+'State and Local P&amp;L'!U20</f>
        <v>12087440</v>
      </c>
      <c r="W26" s="109">
        <f>'Federal P&amp;L'!V20+'State and Local P&amp;L'!V20</f>
        <v>13547982</v>
      </c>
      <c r="X26" s="109">
        <f>'Federal P&amp;L'!W20+'State and Local P&amp;L'!W20</f>
        <v>18996913</v>
      </c>
      <c r="Y26" s="109">
        <f>'Federal P&amp;L'!X20+'State and Local P&amp;L'!X20</f>
        <v>14192566</v>
      </c>
      <c r="Z26" s="109">
        <f>'Federal P&amp;L'!Y20+'State and Local P&amp;L'!Y20</f>
        <v>14717791</v>
      </c>
      <c r="AA26" s="109">
        <f>'Federal P&amp;L'!Z20+'State and Local P&amp;L'!Z20</f>
        <v>16188321</v>
      </c>
      <c r="AB26" s="109">
        <f>'Federal P&amp;L'!AA20+'State and Local P&amp;L'!AA20</f>
        <v>20075120</v>
      </c>
      <c r="AC26" s="109">
        <f>'Federal P&amp;L'!AB20+'State and Local P&amp;L'!AB20</f>
        <v>21357858</v>
      </c>
      <c r="AD26" s="109">
        <f>'Federal P&amp;L'!AC20+'State and Local P&amp;L'!AC20</f>
        <v>38039530</v>
      </c>
      <c r="AE26" s="109">
        <f>'Federal P&amp;L'!AD20+'State and Local P&amp;L'!AD20</f>
        <v>39577412</v>
      </c>
      <c r="AF26" s="109">
        <f>'Federal P&amp;L'!AE20+'State and Local P&amp;L'!AE20</f>
        <v>39796688</v>
      </c>
      <c r="AG26" s="109">
        <f>'Federal P&amp;L'!AF20+'State and Local P&amp;L'!AF20</f>
        <v>21903058</v>
      </c>
      <c r="AH26" s="109">
        <f>'Federal P&amp;L'!AG20+'State and Local P&amp;L'!AG20</f>
        <v>26527432</v>
      </c>
      <c r="AI26" s="109">
        <f>'Federal P&amp;L'!AH20+'State and Local P&amp;L'!AH20</f>
        <v>38360913</v>
      </c>
      <c r="AJ26" s="109">
        <f>'Federal P&amp;L'!AI20+'State and Local P&amp;L'!AI20</f>
        <v>30597512</v>
      </c>
      <c r="AK26" s="109">
        <f>'Federal P&amp;L'!AJ20+'State and Local P&amp;L'!AJ20</f>
        <v>28430919</v>
      </c>
    </row>
    <row r="27" spans="1:37" outlineLevel="2">
      <c r="A27" s="22" t="str">
        <f>B25</f>
        <v>Non-Tax Revenue</v>
      </c>
      <c r="B27" s="27" t="s">
        <v>82</v>
      </c>
      <c r="C27" s="109">
        <f>'Federal P&amp;L'!B24</f>
        <v>11767143</v>
      </c>
      <c r="D27" s="109">
        <f>'Federal P&amp;L'!C24</f>
        <v>12833713</v>
      </c>
      <c r="E27" s="109">
        <f>'Federal P&amp;L'!D24</f>
        <v>15185696</v>
      </c>
      <c r="F27" s="109">
        <f>'Federal P&amp;L'!E24</f>
        <v>14492350</v>
      </c>
      <c r="G27" s="109">
        <f>'Federal P&amp;L'!F24</f>
        <v>15683846</v>
      </c>
      <c r="H27" s="109">
        <f>'Federal P&amp;L'!G24</f>
        <v>17058986</v>
      </c>
      <c r="I27" s="109">
        <f>'Federal P&amp;L'!H24</f>
        <v>18373909</v>
      </c>
      <c r="J27" s="109">
        <f>'Federal P&amp;L'!I24</f>
        <v>16816623</v>
      </c>
      <c r="K27" s="109">
        <f>'Federal P&amp;L'!J24</f>
        <v>17163237</v>
      </c>
      <c r="L27" s="109">
        <f>'Federal P&amp;L'!K24</f>
        <v>19604126</v>
      </c>
      <c r="M27" s="109">
        <f>'Federal P&amp;L'!L24</f>
        <v>24319216</v>
      </c>
      <c r="N27" s="109">
        <f>'Federal P&amp;L'!M24</f>
        <v>19158322</v>
      </c>
      <c r="O27" s="109">
        <f>'Federal P&amp;L'!N24</f>
        <v>22920445</v>
      </c>
      <c r="P27" s="109">
        <f>'Federal P&amp;L'!O24</f>
        <v>14908084</v>
      </c>
      <c r="Q27" s="109">
        <f>'Federal P&amp;L'!P24</f>
        <v>18022729</v>
      </c>
      <c r="R27" s="109">
        <f>'Federal P&amp;L'!Q24</f>
        <v>23378000</v>
      </c>
      <c r="S27" s="109">
        <f>'Federal P&amp;L'!R24</f>
        <v>20477000</v>
      </c>
      <c r="T27" s="109">
        <f>'Federal P&amp;L'!S24</f>
        <v>19636000</v>
      </c>
      <c r="U27" s="109">
        <f>'Federal P&amp;L'!T24</f>
        <v>24540000</v>
      </c>
      <c r="V27" s="109">
        <f>'Federal P&amp;L'!U24</f>
        <v>25917000</v>
      </c>
      <c r="W27" s="109">
        <f>'Federal P&amp;L'!V24</f>
        <v>32293000</v>
      </c>
      <c r="X27" s="109">
        <f>'Federal P&amp;L'!W24</f>
        <v>26124000</v>
      </c>
      <c r="Y27" s="109">
        <f>'Federal P&amp;L'!X24</f>
        <v>23683000</v>
      </c>
      <c r="Z27" s="109">
        <f>'Federal P&amp;L'!Y24</f>
        <v>21878000</v>
      </c>
      <c r="AA27" s="109">
        <f>'Federal P&amp;L'!Z24</f>
        <v>19652000</v>
      </c>
      <c r="AB27" s="109">
        <f>'Federal P&amp;L'!AA24</f>
        <v>19297000</v>
      </c>
      <c r="AC27" s="109">
        <f>'Federal P&amp;L'!AB24</f>
        <v>29945000</v>
      </c>
      <c r="AD27" s="109">
        <f>'Federal P&amp;L'!AC24</f>
        <v>32043000</v>
      </c>
      <c r="AE27" s="109">
        <f>'Federal P&amp;L'!AD24</f>
        <v>33598000</v>
      </c>
      <c r="AF27" s="109">
        <f>'Federal P&amp;L'!AE24</f>
        <v>34318000</v>
      </c>
      <c r="AG27" s="109">
        <f>'Federal P&amp;L'!AF24</f>
        <v>75863000</v>
      </c>
      <c r="AH27" s="109">
        <f>'Federal P&amp;L'!AG24</f>
        <v>82729000</v>
      </c>
      <c r="AI27" s="109">
        <f>'Federal P&amp;L'!AH24</f>
        <v>82468000</v>
      </c>
      <c r="AJ27" s="109">
        <f>'Federal P&amp;L'!AI24</f>
        <v>76320000</v>
      </c>
      <c r="AK27" s="109">
        <f>'Federal P&amp;L'!AJ24</f>
        <v>99875000</v>
      </c>
    </row>
    <row r="28" spans="1:37" outlineLevel="2">
      <c r="A28" s="22" t="str">
        <f>B25</f>
        <v>Non-Tax Revenue</v>
      </c>
      <c r="B28" s="27" t="s">
        <v>299</v>
      </c>
      <c r="C28" s="109">
        <f>'State and Local P&amp;L'!B21</f>
        <v>14031154</v>
      </c>
      <c r="D28" s="109">
        <f>'State and Local P&amp;L'!C21</f>
        <v>17240949</v>
      </c>
      <c r="E28" s="109">
        <f>'State and Local P&amp;L'!D21</f>
        <v>20233222</v>
      </c>
      <c r="F28" s="109">
        <f>'State and Local P&amp;L'!E21</f>
        <v>27416969</v>
      </c>
      <c r="G28" s="109">
        <f>'State and Local P&amp;L'!F21</f>
        <v>30610640</v>
      </c>
      <c r="H28" s="109">
        <f>'State and Local P&amp;L'!G21</f>
        <v>36285574</v>
      </c>
      <c r="I28" s="109">
        <f>'State and Local P&amp;L'!H21</f>
        <v>50888782</v>
      </c>
      <c r="J28" s="109">
        <f>'State and Local P&amp;L'!I21</f>
        <v>59605976</v>
      </c>
      <c r="K28" s="109">
        <f>'State and Local P&amp;L'!J21</f>
        <v>57234466</v>
      </c>
      <c r="L28" s="109">
        <f>'State and Local P&amp;L'!K21</f>
        <v>58979925</v>
      </c>
      <c r="M28" s="109">
        <f>'State and Local P&amp;L'!L21</f>
        <v>70279883</v>
      </c>
      <c r="N28" s="109">
        <f>'State and Local P&amp;L'!M21</f>
        <v>61496254</v>
      </c>
      <c r="O28" s="109">
        <f>'State and Local P&amp;L'!N21</f>
        <v>80548468</v>
      </c>
      <c r="P28" s="109">
        <f>'State and Local P&amp;L'!O21</f>
        <v>86823768</v>
      </c>
      <c r="Q28" s="109">
        <f>'State and Local P&amp;L'!P21</f>
        <v>86148733</v>
      </c>
      <c r="R28" s="109">
        <f>'State and Local P&amp;L'!Q21</f>
        <v>91445381</v>
      </c>
      <c r="S28" s="109">
        <f>'State and Local P&amp;L'!R21</f>
        <v>133003671</v>
      </c>
      <c r="T28" s="109">
        <f>'State and Local P&amp;L'!S21</f>
        <v>163630677</v>
      </c>
      <c r="U28" s="109">
        <f>'State and Local P&amp;L'!T21</f>
        <v>202869262</v>
      </c>
      <c r="V28" s="109">
        <f>'State and Local P&amp;L'!U21</f>
        <v>202892663</v>
      </c>
      <c r="W28" s="109">
        <f>'State and Local P&amp;L'!V21</f>
        <v>237185135</v>
      </c>
      <c r="X28" s="109">
        <f>'State and Local P&amp;L'!W21</f>
        <v>65366063</v>
      </c>
      <c r="Y28" s="109">
        <f>'State and Local P&amp;L'!X21</f>
        <v>-70639641</v>
      </c>
      <c r="Z28" s="109">
        <f>'State and Local P&amp;L'!Y21</f>
        <v>76243075</v>
      </c>
      <c r="AA28" s="109">
        <f>'State and Local P&amp;L'!Z21</f>
        <v>319821409</v>
      </c>
      <c r="AB28" s="109">
        <f>'State and Local P&amp;L'!AA21</f>
        <v>268012830</v>
      </c>
      <c r="AC28" s="109">
        <f>'State and Local P&amp;L'!AB21</f>
        <v>295140122</v>
      </c>
      <c r="AD28" s="109">
        <f>'State and Local P&amp;L'!AC21</f>
        <v>477666015</v>
      </c>
      <c r="AE28" s="109">
        <f>'State and Local P&amp;L'!AD21</f>
        <v>-65516951</v>
      </c>
      <c r="AF28" s="109">
        <f>'State and Local P&amp;L'!AE21</f>
        <v>-617535968</v>
      </c>
      <c r="AG28" s="109">
        <f>'State and Local P&amp;L'!AF21</f>
        <v>351703928</v>
      </c>
      <c r="AH28" s="109">
        <f>'State and Local P&amp;L'!AG21</f>
        <v>485354988</v>
      </c>
      <c r="AI28" s="109">
        <f>'State and Local P&amp;L'!AH21</f>
        <v>97715350</v>
      </c>
      <c r="AJ28" s="109">
        <f>'State and Local P&amp;L'!AI21</f>
        <v>388306592</v>
      </c>
      <c r="AK28" s="109">
        <f>'State and Local P&amp;L'!AJ21</f>
        <v>538987532</v>
      </c>
    </row>
    <row r="29" spans="1:37" outlineLevel="2">
      <c r="A29" s="22" t="str">
        <f>B25</f>
        <v>Non-Tax Revenue</v>
      </c>
      <c r="B29" s="27" t="s">
        <v>17</v>
      </c>
      <c r="C29" s="109">
        <f>'Federal P&amp;L'!B25+'State and Local P&amp;L'!B22</f>
        <v>9322017</v>
      </c>
      <c r="D29" s="109">
        <f>'Federal P&amp;L'!C25+'State and Local P&amp;L'!C22</f>
        <v>10588860</v>
      </c>
      <c r="E29" s="109">
        <f>'Federal P&amp;L'!D25+'State and Local P&amp;L'!D22</f>
        <v>11433134</v>
      </c>
      <c r="F29" s="109">
        <f>'Federal P&amp;L'!E25+'State and Local P&amp;L'!E22</f>
        <v>11355845</v>
      </c>
      <c r="G29" s="109">
        <f>'Federal P&amp;L'!F25+'State and Local P&amp;L'!F22</f>
        <v>13135365</v>
      </c>
      <c r="H29" s="109">
        <f>'Federal P&amp;L'!G25+'State and Local P&amp;L'!G22</f>
        <v>14814574</v>
      </c>
      <c r="I29" s="109">
        <f>'Federal P&amp;L'!H25+'State and Local P&amp;L'!H22</f>
        <v>17176275</v>
      </c>
      <c r="J29" s="109">
        <f>'Federal P&amp;L'!I25+'State and Local P&amp;L'!I22</f>
        <v>20071371</v>
      </c>
      <c r="K29" s="109">
        <f>'Federal P&amp;L'!J25+'State and Local P&amp;L'!J22</f>
        <v>20497839</v>
      </c>
      <c r="L29" s="109">
        <f>'Federal P&amp;L'!K25+'State and Local P&amp;L'!K22</f>
        <v>22775862</v>
      </c>
      <c r="M29" s="109">
        <f>'Federal P&amp;L'!L25+'State and Local P&amp;L'!L22</f>
        <v>24593490</v>
      </c>
      <c r="N29" s="109">
        <f>'Federal P&amp;L'!M25+'State and Local P&amp;L'!M22</f>
        <v>27055282</v>
      </c>
      <c r="O29" s="109">
        <f>'Federal P&amp;L'!N25+'State and Local P&amp;L'!N22</f>
        <v>34328643</v>
      </c>
      <c r="P29" s="109">
        <f>'Federal P&amp;L'!O25+'State and Local P&amp;L'!O22</f>
        <v>35257562</v>
      </c>
      <c r="Q29" s="109">
        <f>'Federal P&amp;L'!P25+'State and Local P&amp;L'!P22</f>
        <v>35710606</v>
      </c>
      <c r="R29" s="109">
        <f>'Federal P&amp;L'!Q25+'State and Local P&amp;L'!Q22</f>
        <v>38917550</v>
      </c>
      <c r="S29" s="109">
        <f>'Federal P&amp;L'!R25+'State and Local P&amp;L'!R22</f>
        <v>42283284</v>
      </c>
      <c r="T29" s="109">
        <f>'Federal P&amp;L'!S25+'State and Local P&amp;L'!S22</f>
        <v>45481610</v>
      </c>
      <c r="U29" s="109">
        <f>'Federal P&amp;L'!T25+'State and Local P&amp;L'!T22</f>
        <v>51274777</v>
      </c>
      <c r="V29" s="109">
        <f>'Federal P&amp;L'!U25+'State and Local P&amp;L'!U22</f>
        <v>53508003</v>
      </c>
      <c r="W29" s="109">
        <f>'Federal P&amp;L'!V25+'State and Local P&amp;L'!V22</f>
        <v>64198216</v>
      </c>
      <c r="X29" s="109">
        <f>'Federal P&amp;L'!W25+'State and Local P&amp;L'!W22</f>
        <v>69432225</v>
      </c>
      <c r="Y29" s="109">
        <f>'Federal P&amp;L'!X25+'State and Local P&amp;L'!X22</f>
        <v>76064075</v>
      </c>
      <c r="Z29" s="109">
        <f>'Federal P&amp;L'!Y25+'State and Local P&amp;L'!Y22</f>
        <v>84088722</v>
      </c>
      <c r="AA29" s="109">
        <f>'Federal P&amp;L'!Z25+'State and Local P&amp;L'!Z22</f>
        <v>86498239</v>
      </c>
      <c r="AB29" s="109">
        <f>'Federal P&amp;L'!AA25+'State and Local P&amp;L'!AA22</f>
        <v>92027028</v>
      </c>
      <c r="AC29" s="109">
        <f>'Federal P&amp;L'!AB25+'State and Local P&amp;L'!AB22</f>
        <v>99920454</v>
      </c>
      <c r="AD29" s="109">
        <f>'Federal P&amp;L'!AC25+'State and Local P&amp;L'!AC22</f>
        <v>106148486</v>
      </c>
      <c r="AE29" s="109">
        <f>'Federal P&amp;L'!AD25+'State and Local P&amp;L'!AD22</f>
        <v>108180363</v>
      </c>
      <c r="AF29" s="109">
        <f>'Federal P&amp;L'!AE25+'State and Local P&amp;L'!AE22</f>
        <v>110425894</v>
      </c>
      <c r="AG29" s="109">
        <f>'Federal P&amp;L'!AF25+'State and Local P&amp;L'!AF22</f>
        <v>109472930</v>
      </c>
      <c r="AH29" s="109">
        <f>'Federal P&amp;L'!AG25+'State and Local P&amp;L'!AG22</f>
        <v>111634537</v>
      </c>
      <c r="AI29" s="109">
        <f>'Federal P&amp;L'!AH25+'State and Local P&amp;L'!AH22</f>
        <v>118781561</v>
      </c>
      <c r="AJ29" s="109">
        <f>'Federal P&amp;L'!AI25+'State and Local P&amp;L'!AI22</f>
        <v>125808183</v>
      </c>
      <c r="AK29" s="109">
        <f>'Federal P&amp;L'!AJ25+'State and Local P&amp;L'!AJ22</f>
        <v>138711651</v>
      </c>
    </row>
    <row r="30" spans="1:37" outlineLevel="1">
      <c r="B30" s="22" t="s">
        <v>503</v>
      </c>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row>
    <row r="31" spans="1:37">
      <c r="A31" s="22" t="str">
        <f>B30</f>
        <v>Spending By Mission</v>
      </c>
      <c r="B31" s="25" t="s">
        <v>18</v>
      </c>
      <c r="C31" s="111">
        <f>'Federal P&amp;L'!B28+'State and Local P&amp;L'!B25+C105</f>
        <v>846850601</v>
      </c>
      <c r="D31" s="111">
        <f>'Federal P&amp;L'!C28+'State and Local P&amp;L'!C25+D105</f>
        <v>967135632</v>
      </c>
      <c r="E31" s="111">
        <f>'Federal P&amp;L'!D28+'State and Local P&amp;L'!D25+E105</f>
        <v>1056608783</v>
      </c>
      <c r="F31" s="111">
        <f>'Federal P&amp;L'!E28+'State and Local P&amp;L'!E25+F105</f>
        <v>1152313194</v>
      </c>
      <c r="G31" s="111">
        <f>'Federal P&amp;L'!F28+'State and Local P&amp;L'!F25+G105</f>
        <v>1221070335</v>
      </c>
      <c r="H31" s="111">
        <f>'Federal P&amp;L'!G28+'State and Local P&amp;L'!G25+H105</f>
        <v>1349218023</v>
      </c>
      <c r="I31" s="111">
        <f>'Federal P&amp;L'!H28+'State and Local P&amp;L'!H25+I105</f>
        <v>1435684294</v>
      </c>
      <c r="J31" s="111">
        <f>'Federal P&amp;L'!I28+'State and Local P&amp;L'!I25+J105</f>
        <v>1499310121</v>
      </c>
      <c r="K31" s="111">
        <f>'Federal P&amp;L'!J28+'State and Local P&amp;L'!J25+K105</f>
        <v>1587826941</v>
      </c>
      <c r="L31" s="111">
        <f>'Federal P&amp;L'!K28+'State and Local P&amp;L'!K25+L105</f>
        <v>1702000505</v>
      </c>
      <c r="M31" s="111">
        <f>'Federal P&amp;L'!L28+'State and Local P&amp;L'!L25+M105</f>
        <v>1864116049</v>
      </c>
      <c r="N31" s="111">
        <f>'Federal P&amp;L'!M28+'State and Local P&amp;L'!M25+N105</f>
        <v>1986001946</v>
      </c>
      <c r="O31" s="111">
        <f>'Federal P&amp;L'!N28+'State and Local P&amp;L'!N25+O105</f>
        <v>2044258138</v>
      </c>
      <c r="P31" s="111">
        <f>'Federal P&amp;L'!O28+'State and Local P&amp;L'!O25+P105</f>
        <v>2097750083</v>
      </c>
      <c r="Q31" s="111">
        <f>'Federal P&amp;L'!P28+'State and Local P&amp;L'!P25+Q105</f>
        <v>2173418633</v>
      </c>
      <c r="R31" s="111">
        <f>'Federal P&amp;L'!Q28+'State and Local P&amp;L'!Q25+R105</f>
        <v>2281972696</v>
      </c>
      <c r="S31" s="111">
        <f>'Federal P&amp;L'!R28+'State and Local P&amp;L'!R25+S105</f>
        <v>2347355840</v>
      </c>
      <c r="T31" s="111">
        <f>'Federal P&amp;L'!S28+'State and Local P&amp;L'!S25+T105</f>
        <v>2440918523</v>
      </c>
      <c r="U31" s="111">
        <f>'Federal P&amp;L'!T28+'State and Local P&amp;L'!T25+U105</f>
        <v>2539517838</v>
      </c>
      <c r="V31" s="111">
        <f>'Federal P&amp;L'!U28+'State and Local P&amp;L'!U25+V105</f>
        <v>2644535772</v>
      </c>
      <c r="W31" s="111">
        <f>'Federal P&amp;L'!V28+'State and Local P&amp;L'!V25+W105</f>
        <v>2811185335</v>
      </c>
      <c r="X31" s="111">
        <f>'Federal P&amp;L'!W28+'State and Local P&amp;L'!W25+X105</f>
        <v>2963936291</v>
      </c>
      <c r="Y31" s="111">
        <f>'Federal P&amp;L'!X28+'State and Local P&amp;L'!X25+Y105</f>
        <v>3193879423</v>
      </c>
      <c r="Z31" s="111">
        <f>'Federal P&amp;L'!Y28+'State and Local P&amp;L'!Y25+Z105</f>
        <v>3395131861</v>
      </c>
      <c r="AA31" s="111">
        <f>'Federal P&amp;L'!Z28+'State and Local P&amp;L'!Z25+AA105</f>
        <v>3587034073</v>
      </c>
      <c r="AB31" s="111">
        <f>'Federal P&amp;L'!AA28+'State and Local P&amp;L'!AA25+AB105</f>
        <v>3834038609</v>
      </c>
      <c r="AC31" s="111">
        <f>'Federal P&amp;L'!AB28+'State and Local P&amp;L'!AB25+AC105</f>
        <v>4074767494</v>
      </c>
      <c r="AD31" s="111">
        <f>'Federal P&amp;L'!AC28+'State and Local P&amp;L'!AC25+AD105</f>
        <v>4281363002</v>
      </c>
      <c r="AE31" s="111">
        <f>'Federal P&amp;L'!AD28+'State and Local P&amp;L'!AD25+AE105</f>
        <v>4657916445</v>
      </c>
      <c r="AF31" s="111">
        <f>'Federal P&amp;L'!AE28+'State and Local P&amp;L'!AE25+AF105</f>
        <v>5249853788</v>
      </c>
      <c r="AG31" s="111">
        <f>'Federal P&amp;L'!AF28+'State and Local P&amp;L'!AF25+AG105</f>
        <v>5139009032</v>
      </c>
      <c r="AH31" s="111">
        <f>'Federal P&amp;L'!AG28+'State and Local P&amp;L'!AG25+AH105</f>
        <v>5304777537</v>
      </c>
      <c r="AI31" s="111">
        <f>'Federal P&amp;L'!AH28+'State and Local P&amp;L'!AH25+AI105</f>
        <v>5333109476</v>
      </c>
      <c r="AJ31" s="111">
        <f>'Federal P&amp;L'!AI28+'State and Local P&amp;L'!AI25+AJ105</f>
        <v>5276254333</v>
      </c>
      <c r="AK31" s="111">
        <f>'Federal P&amp;L'!AJ28+'State and Local P&amp;L'!AJ25+AK105</f>
        <v>5389059977</v>
      </c>
    </row>
    <row r="32" spans="1:37" outlineLevel="1">
      <c r="A32" s="22" t="str">
        <f>B30</f>
        <v>Spending By Mission</v>
      </c>
      <c r="B32" s="43" t="s">
        <v>325</v>
      </c>
      <c r="C32" s="112">
        <f>'Federal P&amp;L'!B29+'State and Local P&amp;L'!B26</f>
        <v>48758016</v>
      </c>
      <c r="D32" s="112">
        <f>'Federal P&amp;L'!C29+'State and Local P&amp;L'!C26</f>
        <v>54127417</v>
      </c>
      <c r="E32" s="112">
        <f>'Federal P&amp;L'!D29+'State and Local P&amp;L'!D26</f>
        <v>59449685</v>
      </c>
      <c r="F32" s="112">
        <f>'Federal P&amp;L'!E29+'State and Local P&amp;L'!E26</f>
        <v>65632402</v>
      </c>
      <c r="G32" s="112">
        <f>'Federal P&amp;L'!F29+'State and Local P&amp;L'!F26</f>
        <v>71884763</v>
      </c>
      <c r="H32" s="112">
        <f>'Federal P&amp;L'!G29+'State and Local P&amp;L'!G26</f>
        <v>79131432</v>
      </c>
      <c r="I32" s="112">
        <f>'Federal P&amp;L'!H29+'State and Local P&amp;L'!H26</f>
        <v>86031485</v>
      </c>
      <c r="J32" s="112">
        <f>'Federal P&amp;L'!I29+'State and Local P&amp;L'!I26</f>
        <v>93740415</v>
      </c>
      <c r="K32" s="112">
        <f>'Federal P&amp;L'!J29+'State and Local P&amp;L'!J26</f>
        <v>102980190</v>
      </c>
      <c r="L32" s="112">
        <f>'Federal P&amp;L'!K29+'State and Local P&amp;L'!K26</f>
        <v>111824716</v>
      </c>
      <c r="M32" s="112">
        <f>'Federal P&amp;L'!L29+'State and Local P&amp;L'!L26</f>
        <v>125848854</v>
      </c>
      <c r="N32" s="112">
        <f>'Federal P&amp;L'!M29+'State and Local P&amp;L'!M26</f>
        <v>136556207</v>
      </c>
      <c r="O32" s="112">
        <f>'Federal P&amp;L'!N29+'State and Local P&amp;L'!N26</f>
        <v>148007633</v>
      </c>
      <c r="P32" s="112">
        <f>'Federal P&amp;L'!O29+'State and Local P&amp;L'!O26</f>
        <v>154148101</v>
      </c>
      <c r="Q32" s="112">
        <f>'Federal P&amp;L'!P29+'State and Local P&amp;L'!P26</f>
        <v>164741040</v>
      </c>
      <c r="R32" s="112">
        <f>'Federal P&amp;L'!Q29+'State and Local P&amp;L'!Q26</f>
        <v>178821940</v>
      </c>
      <c r="S32" s="112">
        <f>'Federal P&amp;L'!R29+'State and Local P&amp;L'!R26</f>
        <v>187039725</v>
      </c>
      <c r="T32" s="112">
        <f>'Federal P&amp;L'!S29+'State and Local P&amp;L'!S26</f>
        <v>199046148</v>
      </c>
      <c r="U32" s="112">
        <f>'Federal P&amp;L'!T29+'State and Local P&amp;L'!T26</f>
        <v>210544557</v>
      </c>
      <c r="V32" s="112">
        <f>'Federal P&amp;L'!U29+'State and Local P&amp;L'!U26</f>
        <v>226577937</v>
      </c>
      <c r="W32" s="112">
        <f>'Federal P&amp;L'!V29+'State and Local P&amp;L'!V26</f>
        <v>241639888</v>
      </c>
      <c r="X32" s="112">
        <f>'Federal P&amp;L'!W29+'State and Local P&amp;L'!W26</f>
        <v>257981589</v>
      </c>
      <c r="Y32" s="112">
        <f>'Federal P&amp;L'!X29+'State and Local P&amp;L'!X26</f>
        <v>280468660</v>
      </c>
      <c r="Z32" s="112">
        <f>'Federal P&amp;L'!Y29+'State and Local P&amp;L'!Y26</f>
        <v>291611461</v>
      </c>
      <c r="AA32" s="112">
        <f>'Federal P&amp;L'!Z29+'State and Local P&amp;L'!Z26</f>
        <v>304969078</v>
      </c>
      <c r="AB32" s="112">
        <f>'Federal P&amp;L'!AA29+'State and Local P&amp;L'!AA26</f>
        <v>310956434</v>
      </c>
      <c r="AC32" s="112">
        <f>'Federal P&amp;L'!AB29+'State and Local P&amp;L'!AB26</f>
        <v>352519465</v>
      </c>
      <c r="AD32" s="112">
        <f>'Federal P&amp;L'!AC29+'State and Local P&amp;L'!AC26</f>
        <v>347393549</v>
      </c>
      <c r="AE32" s="112">
        <f>'Federal P&amp;L'!AD29+'State and Local P&amp;L'!AD26</f>
        <v>365578875</v>
      </c>
      <c r="AF32" s="112">
        <f>'Federal P&amp;L'!AE29+'State and Local P&amp;L'!AE26</f>
        <v>386686672</v>
      </c>
      <c r="AG32" s="112">
        <f>'Federal P&amp;L'!AF29+'State and Local P&amp;L'!AF26</f>
        <v>382373434</v>
      </c>
      <c r="AH32" s="112">
        <f>'Federal P&amp;L'!AG29+'State and Local P&amp;L'!AG26</f>
        <v>380572305</v>
      </c>
      <c r="AI32" s="112">
        <f>'Federal P&amp;L'!AH29+'State and Local P&amp;L'!AH26</f>
        <v>382769276</v>
      </c>
      <c r="AJ32" s="112">
        <f>'Federal P&amp;L'!AI29+'State and Local P&amp;L'!AI26</f>
        <v>396340066</v>
      </c>
      <c r="AK32" s="112">
        <f>'Federal P&amp;L'!AJ29+'State and Local P&amp;L'!AJ26</f>
        <v>395968520</v>
      </c>
    </row>
    <row r="33" spans="1:37" outlineLevel="2">
      <c r="A33" s="22" t="str">
        <f>B32</f>
        <v>Establish Justice and Ensure Domestic Tranquility</v>
      </c>
      <c r="B33" s="27" t="s">
        <v>28</v>
      </c>
      <c r="C33" s="113">
        <f>'Federal P&amp;L'!B30+'State and Local P&amp;L'!B27</f>
        <v>33205486</v>
      </c>
      <c r="D33" s="113">
        <f>'Federal P&amp;L'!C30+'State and Local P&amp;L'!C27</f>
        <v>36352081</v>
      </c>
      <c r="E33" s="113">
        <f>'Federal P&amp;L'!D30+'State and Local P&amp;L'!D27</f>
        <v>40191737</v>
      </c>
      <c r="F33" s="113">
        <f>'Federal P&amp;L'!E30+'State and Local P&amp;L'!E27</f>
        <v>46154596</v>
      </c>
      <c r="G33" s="113">
        <f>'Federal P&amp;L'!F30+'State and Local P&amp;L'!F27</f>
        <v>50636250</v>
      </c>
      <c r="H33" s="113">
        <f>'Federal P&amp;L'!G30+'State and Local P&amp;L'!G27</f>
        <v>55968221</v>
      </c>
      <c r="I33" s="113">
        <f>'Federal P&amp;L'!H30+'State and Local P&amp;L'!H27</f>
        <v>61851022</v>
      </c>
      <c r="J33" s="113">
        <f>'Federal P&amp;L'!I30+'State and Local P&amp;L'!I27</f>
        <v>67225296</v>
      </c>
      <c r="K33" s="113">
        <f>'Federal P&amp;L'!J30+'State and Local P&amp;L'!J27</f>
        <v>74529963</v>
      </c>
      <c r="L33" s="113">
        <f>'Federal P&amp;L'!K30+'State and Local P&amp;L'!K27</f>
        <v>80562032</v>
      </c>
      <c r="M33" s="113">
        <f>'Federal P&amp;L'!L30+'State and Local P&amp;L'!L27</f>
        <v>91667736</v>
      </c>
      <c r="N33" s="113">
        <f>'Federal P&amp;L'!M30+'State and Local P&amp;L'!M27</f>
        <v>99132134</v>
      </c>
      <c r="O33" s="113">
        <f>'Federal P&amp;L'!N30+'State and Local P&amp;L'!N27</f>
        <v>107355517</v>
      </c>
      <c r="P33" s="113">
        <f>'Federal P&amp;L'!O30+'State and Local P&amp;L'!O27</f>
        <v>111686117</v>
      </c>
      <c r="Q33" s="113">
        <f>'Federal P&amp;L'!P30+'State and Local P&amp;L'!P27</f>
        <v>118435168</v>
      </c>
      <c r="R33" s="113">
        <f>'Federal P&amp;L'!Q30+'State and Local P&amp;L'!Q27</f>
        <v>128217020</v>
      </c>
      <c r="S33" s="113">
        <f>'Federal P&amp;L'!R30+'State and Local P&amp;L'!R27</f>
        <v>135984551</v>
      </c>
      <c r="T33" s="113">
        <f>'Federal P&amp;L'!S30+'State and Local P&amp;L'!S27</f>
        <v>145270227</v>
      </c>
      <c r="U33" s="113">
        <f>'Federal P&amp;L'!T30+'State and Local P&amp;L'!T27</f>
        <v>153508077</v>
      </c>
      <c r="V33" s="113">
        <f>'Federal P&amp;L'!U30+'State and Local P&amp;L'!U27</f>
        <v>164689988</v>
      </c>
      <c r="W33" s="113">
        <f>'Federal P&amp;L'!V30+'State and Local P&amp;L'!V27</f>
        <v>175242621</v>
      </c>
      <c r="X33" s="113">
        <f>'Federal P&amp;L'!W30+'State and Local P&amp;L'!W27</f>
        <v>186569389</v>
      </c>
      <c r="Y33" s="113">
        <f>'Federal P&amp;L'!X30+'State and Local P&amp;L'!X27</f>
        <v>200784400</v>
      </c>
      <c r="Z33" s="113">
        <f>'Federal P&amp;L'!Y30+'State and Local P&amp;L'!Y27</f>
        <v>209081544</v>
      </c>
      <c r="AA33" s="113">
        <f>'Federal P&amp;L'!Z30+'State and Local P&amp;L'!Z27</f>
        <v>223899321</v>
      </c>
      <c r="AB33" s="113">
        <f>'Federal P&amp;L'!AA30+'State and Local P&amp;L'!AA27</f>
        <v>231504657</v>
      </c>
      <c r="AC33" s="113">
        <f>'Federal P&amp;L'!AB30+'State and Local P&amp;L'!AB27</f>
        <v>271415087</v>
      </c>
      <c r="AD33" s="113">
        <f>'Federal P&amp;L'!AC30+'State and Local P&amp;L'!AC27</f>
        <v>263464290</v>
      </c>
      <c r="AE33" s="113">
        <f>'Federal P&amp;L'!AD30+'State and Local P&amp;L'!AD27</f>
        <v>277786895</v>
      </c>
      <c r="AF33" s="113">
        <f>'Federal P&amp;L'!AE30+'State and Local P&amp;L'!AE27</f>
        <v>293870557</v>
      </c>
      <c r="AG33" s="113">
        <f>'Federal P&amp;L'!AF30+'State and Local P&amp;L'!AF27</f>
        <v>290436646</v>
      </c>
      <c r="AH33" s="113">
        <f>'Federal P&amp;L'!AG30+'State and Local P&amp;L'!AG27</f>
        <v>291613127</v>
      </c>
      <c r="AI33" s="113">
        <f>'Federal P&amp;L'!AH30+'State and Local P&amp;L'!AH27</f>
        <v>294049963</v>
      </c>
      <c r="AJ33" s="113">
        <f>'Federal P&amp;L'!AI30+'State and Local P&amp;L'!AI27</f>
        <v>306510117</v>
      </c>
      <c r="AK33" s="113">
        <f>'Federal P&amp;L'!AJ30+'State and Local P&amp;L'!AJ27</f>
        <v>302686131</v>
      </c>
    </row>
    <row r="34" spans="1:37" outlineLevel="3">
      <c r="A34" s="22" t="str">
        <f>B33</f>
        <v>Crime and Disaster</v>
      </c>
      <c r="B34" s="28" t="s">
        <v>29</v>
      </c>
      <c r="C34" s="113">
        <f>'Federal P&amp;L'!B31+'State and Local P&amp;L'!B28</f>
        <v>21890926</v>
      </c>
      <c r="D34" s="113">
        <f>'Federal P&amp;L'!C31+'State and Local P&amp;L'!C28</f>
        <v>24464218</v>
      </c>
      <c r="E34" s="113">
        <f>'Federal P&amp;L'!D31+'State and Local P&amp;L'!D28</f>
        <v>27112207</v>
      </c>
      <c r="F34" s="113">
        <f>'Federal P&amp;L'!E31+'State and Local P&amp;L'!E28</f>
        <v>30125438</v>
      </c>
      <c r="G34" s="113">
        <f>'Federal P&amp;L'!F31+'State and Local P&amp;L'!F28</f>
        <v>33058680</v>
      </c>
      <c r="H34" s="113">
        <f>'Federal P&amp;L'!G31+'State and Local P&amp;L'!G28</f>
        <v>36764258</v>
      </c>
      <c r="I34" s="113">
        <f>'Federal P&amp;L'!H31+'State and Local P&amp;L'!H28</f>
        <v>40684839</v>
      </c>
      <c r="J34" s="113">
        <f>'Federal P&amp;L'!I31+'State and Local P&amp;L'!I28</f>
        <v>44665045</v>
      </c>
      <c r="K34" s="113">
        <f>'Federal P&amp;L'!J31+'State and Local P&amp;L'!J28</f>
        <v>49167313</v>
      </c>
      <c r="L34" s="113">
        <f>'Federal P&amp;L'!K31+'State and Local P&amp;L'!K28</f>
        <v>53309310</v>
      </c>
      <c r="M34" s="113">
        <f>'Federal P&amp;L'!L31+'State and Local P&amp;L'!L28</f>
        <v>60070227</v>
      </c>
      <c r="N34" s="113">
        <f>'Federal P&amp;L'!M31+'State and Local P&amp;L'!M28</f>
        <v>65859780</v>
      </c>
      <c r="O34" s="113">
        <f>'Federal P&amp;L'!N31+'State and Local P&amp;L'!N28</f>
        <v>71055326</v>
      </c>
      <c r="P34" s="113">
        <f>'Federal P&amp;L'!O31+'State and Local P&amp;L'!O28</f>
        <v>73102713</v>
      </c>
      <c r="Q34" s="113">
        <f>'Federal P&amp;L'!P31+'State and Local P&amp;L'!P28</f>
        <v>78236999</v>
      </c>
      <c r="R34" s="113">
        <f>'Federal P&amp;L'!Q31+'State and Local P&amp;L'!Q28</f>
        <v>84653386</v>
      </c>
      <c r="S34" s="113">
        <f>'Federal P&amp;L'!R31+'State and Local P&amp;L'!R28</f>
        <v>90661002</v>
      </c>
      <c r="T34" s="113">
        <f>'Federal P&amp;L'!S31+'State and Local P&amp;L'!S28</f>
        <v>96872200</v>
      </c>
      <c r="U34" s="113">
        <f>'Federal P&amp;L'!T31+'State and Local P&amp;L'!T28</f>
        <v>102776832</v>
      </c>
      <c r="V34" s="113">
        <f>'Federal P&amp;L'!U31+'State and Local P&amp;L'!U28</f>
        <v>109832591</v>
      </c>
      <c r="W34" s="113">
        <f>'Federal P&amp;L'!V31+'State and Local P&amp;L'!V28</f>
        <v>117474510</v>
      </c>
      <c r="X34" s="113">
        <f>'Federal P&amp;L'!W31+'State and Local P&amp;L'!W28</f>
        <v>123488428</v>
      </c>
      <c r="Y34" s="113">
        <f>'Federal P&amp;L'!X31+'State and Local P&amp;L'!X28</f>
        <v>133770631</v>
      </c>
      <c r="Z34" s="113">
        <f>'Federal P&amp;L'!Y31+'State and Local P&amp;L'!Y28</f>
        <v>138390686</v>
      </c>
      <c r="AA34" s="113">
        <f>'Federal P&amp;L'!Z31+'State and Local P&amp;L'!Z28</f>
        <v>149867466</v>
      </c>
      <c r="AB34" s="113">
        <f>'Federal P&amp;L'!AA31+'State and Local P&amp;L'!AA28</f>
        <v>151172166</v>
      </c>
      <c r="AC34" s="113">
        <f>'Federal P&amp;L'!AB31+'State and Local P&amp;L'!AB28</f>
        <v>158634798</v>
      </c>
      <c r="AD34" s="113">
        <f>'Federal P&amp;L'!AC31+'State and Local P&amp;L'!AC28</f>
        <v>169416914</v>
      </c>
      <c r="AE34" s="113">
        <f>'Federal P&amp;L'!AD31+'State and Local P&amp;L'!AD28</f>
        <v>182274648</v>
      </c>
      <c r="AF34" s="113">
        <f>'Federal P&amp;L'!AE31+'State and Local P&amp;L'!AE28</f>
        <v>189610275</v>
      </c>
      <c r="AG34" s="113">
        <f>'Federal P&amp;L'!AF31+'State and Local P&amp;L'!AF28</f>
        <v>189751071</v>
      </c>
      <c r="AH34" s="113">
        <f>'Federal P&amp;L'!AG31+'State and Local P&amp;L'!AG28</f>
        <v>192039525</v>
      </c>
      <c r="AI34" s="113">
        <f>'Federal P&amp;L'!AH31+'State and Local P&amp;L'!AH28</f>
        <v>190976728</v>
      </c>
      <c r="AJ34" s="113">
        <f>'Federal P&amp;L'!AI31+'State and Local P&amp;L'!AI28</f>
        <v>192092712</v>
      </c>
      <c r="AK34" s="113">
        <f>'Federal P&amp;L'!AJ31+'State and Local P&amp;L'!AJ28</f>
        <v>195761596</v>
      </c>
    </row>
    <row r="35" spans="1:37" outlineLevel="4">
      <c r="A35" s="22" t="str">
        <f>B34</f>
        <v>Law Enforcement and Corrections</v>
      </c>
      <c r="B35" s="29" t="s">
        <v>498</v>
      </c>
      <c r="C35" s="113">
        <f>'Federal P&amp;L (detailed)'!C34+'State and Local P&amp;L (detailed)'!C31</f>
        <v>15099927</v>
      </c>
      <c r="D35" s="113">
        <f>'Federal P&amp;L (detailed)'!D34+'State and Local P&amp;L (detailed)'!D31</f>
        <v>16708178</v>
      </c>
      <c r="E35" s="113">
        <f>'Federal P&amp;L (detailed)'!E34+'State and Local P&amp;L (detailed)'!E31</f>
        <v>18275668</v>
      </c>
      <c r="F35" s="113">
        <f>'Federal P&amp;L (detailed)'!F34+'State and Local P&amp;L (detailed)'!F31</f>
        <v>19921748</v>
      </c>
      <c r="G35" s="113">
        <f>'Federal P&amp;L (detailed)'!G34+'State and Local P&amp;L (detailed)'!G31</f>
        <v>21469021</v>
      </c>
      <c r="H35" s="113">
        <f>'Federal P&amp;L (detailed)'!H34+'State and Local P&amp;L (detailed)'!H31</f>
        <v>23383514</v>
      </c>
      <c r="I35" s="113">
        <f>'Federal P&amp;L (detailed)'!I34+'State and Local P&amp;L (detailed)'!I31</f>
        <v>25106804</v>
      </c>
      <c r="J35" s="113">
        <f>'Federal P&amp;L (detailed)'!J34+'State and Local P&amp;L (detailed)'!J31</f>
        <v>27306437</v>
      </c>
      <c r="K35" s="113">
        <f>'Federal P&amp;L (detailed)'!K34+'State and Local P&amp;L (detailed)'!K31</f>
        <v>29243175</v>
      </c>
      <c r="L35" s="113">
        <f>'Federal P&amp;L (detailed)'!L34+'State and Local P&amp;L (detailed)'!L31</f>
        <v>31060400</v>
      </c>
      <c r="M35" s="113">
        <f>'Federal P&amp;L (detailed)'!M34+'State and Local P&amp;L (detailed)'!M31</f>
        <v>34137995</v>
      </c>
      <c r="N35" s="113">
        <f>'Federal P&amp;L (detailed)'!N34+'State and Local P&amp;L (detailed)'!N31</f>
        <v>36896548</v>
      </c>
      <c r="O35" s="113">
        <f>'Federal P&amp;L (detailed)'!O34+'State and Local P&amp;L (detailed)'!O31</f>
        <v>40159712</v>
      </c>
      <c r="P35" s="113">
        <f>'Federal P&amp;L (detailed)'!P34+'State and Local P&amp;L (detailed)'!P31</f>
        <v>41336989</v>
      </c>
      <c r="Q35" s="113">
        <f>'Federal P&amp;L (detailed)'!Q34+'State and Local P&amp;L (detailed)'!Q31</f>
        <v>43643217</v>
      </c>
      <c r="R35" s="113">
        <f>'Federal P&amp;L (detailed)'!R34+'State and Local P&amp;L (detailed)'!R31</f>
        <v>46047532</v>
      </c>
      <c r="S35" s="113">
        <f>'Federal P&amp;L (detailed)'!S34+'State and Local P&amp;L (detailed)'!S31</f>
        <v>50137901</v>
      </c>
      <c r="T35" s="113">
        <f>'Federal P&amp;L (detailed)'!T34+'State and Local P&amp;L (detailed)'!T31</f>
        <v>53986740</v>
      </c>
      <c r="U35" s="113">
        <f>'Federal P&amp;L (detailed)'!U34+'State and Local P&amp;L (detailed)'!U31</f>
        <v>57616211</v>
      </c>
      <c r="V35" s="113">
        <f>'Federal P&amp;L (detailed)'!V34+'State and Local P&amp;L (detailed)'!V31</f>
        <v>61030526</v>
      </c>
      <c r="W35" s="113">
        <f>'Federal P&amp;L (detailed)'!W34+'State and Local P&amp;L (detailed)'!W31</f>
        <v>64962071</v>
      </c>
      <c r="X35" s="113">
        <f>'Federal P&amp;L (detailed)'!X34+'State and Local P&amp;L (detailed)'!X31</f>
        <v>66912216</v>
      </c>
      <c r="Y35" s="113">
        <f>'Federal P&amp;L (detailed)'!Y34+'State and Local P&amp;L (detailed)'!Y31</f>
        <v>74409395</v>
      </c>
      <c r="Z35" s="113">
        <f>'Federal P&amp;L (detailed)'!Z34+'State and Local P&amp;L (detailed)'!Z31</f>
        <v>78339388</v>
      </c>
      <c r="AA35" s="113">
        <f>'Federal P&amp;L (detailed)'!AA34+'State and Local P&amp;L (detailed)'!AA31</f>
        <v>88791308</v>
      </c>
      <c r="AB35" s="113">
        <f>'Federal P&amp;L (detailed)'!AB34+'State and Local P&amp;L (detailed)'!AB31</f>
        <v>87225066</v>
      </c>
      <c r="AC35" s="113">
        <f>'Federal P&amp;L (detailed)'!AC34+'State and Local P&amp;L (detailed)'!AC31</f>
        <v>91008954</v>
      </c>
      <c r="AD35" s="113">
        <f>'Federal P&amp;L (detailed)'!AD34+'State and Local P&amp;L (detailed)'!AD31</f>
        <v>96215152</v>
      </c>
      <c r="AE35" s="113">
        <f>'Federal P&amp;L (detailed)'!AE34+'State and Local P&amp;L (detailed)'!AE31</f>
        <v>103867025</v>
      </c>
      <c r="AF35" s="113">
        <f>'Federal P&amp;L (detailed)'!AF34+'State and Local P&amp;L (detailed)'!AF31</f>
        <v>108505084</v>
      </c>
      <c r="AG35" s="113">
        <f>'Federal P&amp;L (detailed)'!AG34+'State and Local P&amp;L (detailed)'!AG31</f>
        <v>110323705</v>
      </c>
      <c r="AH35" s="113">
        <f>'Federal P&amp;L (detailed)'!AH34+'State and Local P&amp;L (detailed)'!AH31</f>
        <v>112250175</v>
      </c>
      <c r="AI35" s="113">
        <f>'Federal P&amp;L (detailed)'!AI34+'State and Local P&amp;L (detailed)'!AI31</f>
        <v>111535511</v>
      </c>
      <c r="AJ35" s="113">
        <f>'Federal P&amp;L (detailed)'!AJ34+'State and Local P&amp;L (detailed)'!AJ31</f>
        <v>112322282</v>
      </c>
      <c r="AK35" s="113">
        <f>'Federal P&amp;L (detailed)'!AK34+'State and Local P&amp;L (detailed)'!AK31</f>
        <v>114260943</v>
      </c>
    </row>
    <row r="36" spans="1:37" outlineLevel="4">
      <c r="A36" s="22" t="str">
        <f>B34</f>
        <v>Law Enforcement and Corrections</v>
      </c>
      <c r="B36" s="29" t="s">
        <v>499</v>
      </c>
      <c r="C36" s="113">
        <f>'Federal P&amp;L (detailed)'!C35+'State and Local P&amp;L (detailed)'!C32</f>
        <v>6790999</v>
      </c>
      <c r="D36" s="113">
        <f>'Federal P&amp;L (detailed)'!D35+'State and Local P&amp;L (detailed)'!D32</f>
        <v>7756040</v>
      </c>
      <c r="E36" s="113">
        <f>'Federal P&amp;L (detailed)'!E35+'State and Local P&amp;L (detailed)'!E32</f>
        <v>8836539</v>
      </c>
      <c r="F36" s="113">
        <f>'Federal P&amp;L (detailed)'!F35+'State and Local P&amp;L (detailed)'!F32</f>
        <v>10203690</v>
      </c>
      <c r="G36" s="113">
        <f>'Federal P&amp;L (detailed)'!G35+'State and Local P&amp;L (detailed)'!G32</f>
        <v>11589659</v>
      </c>
      <c r="H36" s="113">
        <f>'Federal P&amp;L (detailed)'!H35+'State and Local P&amp;L (detailed)'!H32</f>
        <v>13380744</v>
      </c>
      <c r="I36" s="113">
        <f>'Federal P&amp;L (detailed)'!I35+'State and Local P&amp;L (detailed)'!I32</f>
        <v>15578035</v>
      </c>
      <c r="J36" s="113">
        <f>'Federal P&amp;L (detailed)'!J35+'State and Local P&amp;L (detailed)'!J32</f>
        <v>17358608</v>
      </c>
      <c r="K36" s="113">
        <f>'Federal P&amp;L (detailed)'!K35+'State and Local P&amp;L (detailed)'!K32</f>
        <v>19924138</v>
      </c>
      <c r="L36" s="113">
        <f>'Federal P&amp;L (detailed)'!L35+'State and Local P&amp;L (detailed)'!L32</f>
        <v>22248910</v>
      </c>
      <c r="M36" s="113">
        <f>'Federal P&amp;L (detailed)'!M35+'State and Local P&amp;L (detailed)'!M32</f>
        <v>25932232</v>
      </c>
      <c r="N36" s="113">
        <f>'Federal P&amp;L (detailed)'!N35+'State and Local P&amp;L (detailed)'!N32</f>
        <v>28963232</v>
      </c>
      <c r="O36" s="113">
        <f>'Federal P&amp;L (detailed)'!O35+'State and Local P&amp;L (detailed)'!O32</f>
        <v>30895614</v>
      </c>
      <c r="P36" s="113">
        <f>'Federal P&amp;L (detailed)'!P35+'State and Local P&amp;L (detailed)'!P32</f>
        <v>31765724</v>
      </c>
      <c r="Q36" s="113">
        <f>'Federal P&amp;L (detailed)'!Q35+'State and Local P&amp;L (detailed)'!Q32</f>
        <v>34593782</v>
      </c>
      <c r="R36" s="113">
        <f>'Federal P&amp;L (detailed)'!R35+'State and Local P&amp;L (detailed)'!R32</f>
        <v>38605854</v>
      </c>
      <c r="S36" s="113">
        <f>'Federal P&amp;L (detailed)'!S35+'State and Local P&amp;L (detailed)'!S32</f>
        <v>40523101</v>
      </c>
      <c r="T36" s="113">
        <f>'Federal P&amp;L (detailed)'!T35+'State and Local P&amp;L (detailed)'!T32</f>
        <v>42885460</v>
      </c>
      <c r="U36" s="113">
        <f>'Federal P&amp;L (detailed)'!U35+'State and Local P&amp;L (detailed)'!U32</f>
        <v>45160621</v>
      </c>
      <c r="V36" s="113">
        <f>'Federal P&amp;L (detailed)'!V35+'State and Local P&amp;L (detailed)'!V32</f>
        <v>48802065</v>
      </c>
      <c r="W36" s="113">
        <f>'Federal P&amp;L (detailed)'!W35+'State and Local P&amp;L (detailed)'!W32</f>
        <v>52512439</v>
      </c>
      <c r="X36" s="113">
        <f>'Federal P&amp;L (detailed)'!X35+'State and Local P&amp;L (detailed)'!X32</f>
        <v>56576212</v>
      </c>
      <c r="Y36" s="113">
        <f>'Federal P&amp;L (detailed)'!Y35+'State and Local P&amp;L (detailed)'!Y32</f>
        <v>59361236</v>
      </c>
      <c r="Z36" s="113">
        <f>'Federal P&amp;L (detailed)'!Z35+'State and Local P&amp;L (detailed)'!Z32</f>
        <v>60051298</v>
      </c>
      <c r="AA36" s="113">
        <f>'Federal P&amp;L (detailed)'!AA35+'State and Local P&amp;L (detailed)'!AA32</f>
        <v>61076158</v>
      </c>
      <c r="AB36" s="113">
        <f>'Federal P&amp;L (detailed)'!AB35+'State and Local P&amp;L (detailed)'!AB32</f>
        <v>63947100</v>
      </c>
      <c r="AC36" s="113">
        <f>'Federal P&amp;L (detailed)'!AC35+'State and Local P&amp;L (detailed)'!AC32</f>
        <v>67625844</v>
      </c>
      <c r="AD36" s="113">
        <f>'Federal P&amp;L (detailed)'!AD35+'State and Local P&amp;L (detailed)'!AD32</f>
        <v>73201762</v>
      </c>
      <c r="AE36" s="113">
        <f>'Federal P&amp;L (detailed)'!AE35+'State and Local P&amp;L (detailed)'!AE32</f>
        <v>78407623</v>
      </c>
      <c r="AF36" s="113">
        <f>'Federal P&amp;L (detailed)'!AF35+'State and Local P&amp;L (detailed)'!AF32</f>
        <v>81105191</v>
      </c>
      <c r="AG36" s="113">
        <f>'Federal P&amp;L (detailed)'!AG35+'State and Local P&amp;L (detailed)'!AG32</f>
        <v>79427366</v>
      </c>
      <c r="AH36" s="113">
        <f>'Federal P&amp;L (detailed)'!AH35+'State and Local P&amp;L (detailed)'!AH32</f>
        <v>79789350</v>
      </c>
      <c r="AI36" s="113">
        <f>'Federal P&amp;L (detailed)'!AI35+'State and Local P&amp;L (detailed)'!AI32</f>
        <v>79441217</v>
      </c>
      <c r="AJ36" s="113">
        <f>'Federal P&amp;L (detailed)'!AJ35+'State and Local P&amp;L (detailed)'!AJ32</f>
        <v>79770430</v>
      </c>
      <c r="AK36" s="113">
        <f>'Federal P&amp;L (detailed)'!AK35+'State and Local P&amp;L (detailed)'!AK32</f>
        <v>81500653</v>
      </c>
    </row>
    <row r="37" spans="1:37" outlineLevel="3">
      <c r="A37" s="22" t="str">
        <f>B33</f>
        <v>Crime and Disaster</v>
      </c>
      <c r="B37" s="28" t="s">
        <v>30</v>
      </c>
      <c r="C37" s="113">
        <f>'Federal P&amp;L'!B32+'State and Local P&amp;L'!B29</f>
        <v>3934533</v>
      </c>
      <c r="D37" s="113">
        <f>'Federal P&amp;L'!C32+'State and Local P&amp;L'!C29</f>
        <v>4140992</v>
      </c>
      <c r="E37" s="113">
        <f>'Federal P&amp;L'!D32+'State and Local P&amp;L'!D29</f>
        <v>6269210</v>
      </c>
      <c r="F37" s="113">
        <f>'Federal P&amp;L'!E32+'State and Local P&amp;L'!E29</f>
        <v>8634824</v>
      </c>
      <c r="G37" s="113">
        <f>'Federal P&amp;L'!F32+'State and Local P&amp;L'!F29</f>
        <v>9473652</v>
      </c>
      <c r="H37" s="113">
        <f>'Federal P&amp;L'!G32+'State and Local P&amp;L'!G29</f>
        <v>10501600</v>
      </c>
      <c r="I37" s="113">
        <f>'Federal P&amp;L'!H32+'State and Local P&amp;L'!H29</f>
        <v>11462344</v>
      </c>
      <c r="J37" s="113">
        <f>'Federal P&amp;L'!I32+'State and Local P&amp;L'!I29</f>
        <v>12537429</v>
      </c>
      <c r="K37" s="113">
        <f>'Federal P&amp;L'!J32+'State and Local P&amp;L'!J29</f>
        <v>14012949</v>
      </c>
      <c r="L37" s="113">
        <f>'Federal P&amp;L'!K32+'State and Local P&amp;L'!K29</f>
        <v>15678724</v>
      </c>
      <c r="M37" s="113">
        <f>'Federal P&amp;L'!L32+'State and Local P&amp;L'!L29</f>
        <v>17497404</v>
      </c>
      <c r="N37" s="113">
        <f>'Federal P&amp;L'!M32+'State and Local P&amp;L'!M29</f>
        <v>19450015</v>
      </c>
      <c r="O37" s="113">
        <f>'Federal P&amp;L'!N32+'State and Local P&amp;L'!N29</f>
        <v>21301819</v>
      </c>
      <c r="P37" s="113">
        <f>'Federal P&amp;L'!O32+'State and Local P&amp;L'!O29</f>
        <v>22124048</v>
      </c>
      <c r="Q37" s="113">
        <f>'Federal P&amp;L'!P32+'State and Local P&amp;L'!P29</f>
        <v>23122658</v>
      </c>
      <c r="R37" s="113">
        <f>'Federal P&amp;L'!Q32+'State and Local P&amp;L'!Q29</f>
        <v>25047153</v>
      </c>
      <c r="S37" s="113">
        <f>'Federal P&amp;L'!R32+'State and Local P&amp;L'!R29</f>
        <v>26357777</v>
      </c>
      <c r="T37" s="113">
        <f>'Federal P&amp;L'!S32+'State and Local P&amp;L'!S29</f>
        <v>27793774</v>
      </c>
      <c r="U37" s="113">
        <f>'Federal P&amp;L'!T32+'State and Local P&amp;L'!T29</f>
        <v>30070382</v>
      </c>
      <c r="V37" s="113">
        <f>'Federal P&amp;L'!U32+'State and Local P&amp;L'!U29</f>
        <v>32438294</v>
      </c>
      <c r="W37" s="113">
        <f>'Federal P&amp;L'!V32+'State and Local P&amp;L'!V29</f>
        <v>34500180</v>
      </c>
      <c r="X37" s="113">
        <f>'Federal P&amp;L'!W32+'State and Local P&amp;L'!W29</f>
        <v>37294901</v>
      </c>
      <c r="Y37" s="113">
        <f>'Federal P&amp;L'!X32+'State and Local P&amp;L'!X29</f>
        <v>40122148</v>
      </c>
      <c r="Z37" s="113">
        <f>'Federal P&amp;L'!Y32+'State and Local P&amp;L'!Y29</f>
        <v>42107282</v>
      </c>
      <c r="AA37" s="113">
        <f>'Federal P&amp;L'!Z32+'State and Local P&amp;L'!Z29</f>
        <v>43229300</v>
      </c>
      <c r="AB37" s="113">
        <f>'Federal P&amp;L'!AA32+'State and Local P&amp;L'!AA29</f>
        <v>45387379</v>
      </c>
      <c r="AC37" s="113">
        <f>'Federal P&amp;L'!AB32+'State and Local P&amp;L'!AB29</f>
        <v>47816723</v>
      </c>
      <c r="AD37" s="113">
        <f>'Federal P&amp;L'!AC32+'State and Local P&amp;L'!AC29</f>
        <v>50407825</v>
      </c>
      <c r="AE37" s="113">
        <f>'Federal P&amp;L'!AD32+'State and Local P&amp;L'!AD29</f>
        <v>53667373</v>
      </c>
      <c r="AF37" s="113">
        <f>'Federal P&amp;L'!AE32+'State and Local P&amp;L'!AE29</f>
        <v>55731817</v>
      </c>
      <c r="AG37" s="113">
        <f>'Federal P&amp;L'!AF32+'State and Local P&amp;L'!AF29</f>
        <v>57089929</v>
      </c>
      <c r="AH37" s="113">
        <f>'Federal P&amp;L'!AG32+'State and Local P&amp;L'!AG29</f>
        <v>57487983</v>
      </c>
      <c r="AI37" s="113">
        <f>'Federal P&amp;L'!AH32+'State and Local P&amp;L'!AH29</f>
        <v>58890152</v>
      </c>
      <c r="AJ37" s="113">
        <f>'Federal P&amp;L'!AI32+'State and Local P&amp;L'!AI29</f>
        <v>56682541</v>
      </c>
      <c r="AK37" s="113">
        <f>'Federal P&amp;L'!AJ32+'State and Local P&amp;L'!AJ29</f>
        <v>57796275</v>
      </c>
    </row>
    <row r="38" spans="1:37" outlineLevel="3">
      <c r="A38" s="22" t="str">
        <f>B33</f>
        <v>Crime and Disaster</v>
      </c>
      <c r="B38" s="28" t="s">
        <v>31</v>
      </c>
      <c r="C38" s="113">
        <f>'State and Local P&amp;L'!B30</f>
        <v>5718232</v>
      </c>
      <c r="D38" s="113">
        <f>'State and Local P&amp;L'!C30</f>
        <v>6335761</v>
      </c>
      <c r="E38" s="113">
        <f>'State and Local P&amp;L'!D30</f>
        <v>7025556</v>
      </c>
      <c r="F38" s="113">
        <f>'State and Local P&amp;L'!E30</f>
        <v>7582075</v>
      </c>
      <c r="G38" s="113">
        <f>'State and Local P&amp;L'!F30</f>
        <v>8201727</v>
      </c>
      <c r="H38" s="113">
        <f>'State and Local P&amp;L'!G30</f>
        <v>8916631</v>
      </c>
      <c r="I38" s="113">
        <f>'State and Local P&amp;L'!H30</f>
        <v>9586526</v>
      </c>
      <c r="J38" s="113">
        <f>'State and Local P&amp;L'!I30</f>
        <v>10452893</v>
      </c>
      <c r="K38" s="113">
        <f>'State and Local P&amp;L'!J30</f>
        <v>11752856</v>
      </c>
      <c r="L38" s="113">
        <f>'State and Local P&amp;L'!K30</f>
        <v>11932217</v>
      </c>
      <c r="M38" s="113">
        <f>'State and Local P&amp;L'!L30</f>
        <v>13186081</v>
      </c>
      <c r="N38" s="113">
        <f>'State and Local P&amp;L'!M30</f>
        <v>13796137</v>
      </c>
      <c r="O38" s="113">
        <f>'State and Local P&amp;L'!N30</f>
        <v>14750658</v>
      </c>
      <c r="P38" s="113">
        <f>'State and Local P&amp;L'!O30</f>
        <v>15372647</v>
      </c>
      <c r="Q38" s="113">
        <f>'State and Local P&amp;L'!P30</f>
        <v>16122797</v>
      </c>
      <c r="R38" s="113">
        <f>'State and Local P&amp;L'!Q30</f>
        <v>17009481</v>
      </c>
      <c r="S38" s="113">
        <f>'State and Local P&amp;L'!R30</f>
        <v>17708772</v>
      </c>
      <c r="T38" s="113">
        <f>'State and Local P&amp;L'!S30</f>
        <v>19407253</v>
      </c>
      <c r="U38" s="113">
        <f>'State and Local P&amp;L'!T30</f>
        <v>20268863</v>
      </c>
      <c r="V38" s="113">
        <f>'State and Local P&amp;L'!U30</f>
        <v>21262103</v>
      </c>
      <c r="W38" s="113">
        <f>'State and Local P&amp;L'!V30</f>
        <v>23101931</v>
      </c>
      <c r="X38" s="113">
        <f>'State and Local P&amp;L'!W30</f>
        <v>24970060</v>
      </c>
      <c r="Y38" s="113">
        <f>'State and Local P&amp;L'!X30</f>
        <v>25997621</v>
      </c>
      <c r="Z38" s="113">
        <f>'State and Local P&amp;L'!Y30</f>
        <v>26337576</v>
      </c>
      <c r="AA38" s="113">
        <f>'State and Local P&amp;L'!Z30</f>
        <v>28990555</v>
      </c>
      <c r="AB38" s="113">
        <f>'State and Local P&amp;L'!AA30</f>
        <v>30830112</v>
      </c>
      <c r="AC38" s="113">
        <f>'State and Local P&amp;L'!AB30</f>
        <v>33654566</v>
      </c>
      <c r="AD38" s="113">
        <f>'State and Local P&amp;L'!AC30</f>
        <v>36687551</v>
      </c>
      <c r="AE38" s="113">
        <f>'State and Local P&amp;L'!AD30</f>
        <v>39304874</v>
      </c>
      <c r="AF38" s="113">
        <f>'State and Local P&amp;L'!AE30</f>
        <v>40886465</v>
      </c>
      <c r="AG38" s="113">
        <f>'State and Local P&amp;L'!AF30</f>
        <v>41334646</v>
      </c>
      <c r="AH38" s="113">
        <f>'State and Local P&amp;L'!AG30</f>
        <v>41380619</v>
      </c>
      <c r="AI38" s="113">
        <f>'State and Local P&amp;L'!AH30</f>
        <v>42450083</v>
      </c>
      <c r="AJ38" s="113">
        <f>'State and Local P&amp;L'!AI30</f>
        <v>42550864</v>
      </c>
      <c r="AK38" s="113">
        <f>'State and Local P&amp;L'!AJ30</f>
        <v>44140260</v>
      </c>
    </row>
    <row r="39" spans="1:37" outlineLevel="3">
      <c r="A39" s="22" t="str">
        <f>B33</f>
        <v>Crime and Disaster</v>
      </c>
      <c r="B39" s="28" t="s">
        <v>300</v>
      </c>
      <c r="C39" s="113">
        <f>'Federal P&amp;L'!B33</f>
        <v>1661795</v>
      </c>
      <c r="D39" s="113">
        <f>'Federal P&amp;L'!C33</f>
        <v>1411110</v>
      </c>
      <c r="E39" s="113">
        <f>'Federal P&amp;L'!D33</f>
        <v>-215236</v>
      </c>
      <c r="F39" s="113">
        <f>'Federal P&amp;L'!E33</f>
        <v>-187741</v>
      </c>
      <c r="G39" s="113">
        <f>'Federal P&amp;L'!F33</f>
        <v>-97809</v>
      </c>
      <c r="H39" s="113">
        <f>'Federal P&amp;L'!G33</f>
        <v>-214268</v>
      </c>
      <c r="I39" s="113">
        <f>'Federal P&amp;L'!H33</f>
        <v>117313</v>
      </c>
      <c r="J39" s="113">
        <f>'Federal P&amp;L'!I33</f>
        <v>-430071</v>
      </c>
      <c r="K39" s="113">
        <f>'Federal P&amp;L'!J33</f>
        <v>-403155</v>
      </c>
      <c r="L39" s="113">
        <f>'Federal P&amp;L'!K33</f>
        <v>-358219</v>
      </c>
      <c r="M39" s="113">
        <f>'Federal P&amp;L'!L33</f>
        <v>914024</v>
      </c>
      <c r="N39" s="113">
        <f>'Federal P&amp;L'!M33</f>
        <v>26202</v>
      </c>
      <c r="O39" s="113">
        <f>'Federal P&amp;L'!N33</f>
        <v>247714</v>
      </c>
      <c r="P39" s="113">
        <f>'Federal P&amp;L'!O33</f>
        <v>1086709</v>
      </c>
      <c r="Q39" s="113">
        <f>'Federal P&amp;L'!P33</f>
        <v>952714</v>
      </c>
      <c r="R39" s="113">
        <f>'Federal P&amp;L'!Q33</f>
        <v>1507000</v>
      </c>
      <c r="S39" s="113">
        <f>'Federal P&amp;L'!R33</f>
        <v>1257000</v>
      </c>
      <c r="T39" s="113">
        <f>'Federal P&amp;L'!S33</f>
        <v>1197000</v>
      </c>
      <c r="U39" s="113">
        <f>'Federal P&amp;L'!T33</f>
        <v>392000</v>
      </c>
      <c r="V39" s="113">
        <f>'Federal P&amp;L'!U33</f>
        <v>1157000</v>
      </c>
      <c r="W39" s="113">
        <f>'Federal P&amp;L'!V33</f>
        <v>166000</v>
      </c>
      <c r="X39" s="113">
        <f>'Federal P&amp;L'!W33</f>
        <v>816000</v>
      </c>
      <c r="Y39" s="113">
        <f>'Federal P&amp;L'!X33</f>
        <v>894000</v>
      </c>
      <c r="Z39" s="113">
        <f>'Federal P&amp;L'!Y33</f>
        <v>2246000</v>
      </c>
      <c r="AA39" s="113">
        <f>'Federal P&amp;L'!Z33</f>
        <v>1812000</v>
      </c>
      <c r="AB39" s="113">
        <f>'Federal P&amp;L'!AA33</f>
        <v>4115000</v>
      </c>
      <c r="AC39" s="113">
        <f>'Federal P&amp;L'!AB33</f>
        <v>31309000</v>
      </c>
      <c r="AD39" s="113">
        <f>'Federal P&amp;L'!AC33</f>
        <v>6952000</v>
      </c>
      <c r="AE39" s="113">
        <f>'Federal P&amp;L'!AD33</f>
        <v>2540000</v>
      </c>
      <c r="AF39" s="113">
        <f>'Federal P&amp;L'!AE33</f>
        <v>7642000</v>
      </c>
      <c r="AG39" s="113">
        <f>'Federal P&amp;L'!AF33</f>
        <v>2261000</v>
      </c>
      <c r="AH39" s="113">
        <f>'Federal P&amp;L'!AG33</f>
        <v>705000</v>
      </c>
      <c r="AI39" s="113">
        <f>'Federal P&amp;L'!AH33</f>
        <v>1733000</v>
      </c>
      <c r="AJ39" s="113">
        <f>'Federal P&amp;L'!AI33</f>
        <v>15184000</v>
      </c>
      <c r="AK39" s="113">
        <f>'Federal P&amp;L'!AJ33</f>
        <v>4988000</v>
      </c>
    </row>
    <row r="40" spans="1:37" outlineLevel="2">
      <c r="A40" s="22" t="str">
        <f>B32</f>
        <v>Establish Justice and Ensure Domestic Tranquility</v>
      </c>
      <c r="B40" s="27" t="s">
        <v>262</v>
      </c>
      <c r="C40" s="113">
        <f>'Federal P&amp;L'!B34+'State and Local P&amp;L'!B31</f>
        <v>3944028</v>
      </c>
      <c r="D40" s="113">
        <f>'Federal P&amp;L'!C34+'State and Local P&amp;L'!C31</f>
        <v>4274255</v>
      </c>
      <c r="E40" s="113">
        <f>'Federal P&amp;L'!D34+'State and Local P&amp;L'!D31</f>
        <v>4533936</v>
      </c>
      <c r="F40" s="113">
        <f>'Federal P&amp;L'!E34+'State and Local P&amp;L'!E31</f>
        <v>4716794</v>
      </c>
      <c r="G40" s="113">
        <f>'Federal P&amp;L'!F34+'State and Local P&amp;L'!F31</f>
        <v>5057707</v>
      </c>
      <c r="H40" s="113">
        <f>'Federal P&amp;L'!G34+'State and Local P&amp;L'!G31</f>
        <v>5479105</v>
      </c>
      <c r="I40" s="113">
        <f>'Federal P&amp;L'!H34+'State and Local P&amp;L'!H31</f>
        <v>6037339</v>
      </c>
      <c r="J40" s="113">
        <f>'Federal P&amp;L'!I34+'State and Local P&amp;L'!I31</f>
        <v>6461032</v>
      </c>
      <c r="K40" s="113">
        <f>'Federal P&amp;L'!J34+'State and Local P&amp;L'!J31</f>
        <v>6881436</v>
      </c>
      <c r="L40" s="113">
        <f>'Federal P&amp;L'!K34+'State and Local P&amp;L'!K31</f>
        <v>7549610</v>
      </c>
      <c r="M40" s="113">
        <f>'Federal P&amp;L'!L34+'State and Local P&amp;L'!L31</f>
        <v>8114207</v>
      </c>
      <c r="N40" s="113">
        <f>'Federal P&amp;L'!M34+'State and Local P&amp;L'!M31</f>
        <v>8475814</v>
      </c>
      <c r="O40" s="113">
        <f>'Federal P&amp;L'!N34+'State and Local P&amp;L'!N31</f>
        <v>9005684</v>
      </c>
      <c r="P40" s="113">
        <f>'Federal P&amp;L'!O34+'State and Local P&amp;L'!O31</f>
        <v>8861012</v>
      </c>
      <c r="Q40" s="113">
        <f>'Federal P&amp;L'!P34+'State and Local P&amp;L'!P31</f>
        <v>9358857</v>
      </c>
      <c r="R40" s="113">
        <f>'Federal P&amp;L'!Q34+'State and Local P&amp;L'!Q31</f>
        <v>10121299</v>
      </c>
      <c r="S40" s="113">
        <f>'Federal P&amp;L'!R34+'State and Local P&amp;L'!R31</f>
        <v>9735021</v>
      </c>
      <c r="T40" s="113">
        <f>'Federal P&amp;L'!S34+'State and Local P&amp;L'!S31</f>
        <v>10381988</v>
      </c>
      <c r="U40" s="113">
        <f>'Federal P&amp;L'!T34+'State and Local P&amp;L'!T31</f>
        <v>10504951</v>
      </c>
      <c r="V40" s="113">
        <f>'Federal P&amp;L'!U34+'State and Local P&amp;L'!U31</f>
        <v>11248847</v>
      </c>
      <c r="W40" s="113">
        <f>'Federal P&amp;L'!V34+'State and Local P&amp;L'!V31</f>
        <v>11946757</v>
      </c>
      <c r="X40" s="113">
        <f>'Federal P&amp;L'!W34+'State and Local P&amp;L'!W31</f>
        <v>12752967</v>
      </c>
      <c r="Y40" s="113">
        <f>'Federal P&amp;L'!X34+'State and Local P&amp;L'!X31</f>
        <v>14842226</v>
      </c>
      <c r="Z40" s="113">
        <f>'Federal P&amp;L'!Y34+'State and Local P&amp;L'!Y31</f>
        <v>15074515</v>
      </c>
      <c r="AA40" s="113">
        <f>'Federal P&amp;L'!Z34+'State and Local P&amp;L'!Z31</f>
        <v>14961126</v>
      </c>
      <c r="AB40" s="113">
        <f>'Federal P&amp;L'!AA34+'State and Local P&amp;L'!AA31</f>
        <v>15937457</v>
      </c>
      <c r="AC40" s="113">
        <f>'Federal P&amp;L'!AB34+'State and Local P&amp;L'!AB31</f>
        <v>16314287</v>
      </c>
      <c r="AD40" s="113">
        <f>'Federal P&amp;L'!AC34+'State and Local P&amp;L'!AC31</f>
        <v>18215981</v>
      </c>
      <c r="AE40" s="113">
        <f>'Federal P&amp;L'!AD34+'State and Local P&amp;L'!AD31</f>
        <v>19186863</v>
      </c>
      <c r="AF40" s="113">
        <f>'Federal P&amp;L'!AE34+'State and Local P&amp;L'!AE31</f>
        <v>20782225</v>
      </c>
      <c r="AG40" s="113">
        <f>'Federal P&amp;L'!AF34+'State and Local P&amp;L'!AF31</f>
        <v>20663824</v>
      </c>
      <c r="AH40" s="113">
        <f>'Federal P&amp;L'!AG34+'State and Local P&amp;L'!AG31</f>
        <v>19066995</v>
      </c>
      <c r="AI40" s="113">
        <f>'Federal P&amp;L'!AH34+'State and Local P&amp;L'!AH31</f>
        <v>19382740</v>
      </c>
      <c r="AJ40" s="113">
        <f>'Federal P&amp;L'!AI34+'State and Local P&amp;L'!AI31</f>
        <v>19321377</v>
      </c>
      <c r="AK40" s="113">
        <f>'Federal P&amp;L'!AJ34+'State and Local P&amp;L'!AJ31</f>
        <v>19684867</v>
      </c>
    </row>
    <row r="41" spans="1:37" outlineLevel="2">
      <c r="A41" s="22" t="str">
        <f>B32</f>
        <v>Establish Justice and Ensure Domestic Tranquility</v>
      </c>
      <c r="B41" s="27" t="s">
        <v>248</v>
      </c>
      <c r="C41" s="113">
        <f>'Federal P&amp;L'!B39+'State and Local P&amp;L'!B32</f>
        <v>11608502</v>
      </c>
      <c r="D41" s="113">
        <f>'Federal P&amp;L'!C39+'State and Local P&amp;L'!C32</f>
        <v>13501081</v>
      </c>
      <c r="E41" s="113">
        <f>'Federal P&amp;L'!D39+'State and Local P&amp;L'!D32</f>
        <v>14724012</v>
      </c>
      <c r="F41" s="113">
        <f>'Federal P&amp;L'!E39+'State and Local P&amp;L'!E32</f>
        <v>14761012</v>
      </c>
      <c r="G41" s="113">
        <f>'Federal P&amp;L'!F39+'State and Local P&amp;L'!F32</f>
        <v>16190806</v>
      </c>
      <c r="H41" s="113">
        <f>'Federal P&amp;L'!G39+'State and Local P&amp;L'!G32</f>
        <v>17684106</v>
      </c>
      <c r="I41" s="113">
        <f>'Federal P&amp;L'!H39+'State and Local P&amp;L'!H32</f>
        <v>18143124</v>
      </c>
      <c r="J41" s="113">
        <f>'Federal P&amp;L'!I39+'State and Local P&amp;L'!I32</f>
        <v>20054087</v>
      </c>
      <c r="K41" s="113">
        <f>'Federal P&amp;L'!J39+'State and Local P&amp;L'!J32</f>
        <v>21568791</v>
      </c>
      <c r="L41" s="113">
        <f>'Federal P&amp;L'!K39+'State and Local P&amp;L'!K32</f>
        <v>23713074</v>
      </c>
      <c r="M41" s="113">
        <f>'Federal P&amp;L'!L39+'State and Local P&amp;L'!L32</f>
        <v>26066911</v>
      </c>
      <c r="N41" s="113">
        <f>'Federal P&amp;L'!M39+'State and Local P&amp;L'!M32</f>
        <v>28948259</v>
      </c>
      <c r="O41" s="113">
        <f>'Federal P&amp;L'!N39+'State and Local P&amp;L'!N32</f>
        <v>31646432</v>
      </c>
      <c r="P41" s="113">
        <f>'Federal P&amp;L'!O39+'State and Local P&amp;L'!O32</f>
        <v>33600972</v>
      </c>
      <c r="Q41" s="113">
        <f>'Federal P&amp;L'!P39+'State and Local P&amp;L'!P32</f>
        <v>36947015</v>
      </c>
      <c r="R41" s="113">
        <f>'Federal P&amp;L'!Q39+'State and Local P&amp;L'!Q32</f>
        <v>40483621</v>
      </c>
      <c r="S41" s="113">
        <f>'Federal P&amp;L'!R39+'State and Local P&amp;L'!R32</f>
        <v>41320153</v>
      </c>
      <c r="T41" s="113">
        <f>'Federal P&amp;L'!S39+'State and Local P&amp;L'!S32</f>
        <v>43393933</v>
      </c>
      <c r="U41" s="113">
        <f>'Federal P&amp;L'!T39+'State and Local P&amp;L'!T32</f>
        <v>46531529</v>
      </c>
      <c r="V41" s="113">
        <f>'Federal P&amp;L'!U39+'State and Local P&amp;L'!U32</f>
        <v>50639102</v>
      </c>
      <c r="W41" s="113">
        <f>'Federal P&amp;L'!V39+'State and Local P&amp;L'!V32</f>
        <v>54450510</v>
      </c>
      <c r="X41" s="113">
        <f>'Federal P&amp;L'!W39+'State and Local P&amp;L'!W32</f>
        <v>58659233</v>
      </c>
      <c r="Y41" s="113">
        <f>'Federal P&amp;L'!X39+'State and Local P&amp;L'!X32</f>
        <v>64842034</v>
      </c>
      <c r="Z41" s="113">
        <f>'Federal P&amp;L'!Y39+'State and Local P&amp;L'!Y32</f>
        <v>67455402</v>
      </c>
      <c r="AA41" s="113">
        <f>'Federal P&amp;L'!Z39+'State and Local P&amp;L'!Z32</f>
        <v>66108631</v>
      </c>
      <c r="AB41" s="113">
        <f>'Federal P&amp;L'!AA39+'State and Local P&amp;L'!AA32</f>
        <v>63514320</v>
      </c>
      <c r="AC41" s="113">
        <f>'Federal P&amp;L'!AB39+'State and Local P&amp;L'!AB32</f>
        <v>64790091</v>
      </c>
      <c r="AD41" s="113">
        <f>'Federal P&amp;L'!AC39+'State and Local P&amp;L'!AC32</f>
        <v>65713278</v>
      </c>
      <c r="AE41" s="113">
        <f>'Federal P&amp;L'!AD39+'State and Local P&amp;L'!AD32</f>
        <v>68605117</v>
      </c>
      <c r="AF41" s="113">
        <f>'Federal P&amp;L'!AE39+'State and Local P&amp;L'!AE32</f>
        <v>72033890</v>
      </c>
      <c r="AG41" s="113">
        <f>'Federal P&amp;L'!AF39+'State and Local P&amp;L'!AF32</f>
        <v>71272964</v>
      </c>
      <c r="AH41" s="113">
        <f>'Federal P&amp;L'!AG39+'State and Local P&amp;L'!AG32</f>
        <v>69892183</v>
      </c>
      <c r="AI41" s="113">
        <f>'Federal P&amp;L'!AH39+'State and Local P&amp;L'!AH32</f>
        <v>69336573</v>
      </c>
      <c r="AJ41" s="113">
        <f>'Federal P&amp;L'!AI39+'State and Local P&amp;L'!AI32</f>
        <v>70508572</v>
      </c>
      <c r="AK41" s="113">
        <f>'Federal P&amp;L'!AJ39+'State and Local P&amp;L'!AJ32</f>
        <v>73597522</v>
      </c>
    </row>
    <row r="42" spans="1:37" outlineLevel="1">
      <c r="A42" s="22" t="str">
        <f>B30</f>
        <v>Spending By Mission</v>
      </c>
      <c r="B42" s="43" t="s">
        <v>35</v>
      </c>
      <c r="C42" s="112">
        <f>'Federal P&amp;L'!B40+'State and Local P&amp;L'!B33</f>
        <v>168632572</v>
      </c>
      <c r="D42" s="112">
        <f>'Federal P&amp;L'!C40+'State and Local P&amp;L'!C33</f>
        <v>194457474</v>
      </c>
      <c r="E42" s="112">
        <f>'Federal P&amp;L'!D40+'State and Local P&amp;L'!D33</f>
        <v>222487248</v>
      </c>
      <c r="F42" s="112">
        <f>'Federal P&amp;L'!E40+'State and Local P&amp;L'!E33</f>
        <v>247628911</v>
      </c>
      <c r="G42" s="112">
        <f>'Federal P&amp;L'!F40+'State and Local P&amp;L'!F33</f>
        <v>270000608</v>
      </c>
      <c r="H42" s="112">
        <f>'Federal P&amp;L'!G40+'State and Local P&amp;L'!G33</f>
        <v>296325792</v>
      </c>
      <c r="I42" s="112">
        <f>'Federal P&amp;L'!H40+'State and Local P&amp;L'!H33</f>
        <v>315066972</v>
      </c>
      <c r="J42" s="112">
        <f>'Federal P&amp;L'!I40+'State and Local P&amp;L'!I33</f>
        <v>321919119</v>
      </c>
      <c r="K42" s="112">
        <f>'Federal P&amp;L'!J40+'State and Local P&amp;L'!J33</f>
        <v>332298578</v>
      </c>
      <c r="L42" s="112">
        <f>'Federal P&amp;L'!K40+'State and Local P&amp;L'!K33</f>
        <v>344597631</v>
      </c>
      <c r="M42" s="112">
        <f>'Federal P&amp;L'!L40+'State and Local P&amp;L'!L33</f>
        <v>343252864</v>
      </c>
      <c r="N42" s="112">
        <f>'Federal P&amp;L'!M40+'State and Local P&amp;L'!M33</f>
        <v>321981163</v>
      </c>
      <c r="O42" s="112">
        <f>'Federal P&amp;L'!N40+'State and Local P&amp;L'!N33</f>
        <v>350107708</v>
      </c>
      <c r="P42" s="112">
        <f>'Federal P&amp;L'!O40+'State and Local P&amp;L'!O33</f>
        <v>345776635</v>
      </c>
      <c r="Q42" s="112">
        <f>'Federal P&amp;L'!P40+'State and Local P&amp;L'!P33</f>
        <v>338033454</v>
      </c>
      <c r="R42" s="112">
        <f>'Federal P&amp;L'!Q40+'State and Local P&amp;L'!Q33</f>
        <v>327904109</v>
      </c>
      <c r="S42" s="112">
        <f>'Federal P&amp;L'!R40+'State and Local P&amp;L'!R33</f>
        <v>318091645</v>
      </c>
      <c r="T42" s="112">
        <f>'Federal P&amp;L'!S40+'State and Local P&amp;L'!S33</f>
        <v>327241188</v>
      </c>
      <c r="U42" s="112">
        <f>'Federal P&amp;L'!T40+'State and Local P&amp;L'!T33</f>
        <v>326351331</v>
      </c>
      <c r="V42" s="112">
        <f>'Federal P&amp;L'!U40+'State and Local P&amp;L'!U33</f>
        <v>336715242</v>
      </c>
      <c r="W42" s="112">
        <f>'Federal P&amp;L'!V40+'State and Local P&amp;L'!V33</f>
        <v>362391552</v>
      </c>
      <c r="X42" s="112">
        <f>'Federal P&amp;L'!W40+'State and Local P&amp;L'!W33</f>
        <v>370013520</v>
      </c>
      <c r="Y42" s="112">
        <f>'Federal P&amp;L'!X40+'State and Local P&amp;L'!X33</f>
        <v>427289190</v>
      </c>
      <c r="Z42" s="112">
        <f>'Federal P&amp;L'!Y40+'State and Local P&amp;L'!Y33</f>
        <v>489121563</v>
      </c>
      <c r="AA42" s="112">
        <f>'Federal P&amp;L'!Z40+'State and Local P&amp;L'!Z33</f>
        <v>550351822</v>
      </c>
      <c r="AB42" s="112">
        <f>'Federal P&amp;L'!AA40+'State and Local P&amp;L'!AA33</f>
        <v>607599935</v>
      </c>
      <c r="AC42" s="112">
        <f>'Federal P&amp;L'!AB40+'State and Local P&amp;L'!AB33</f>
        <v>629153146</v>
      </c>
      <c r="AD42" s="112">
        <f>'Federal P&amp;L'!AC40+'State and Local P&amp;L'!AC33</f>
        <v>661601506</v>
      </c>
      <c r="AE42" s="112">
        <f>'Federal P&amp;L'!AD40+'State and Local P&amp;L'!AD33</f>
        <v>741228399</v>
      </c>
      <c r="AF42" s="112">
        <f>'Federal P&amp;L'!AE40+'State and Local P&amp;L'!AE33</f>
        <v>809396222</v>
      </c>
      <c r="AG42" s="112">
        <f>'Federal P&amp;L'!AF40+'State and Local P&amp;L'!AF33</f>
        <v>861463609</v>
      </c>
      <c r="AH42" s="112">
        <f>'Federal P&amp;L'!AG40+'State and Local P&amp;L'!AG33</f>
        <v>892930042</v>
      </c>
      <c r="AI42" s="112">
        <f>'Federal P&amp;L'!AH40+'State and Local P&amp;L'!AH33</f>
        <v>863892031</v>
      </c>
      <c r="AJ42" s="112">
        <f>'Federal P&amp;L'!AI40+'State and Local P&amp;L'!AI33</f>
        <v>832353498</v>
      </c>
      <c r="AK42" s="112">
        <f>'Federal P&amp;L'!AJ40+'State and Local P&amp;L'!AJ33</f>
        <v>813023763</v>
      </c>
    </row>
    <row r="43" spans="1:37" outlineLevel="2">
      <c r="A43" s="22" t="str">
        <f>B42</f>
        <v>Provide for the Common Defense</v>
      </c>
      <c r="B43" s="27" t="s">
        <v>23</v>
      </c>
      <c r="C43" s="113">
        <f>'Federal P&amp;L'!B41+'State and Local P&amp;L'!B34</f>
        <v>155042056</v>
      </c>
      <c r="D43" s="113">
        <f>'Federal P&amp;L'!C41+'State and Local P&amp;L'!C34</f>
        <v>180393275</v>
      </c>
      <c r="E43" s="113">
        <f>'Federal P&amp;L'!D41+'State and Local P&amp;L'!D34</f>
        <v>209180133</v>
      </c>
      <c r="F43" s="113">
        <f>'Federal P&amp;L'!E41+'State and Local P&amp;L'!E34</f>
        <v>234648855</v>
      </c>
      <c r="G43" s="113">
        <f>'Federal P&amp;L'!F41+'State and Local P&amp;L'!F34</f>
        <v>252922847</v>
      </c>
      <c r="H43" s="113">
        <f>'Federal P&amp;L'!G41+'State and Local P&amp;L'!G34</f>
        <v>278858870</v>
      </c>
      <c r="I43" s="113">
        <f>'Federal P&amp;L'!H41+'State and Local P&amp;L'!H34</f>
        <v>299542339</v>
      </c>
      <c r="J43" s="113">
        <f>'Federal P&amp;L'!I41+'State and Local P&amp;L'!I34</f>
        <v>308565775</v>
      </c>
      <c r="K43" s="113">
        <f>'Federal P&amp;L'!J41+'State and Local P&amp;L'!J34</f>
        <v>319566976</v>
      </c>
      <c r="L43" s="113">
        <f>'Federal P&amp;L'!K41+'State and Local P&amp;L'!K34</f>
        <v>333323567</v>
      </c>
      <c r="M43" s="113">
        <f>'Federal P&amp;L'!L41+'State and Local P&amp;L'!L34</f>
        <v>328131433</v>
      </c>
      <c r="N43" s="113">
        <f>'Federal P&amp;L'!M41+'State and Local P&amp;L'!M34</f>
        <v>304392039</v>
      </c>
      <c r="O43" s="113">
        <f>'Federal P&amp;L'!N41+'State and Local P&amp;L'!N34</f>
        <v>332071311</v>
      </c>
      <c r="P43" s="113">
        <f>'Federal P&amp;L'!O41+'State and Local P&amp;L'!O34</f>
        <v>326549052</v>
      </c>
      <c r="Q43" s="113">
        <f>'Federal P&amp;L'!P41+'State and Local P&amp;L'!P34</f>
        <v>319009581</v>
      </c>
      <c r="R43" s="113">
        <f>'Federal P&amp;L'!Q41+'State and Local P&amp;L'!Q34</f>
        <v>309810109</v>
      </c>
      <c r="S43" s="113">
        <f>'Federal P&amp;L'!R41+'State and Local P&amp;L'!R34</f>
        <v>302625645</v>
      </c>
      <c r="T43" s="113">
        <f>'Federal P&amp;L'!S41+'State and Local P&amp;L'!S34</f>
        <v>309751188</v>
      </c>
      <c r="U43" s="113">
        <f>'Federal P&amp;L'!T41+'State and Local P&amp;L'!T34</f>
        <v>309923331</v>
      </c>
      <c r="V43" s="113">
        <f>'Federal P&amp;L'!U41+'State and Local P&amp;L'!U34</f>
        <v>317889242</v>
      </c>
      <c r="W43" s="113">
        <f>'Federal P&amp;L'!V41+'State and Local P&amp;L'!V34</f>
        <v>341272552</v>
      </c>
      <c r="X43" s="113">
        <f>'Federal P&amp;L'!W41+'State and Local P&amp;L'!W34</f>
        <v>349590520</v>
      </c>
      <c r="Y43" s="113">
        <f>'Federal P&amp;L'!X41+'State and Local P&amp;L'!X34</f>
        <v>399267190</v>
      </c>
      <c r="Z43" s="113">
        <f>'Federal P&amp;L'!Y41+'State and Local P&amp;L'!Y34</f>
        <v>462305563</v>
      </c>
      <c r="AA43" s="113">
        <f>'Federal P&amp;L'!Z41+'State and Local P&amp;L'!Z34</f>
        <v>516569822</v>
      </c>
      <c r="AB43" s="113">
        <f>'Federal P&amp;L'!AA41+'State and Local P&amp;L'!AA34</f>
        <v>566048935</v>
      </c>
      <c r="AC43" s="113">
        <f>'Federal P&amp;L'!AB41+'State and Local P&amp;L'!AB34</f>
        <v>591996146</v>
      </c>
      <c r="AD43" s="113">
        <f>'Federal P&amp;L'!AC41+'State and Local P&amp;L'!AC34</f>
        <v>624467506</v>
      </c>
      <c r="AE43" s="113">
        <f>'Federal P&amp;L'!AD41+'State and Local P&amp;L'!AD34</f>
        <v>701103399</v>
      </c>
      <c r="AF43" s="113">
        <f>'Federal P&amp;L'!AE41+'State and Local P&amp;L'!AE34</f>
        <v>756565222</v>
      </c>
      <c r="AG43" s="113">
        <f>'Federal P&amp;L'!AF41+'State and Local P&amp;L'!AF34</f>
        <v>801826609</v>
      </c>
      <c r="AH43" s="113">
        <f>'Federal P&amp;L'!AG41+'State and Local P&amp;L'!AG34</f>
        <v>832674042</v>
      </c>
      <c r="AI43" s="113">
        <f>'Federal P&amp;L'!AH41+'State and Local P&amp;L'!AH34</f>
        <v>802204031</v>
      </c>
      <c r="AJ43" s="113">
        <f>'Federal P&amp;L'!AI41+'State and Local P&amp;L'!AI34</f>
        <v>772321498</v>
      </c>
      <c r="AK43" s="113">
        <f>'Federal P&amp;L'!AJ41+'State and Local P&amp;L'!AJ34</f>
        <v>752909763</v>
      </c>
    </row>
    <row r="44" spans="1:37" outlineLevel="3">
      <c r="A44" s="22" t="str">
        <f>B43</f>
        <v>National Defense and Support for Veterans</v>
      </c>
      <c r="B44" s="28" t="s">
        <v>24</v>
      </c>
      <c r="C44" s="113">
        <f>'Federal P&amp;L'!B42</f>
        <v>133902806</v>
      </c>
      <c r="D44" s="113">
        <f>'Federal P&amp;L'!C42</f>
        <v>157437840</v>
      </c>
      <c r="E44" s="113">
        <f>'Federal P&amp;L'!D42</f>
        <v>185240799</v>
      </c>
      <c r="F44" s="113">
        <f>'Federal P&amp;L'!E42</f>
        <v>209816568</v>
      </c>
      <c r="G44" s="113">
        <f>'Federal P&amp;L'!F42</f>
        <v>227315228</v>
      </c>
      <c r="H44" s="113">
        <f>'Federal P&amp;L'!G42</f>
        <v>252586131</v>
      </c>
      <c r="I44" s="113">
        <f>'Federal P&amp;L'!H42</f>
        <v>273196405</v>
      </c>
      <c r="J44" s="113">
        <f>'Federal P&amp;L'!I42</f>
        <v>281802417</v>
      </c>
      <c r="K44" s="113">
        <f>'Federal P&amp;L'!J42</f>
        <v>290172075</v>
      </c>
      <c r="L44" s="113">
        <f>'Federal P&amp;L'!K42</f>
        <v>303301507</v>
      </c>
      <c r="M44" s="113">
        <f>'Federal P&amp;L'!L42</f>
        <v>299079753</v>
      </c>
      <c r="N44" s="113">
        <f>'Federal P&amp;L'!M42</f>
        <v>273100629</v>
      </c>
      <c r="O44" s="113">
        <f>'Federal P&amp;L'!N42</f>
        <v>298027802</v>
      </c>
      <c r="P44" s="113">
        <f>'Federal P&amp;L'!O42</f>
        <v>290932181</v>
      </c>
      <c r="Q44" s="113">
        <f>'Federal P&amp;L'!P42</f>
        <v>281470450</v>
      </c>
      <c r="R44" s="113">
        <f>'Federal P&amp;L'!Q42</f>
        <v>271995000</v>
      </c>
      <c r="S44" s="113">
        <f>'Federal P&amp;L'!R42</f>
        <v>265710000</v>
      </c>
      <c r="T44" s="113">
        <f>'Federal P&amp;L'!S42</f>
        <v>270502000</v>
      </c>
      <c r="U44" s="113">
        <f>'Federal P&amp;L'!T42</f>
        <v>268182000</v>
      </c>
      <c r="V44" s="113">
        <f>'Federal P&amp;L'!U42</f>
        <v>274768000</v>
      </c>
      <c r="W44" s="113">
        <f>'Federal P&amp;L'!V42</f>
        <v>294361000</v>
      </c>
      <c r="X44" s="113">
        <f>'Federal P&amp;L'!W42</f>
        <v>304685000</v>
      </c>
      <c r="Y44" s="113">
        <f>'Federal P&amp;L'!X42</f>
        <v>348365000</v>
      </c>
      <c r="Z44" s="113">
        <f>'Federal P&amp;L'!Y42</f>
        <v>404733000</v>
      </c>
      <c r="AA44" s="113">
        <f>'Federal P&amp;L'!Z42</f>
        <v>455813000</v>
      </c>
      <c r="AB44" s="113">
        <f>'Federal P&amp;L'!AA42</f>
        <v>495292000</v>
      </c>
      <c r="AC44" s="113">
        <f>'Federal P&amp;L'!AB42</f>
        <v>521818000</v>
      </c>
      <c r="AD44" s="113">
        <f>'Federal P&amp;L'!AC42</f>
        <v>551258000</v>
      </c>
      <c r="AE44" s="113">
        <f>'Federal P&amp;L'!AD42</f>
        <v>616065000</v>
      </c>
      <c r="AF44" s="113">
        <f>'Federal P&amp;L'!AE42</f>
        <v>661012000</v>
      </c>
      <c r="AG44" s="113">
        <f>'Federal P&amp;L'!AF42</f>
        <v>693485000</v>
      </c>
      <c r="AH44" s="113">
        <f>'Federal P&amp;L'!AG42</f>
        <v>705554000</v>
      </c>
      <c r="AI44" s="113">
        <f>'Federal P&amp;L'!AH42</f>
        <v>677852000</v>
      </c>
      <c r="AJ44" s="113">
        <f>'Federal P&amp;L'!AI42</f>
        <v>633446000</v>
      </c>
      <c r="AK44" s="113">
        <f>'Federal P&amp;L'!AJ42</f>
        <v>603457000</v>
      </c>
    </row>
    <row r="45" spans="1:37" outlineLevel="3">
      <c r="A45" s="22" t="str">
        <f>B43</f>
        <v>National Defense and Support for Veterans</v>
      </c>
      <c r="B45" s="28" t="s">
        <v>25</v>
      </c>
      <c r="C45" s="113">
        <f>'Federal P&amp;L'!B43+'State and Local P&amp;L'!B35</f>
        <v>21139250</v>
      </c>
      <c r="D45" s="113">
        <f>'Federal P&amp;L'!C43+'State and Local P&amp;L'!C35</f>
        <v>22955435</v>
      </c>
      <c r="E45" s="113">
        <f>'Federal P&amp;L'!D43+'State and Local P&amp;L'!D35</f>
        <v>23939334</v>
      </c>
      <c r="F45" s="113">
        <f>'Federal P&amp;L'!E43+'State and Local P&amp;L'!E35</f>
        <v>24832287</v>
      </c>
      <c r="G45" s="113">
        <f>'Federal P&amp;L'!F43+'State and Local P&amp;L'!F35</f>
        <v>25607619</v>
      </c>
      <c r="H45" s="113">
        <f>'Federal P&amp;L'!G43+'State and Local P&amp;L'!G35</f>
        <v>26272739</v>
      </c>
      <c r="I45" s="113">
        <f>'Federal P&amp;L'!H43+'State and Local P&amp;L'!H35</f>
        <v>26345934</v>
      </c>
      <c r="J45" s="113">
        <f>'Federal P&amp;L'!I43+'State and Local P&amp;L'!I35</f>
        <v>26763358</v>
      </c>
      <c r="K45" s="113">
        <f>'Federal P&amp;L'!J43+'State and Local P&amp;L'!J35</f>
        <v>29394901</v>
      </c>
      <c r="L45" s="113">
        <f>'Federal P&amp;L'!K43+'State and Local P&amp;L'!K35</f>
        <v>30022060</v>
      </c>
      <c r="M45" s="113">
        <f>'Federal P&amp;L'!L43+'State and Local P&amp;L'!L35</f>
        <v>29051680</v>
      </c>
      <c r="N45" s="113">
        <f>'Federal P&amp;L'!M43+'State and Local P&amp;L'!M35</f>
        <v>31291410</v>
      </c>
      <c r="O45" s="113">
        <f>'Federal P&amp;L'!N43+'State and Local P&amp;L'!N35</f>
        <v>34043509</v>
      </c>
      <c r="P45" s="113">
        <f>'Federal P&amp;L'!O43+'State and Local P&amp;L'!O35</f>
        <v>35616871</v>
      </c>
      <c r="Q45" s="113">
        <f>'Federal P&amp;L'!P43+'State and Local P&amp;L'!P35</f>
        <v>37539131</v>
      </c>
      <c r="R45" s="113">
        <f>'Federal P&amp;L'!Q43+'State and Local P&amp;L'!Q35</f>
        <v>37815109</v>
      </c>
      <c r="S45" s="113">
        <f>'Federal P&amp;L'!R43+'State and Local P&amp;L'!R35</f>
        <v>36915645</v>
      </c>
      <c r="T45" s="113">
        <f>'Federal P&amp;L'!S43+'State and Local P&amp;L'!S35</f>
        <v>39249188</v>
      </c>
      <c r="U45" s="113">
        <f>'Federal P&amp;L'!T43+'State and Local P&amp;L'!T35</f>
        <v>41741331</v>
      </c>
      <c r="V45" s="113">
        <f>'Federal P&amp;L'!U43+'State and Local P&amp;L'!U35</f>
        <v>43121242</v>
      </c>
      <c r="W45" s="113">
        <f>'Federal P&amp;L'!V43+'State and Local P&amp;L'!V35</f>
        <v>46911552</v>
      </c>
      <c r="X45" s="113">
        <f>'Federal P&amp;L'!W43+'State and Local P&amp;L'!W35</f>
        <v>44905520</v>
      </c>
      <c r="Y45" s="113">
        <f>'Federal P&amp;L'!X43+'State and Local P&amp;L'!X35</f>
        <v>50902190</v>
      </c>
      <c r="Z45" s="113">
        <f>'Federal P&amp;L'!Y43+'State and Local P&amp;L'!Y35</f>
        <v>57572563</v>
      </c>
      <c r="AA45" s="113">
        <f>'Federal P&amp;L'!Z43+'State and Local P&amp;L'!Z35</f>
        <v>60756822</v>
      </c>
      <c r="AB45" s="113">
        <f>'Federal P&amp;L'!AA43+'State and Local P&amp;L'!AA35</f>
        <v>70756935</v>
      </c>
      <c r="AC45" s="113">
        <f>'Federal P&amp;L'!AB43+'State and Local P&amp;L'!AB35</f>
        <v>70178146</v>
      </c>
      <c r="AD45" s="113">
        <f>'Federal P&amp;L'!AC43+'State and Local P&amp;L'!AC35</f>
        <v>73209506</v>
      </c>
      <c r="AE45" s="113">
        <f>'Federal P&amp;L'!AD43+'State and Local P&amp;L'!AD35</f>
        <v>85038399</v>
      </c>
      <c r="AF45" s="113">
        <f>'Federal P&amp;L'!AE43+'State and Local P&amp;L'!AE35</f>
        <v>95553222</v>
      </c>
      <c r="AG45" s="113">
        <f>'Federal P&amp;L'!AF43+'State and Local P&amp;L'!AF35</f>
        <v>108341609</v>
      </c>
      <c r="AH45" s="113">
        <f>'Federal P&amp;L'!AG43+'State and Local P&amp;L'!AG35</f>
        <v>127120042</v>
      </c>
      <c r="AI45" s="113">
        <f>'Federal P&amp;L'!AH43+'State and Local P&amp;L'!AH35</f>
        <v>124352031</v>
      </c>
      <c r="AJ45" s="113">
        <f>'Federal P&amp;L'!AI43+'State and Local P&amp;L'!AI35</f>
        <v>138875498</v>
      </c>
      <c r="AK45" s="113">
        <f>'Federal P&amp;L'!AJ43+'State and Local P&amp;L'!AJ35</f>
        <v>149452763</v>
      </c>
    </row>
    <row r="46" spans="1:37" outlineLevel="2">
      <c r="A46" s="22" t="str">
        <f>B42</f>
        <v>Provide for the Common Defense</v>
      </c>
      <c r="B46" s="27" t="s">
        <v>160</v>
      </c>
      <c r="C46" s="113">
        <f>'Federal P&amp;L'!B49</f>
        <v>12713963</v>
      </c>
      <c r="D46" s="113">
        <f>'Federal P&amp;L'!C49</f>
        <v>13104204</v>
      </c>
      <c r="E46" s="113">
        <f>'Federal P&amp;L'!D49</f>
        <v>12299579</v>
      </c>
      <c r="F46" s="113">
        <f>'Federal P&amp;L'!E49</f>
        <v>11847552</v>
      </c>
      <c r="G46" s="113">
        <f>'Federal P&amp;L'!F49</f>
        <v>15868975</v>
      </c>
      <c r="H46" s="113">
        <f>'Federal P&amp;L'!G49</f>
        <v>16169296</v>
      </c>
      <c r="I46" s="113">
        <f>'Federal P&amp;L'!H49</f>
        <v>14145803</v>
      </c>
      <c r="J46" s="113">
        <f>'Federal P&amp;L'!I49</f>
        <v>11644938</v>
      </c>
      <c r="K46" s="113">
        <f>'Federal P&amp;L'!J49</f>
        <v>10465812</v>
      </c>
      <c r="L46" s="113">
        <f>'Federal P&amp;L'!K49</f>
        <v>9583322</v>
      </c>
      <c r="M46" s="113">
        <f>'Federal P&amp;L'!L49</f>
        <v>13758498</v>
      </c>
      <c r="N46" s="113">
        <f>'Federal P&amp;L'!M49</f>
        <v>15846157</v>
      </c>
      <c r="O46" s="113">
        <f>'Federal P&amp;L'!N49</f>
        <v>16090130</v>
      </c>
      <c r="P46" s="113">
        <f>'Federal P&amp;L'!O49</f>
        <v>17218058</v>
      </c>
      <c r="Q46" s="113">
        <f>'Federal P&amp;L'!P49</f>
        <v>17067433</v>
      </c>
      <c r="R46" s="113">
        <f>'Federal P&amp;L'!Q49</f>
        <v>16429000</v>
      </c>
      <c r="S46" s="113">
        <f>'Federal P&amp;L'!R49</f>
        <v>13487000</v>
      </c>
      <c r="T46" s="113">
        <f>'Federal P&amp;L'!S49</f>
        <v>15173000</v>
      </c>
      <c r="U46" s="113">
        <f>'Federal P&amp;L'!T49</f>
        <v>13047000</v>
      </c>
      <c r="V46" s="113">
        <f>'Federal P&amp;L'!U49</f>
        <v>15204000</v>
      </c>
      <c r="W46" s="113">
        <f>'Federal P&amp;L'!V49</f>
        <v>17222000</v>
      </c>
      <c r="X46" s="113">
        <f>'Federal P&amp;L'!W49</f>
        <v>16463000</v>
      </c>
      <c r="Y46" s="113">
        <f>'Federal P&amp;L'!X49</f>
        <v>22300000</v>
      </c>
      <c r="Z46" s="113">
        <f>'Federal P&amp;L'!Y49</f>
        <v>21173000</v>
      </c>
      <c r="AA46" s="113">
        <f>'Federal P&amp;L'!Z49</f>
        <v>26908000</v>
      </c>
      <c r="AB46" s="113">
        <f>'Federal P&amp;L'!AA49</f>
        <v>34578000</v>
      </c>
      <c r="AC46" s="113">
        <f>'Federal P&amp;L'!AB49</f>
        <v>29513000</v>
      </c>
      <c r="AD46" s="113">
        <f>'Federal P&amp;L'!AC49</f>
        <v>28470000</v>
      </c>
      <c r="AE46" s="113">
        <f>'Federal P&amp;L'!AD49</f>
        <v>28855000</v>
      </c>
      <c r="AF46" s="113">
        <f>'Federal P&amp;L'!AE49</f>
        <v>37532000</v>
      </c>
      <c r="AG46" s="113">
        <f>'Federal P&amp;L'!AF49</f>
        <v>45210000</v>
      </c>
      <c r="AH46" s="113">
        <f>'Federal P&amp;L'!AG49</f>
        <v>45668000</v>
      </c>
      <c r="AI46" s="113">
        <f>'Federal P&amp;L'!AH49</f>
        <v>47168000</v>
      </c>
      <c r="AJ46" s="113">
        <f>'Federal P&amp;L'!AI49</f>
        <v>46208000</v>
      </c>
      <c r="AK46" s="113">
        <f>'Federal P&amp;L'!AJ49</f>
        <v>46732000</v>
      </c>
    </row>
    <row r="47" spans="1:37" outlineLevel="2">
      <c r="A47" s="22" t="str">
        <f>B42</f>
        <v>Provide for the Common Defense</v>
      </c>
      <c r="B47" s="27" t="s">
        <v>301</v>
      </c>
      <c r="C47" s="113">
        <f>'Federal P&amp;L'!B53</f>
        <v>876553</v>
      </c>
      <c r="D47" s="113">
        <f>'Federal P&amp;L'!C53</f>
        <v>959995</v>
      </c>
      <c r="E47" s="113">
        <f>'Federal P&amp;L'!D53</f>
        <v>1007536</v>
      </c>
      <c r="F47" s="113">
        <f>'Federal P&amp;L'!E53</f>
        <v>1132504</v>
      </c>
      <c r="G47" s="113">
        <f>'Federal P&amp;L'!F53</f>
        <v>1208786</v>
      </c>
      <c r="H47" s="113">
        <f>'Federal P&amp;L'!G53</f>
        <v>1297626</v>
      </c>
      <c r="I47" s="113">
        <f>'Federal P&amp;L'!H53</f>
        <v>1378830</v>
      </c>
      <c r="J47" s="113">
        <f>'Federal P&amp;L'!I53</f>
        <v>1708406</v>
      </c>
      <c r="K47" s="113">
        <f>'Federal P&amp;L'!J53</f>
        <v>2265790</v>
      </c>
      <c r="L47" s="113">
        <f>'Federal P&amp;L'!K53</f>
        <v>1690742</v>
      </c>
      <c r="M47" s="113">
        <f>'Federal P&amp;L'!L53</f>
        <v>1362933</v>
      </c>
      <c r="N47" s="113">
        <f>'Federal P&amp;L'!M53</f>
        <v>1742967</v>
      </c>
      <c r="O47" s="113">
        <f>'Federal P&amp;L'!N53</f>
        <v>1946267</v>
      </c>
      <c r="P47" s="113">
        <f>'Federal P&amp;L'!O53</f>
        <v>2009525</v>
      </c>
      <c r="Q47" s="113">
        <f>'Federal P&amp;L'!P53</f>
        <v>1956440</v>
      </c>
      <c r="R47" s="113">
        <f>'Federal P&amp;L'!Q53</f>
        <v>1665000</v>
      </c>
      <c r="S47" s="113">
        <f>'Federal P&amp;L'!R53</f>
        <v>1979000</v>
      </c>
      <c r="T47" s="113">
        <f>'Federal P&amp;L'!S53</f>
        <v>2317000</v>
      </c>
      <c r="U47" s="113">
        <f>'Federal P&amp;L'!T53</f>
        <v>3381000</v>
      </c>
      <c r="V47" s="113">
        <f>'Federal P&amp;L'!U53</f>
        <v>3622000</v>
      </c>
      <c r="W47" s="113">
        <f>'Federal P&amp;L'!V53</f>
        <v>3897000</v>
      </c>
      <c r="X47" s="113">
        <f>'Federal P&amp;L'!W53</f>
        <v>3960000</v>
      </c>
      <c r="Y47" s="113">
        <f>'Federal P&amp;L'!X53</f>
        <v>5722000</v>
      </c>
      <c r="Z47" s="113">
        <f>'Federal P&amp;L'!Y53</f>
        <v>5643000</v>
      </c>
      <c r="AA47" s="113">
        <f>'Federal P&amp;L'!Z53</f>
        <v>6874000</v>
      </c>
      <c r="AB47" s="113">
        <f>'Federal P&amp;L'!AA53</f>
        <v>6973000</v>
      </c>
      <c r="AC47" s="113">
        <f>'Federal P&amp;L'!AB53</f>
        <v>7644000</v>
      </c>
      <c r="AD47" s="113">
        <f>'Federal P&amp;L'!AC53</f>
        <v>8664000</v>
      </c>
      <c r="AE47" s="113">
        <f>'Federal P&amp;L'!AD53</f>
        <v>11270000</v>
      </c>
      <c r="AF47" s="113">
        <f>'Federal P&amp;L'!AE53</f>
        <v>15299000</v>
      </c>
      <c r="AG47" s="113">
        <f>'Federal P&amp;L'!AF53</f>
        <v>14427000</v>
      </c>
      <c r="AH47" s="113">
        <f>'Federal P&amp;L'!AG53</f>
        <v>14588000</v>
      </c>
      <c r="AI47" s="113">
        <f>'Federal P&amp;L'!AH53</f>
        <v>14520000</v>
      </c>
      <c r="AJ47" s="113">
        <f>'Federal P&amp;L'!AI53</f>
        <v>13824000</v>
      </c>
      <c r="AK47" s="113">
        <f>'Federal P&amp;L'!AJ53</f>
        <v>13382000</v>
      </c>
    </row>
    <row r="48" spans="1:37" outlineLevel="1">
      <c r="A48" s="22" t="str">
        <f>B30</f>
        <v>Spending By Mission</v>
      </c>
      <c r="B48" s="43" t="s">
        <v>36</v>
      </c>
      <c r="C48" s="112">
        <f>'Federal P&amp;L'!B54+'State and Local P&amp;L'!B36</f>
        <v>158325964</v>
      </c>
      <c r="D48" s="112">
        <f>'Federal P&amp;L'!C54+'State and Local P&amp;L'!C36</f>
        <v>174720442</v>
      </c>
      <c r="E48" s="112">
        <f>'Federal P&amp;L'!D54+'State and Local P&amp;L'!D36</f>
        <v>181132656</v>
      </c>
      <c r="F48" s="112">
        <f>'Federal P&amp;L'!E54+'State and Local P&amp;L'!E36</f>
        <v>201181401</v>
      </c>
      <c r="G48" s="112">
        <f>'Federal P&amp;L'!F54+'State and Local P&amp;L'!F36</f>
        <v>198137434</v>
      </c>
      <c r="H48" s="112">
        <f>'Federal P&amp;L'!G54+'State and Local P&amp;L'!G36</f>
        <v>222873060</v>
      </c>
      <c r="I48" s="112">
        <f>'Federal P&amp;L'!H54+'State and Local P&amp;L'!H36</f>
        <v>225448523</v>
      </c>
      <c r="J48" s="112">
        <f>'Federal P&amp;L'!I54+'State and Local P&amp;L'!I36</f>
        <v>236731707</v>
      </c>
      <c r="K48" s="112">
        <f>'Federal P&amp;L'!J54+'State and Local P&amp;L'!J36</f>
        <v>261687770</v>
      </c>
      <c r="L48" s="112">
        <f>'Federal P&amp;L'!K54+'State and Local P&amp;L'!K36</f>
        <v>290392449</v>
      </c>
      <c r="M48" s="112">
        <f>'Federal P&amp;L'!L54+'State and Local P&amp;L'!L36</f>
        <v>358238590</v>
      </c>
      <c r="N48" s="112">
        <f>'Federal P&amp;L'!M54+'State and Local P&amp;L'!M36</f>
        <v>410169150</v>
      </c>
      <c r="O48" s="112">
        <f>'Federal P&amp;L'!N54+'State and Local P&amp;L'!N36</f>
        <v>415027257</v>
      </c>
      <c r="P48" s="112">
        <f>'Federal P&amp;L'!O54+'State and Local P&amp;L'!O36</f>
        <v>408437351</v>
      </c>
      <c r="Q48" s="112">
        <f>'Federal P&amp;L'!P54+'State and Local P&amp;L'!P36</f>
        <v>444980499</v>
      </c>
      <c r="R48" s="112">
        <f>'Federal P&amp;L'!Q54+'State and Local P&amp;L'!Q36</f>
        <v>448862037</v>
      </c>
      <c r="S48" s="112">
        <f>'Federal P&amp;L'!R54+'State and Local P&amp;L'!R36</f>
        <v>466762392</v>
      </c>
      <c r="T48" s="112">
        <f>'Federal P&amp;L'!S54+'State and Local P&amp;L'!S36</f>
        <v>474009199</v>
      </c>
      <c r="U48" s="112">
        <f>'Federal P&amp;L'!T54+'State and Local P&amp;L'!T36</f>
        <v>499288691</v>
      </c>
      <c r="V48" s="112">
        <f>'Federal P&amp;L'!U54+'State and Local P&amp;L'!U36</f>
        <v>517041840</v>
      </c>
      <c r="W48" s="112">
        <f>'Federal P&amp;L'!V54+'State and Local P&amp;L'!V36</f>
        <v>562439108</v>
      </c>
      <c r="X48" s="112">
        <f>'Federal P&amp;L'!W54+'State and Local P&amp;L'!W36</f>
        <v>608043972</v>
      </c>
      <c r="Y48" s="112">
        <f>'Federal P&amp;L'!X54+'State and Local P&amp;L'!X36</f>
        <v>692607605</v>
      </c>
      <c r="Z48" s="112">
        <f>'Federal P&amp;L'!Y54+'State and Local P&amp;L'!Y36</f>
        <v>748991414</v>
      </c>
      <c r="AA48" s="112">
        <f>'Federal P&amp;L'!Z54+'State and Local P&amp;L'!Z36</f>
        <v>781732768</v>
      </c>
      <c r="AB48" s="112">
        <f>'Federal P&amp;L'!AA54+'State and Local P&amp;L'!AA36</f>
        <v>836657942</v>
      </c>
      <c r="AC48" s="112">
        <f>'Federal P&amp;L'!AB54+'State and Local P&amp;L'!AB36</f>
        <v>843906572</v>
      </c>
      <c r="AD48" s="112">
        <f>'Federal P&amp;L'!AC54+'State and Local P&amp;L'!AC36</f>
        <v>898223028</v>
      </c>
      <c r="AE48" s="112">
        <f>'Federal P&amp;L'!AD54+'State and Local P&amp;L'!AD36</f>
        <v>1020604054</v>
      </c>
      <c r="AF48" s="112">
        <f>'Federal P&amp;L'!AE54+'State and Local P&amp;L'!AE36</f>
        <v>1312550553</v>
      </c>
      <c r="AG48" s="112">
        <f>'Federal P&amp;L'!AF54+'State and Local P&amp;L'!AF36</f>
        <v>1146667617</v>
      </c>
      <c r="AH48" s="112">
        <f>'Federal P&amp;L'!AG54+'State and Local P&amp;L'!AG36</f>
        <v>1244762577</v>
      </c>
      <c r="AI48" s="112">
        <f>'Federal P&amp;L'!AH54+'State and Local P&amp;L'!AH36</f>
        <v>1274274022</v>
      </c>
      <c r="AJ48" s="112">
        <f>'Federal P&amp;L'!AI54+'State and Local P&amp;L'!AI36</f>
        <v>1229057613</v>
      </c>
      <c r="AK48" s="112">
        <f>'Federal P&amp;L'!AJ54+'State and Local P&amp;L'!AJ36</f>
        <v>1232444200</v>
      </c>
    </row>
    <row r="49" spans="1:37" outlineLevel="2">
      <c r="A49" s="22" t="str">
        <f>B48</f>
        <v>Promote the General Welfare</v>
      </c>
      <c r="B49" s="27" t="s">
        <v>302</v>
      </c>
      <c r="C49" s="113">
        <f>'Federal P&amp;L'!B55+'State and Local P&amp;L'!B37</f>
        <v>56612665</v>
      </c>
      <c r="D49" s="113">
        <f>'Federal P&amp;L'!C55+'State and Local P&amp;L'!C37</f>
        <v>60031495</v>
      </c>
      <c r="E49" s="113">
        <f>'Federal P&amp;L'!D55+'State and Local P&amp;L'!D37</f>
        <v>57622778</v>
      </c>
      <c r="F49" s="113">
        <f>'Federal P&amp;L'!E55+'State and Local P&amp;L'!E37</f>
        <v>61719146</v>
      </c>
      <c r="G49" s="113">
        <f>'Federal P&amp;L'!F55+'State and Local P&amp;L'!F37</f>
        <v>65965079</v>
      </c>
      <c r="H49" s="113">
        <f>'Federal P&amp;L'!G55+'State and Local P&amp;L'!G37</f>
        <v>69744274</v>
      </c>
      <c r="I49" s="113">
        <f>'Federal P&amp;L'!H55+'State and Local P&amp;L'!H37</f>
        <v>77441088</v>
      </c>
      <c r="J49" s="113">
        <f>'Federal P&amp;L'!I55+'State and Local P&amp;L'!I37</f>
        <v>81969374</v>
      </c>
      <c r="K49" s="113">
        <f>'Federal P&amp;L'!J55+'State and Local P&amp;L'!J37</f>
        <v>94173225</v>
      </c>
      <c r="L49" s="113">
        <f>'Federal P&amp;L'!K55+'State and Local P&amp;L'!K37</f>
        <v>108064667</v>
      </c>
      <c r="M49" s="113">
        <f>'Federal P&amp;L'!L55+'State and Local P&amp;L'!L37</f>
        <v>154402009</v>
      </c>
      <c r="N49" s="113">
        <f>'Federal P&amp;L'!M55+'State and Local P&amp;L'!M37</f>
        <v>168742623</v>
      </c>
      <c r="O49" s="113">
        <f>'Federal P&amp;L'!N55+'State and Local P&amp;L'!N37</f>
        <v>109721246</v>
      </c>
      <c r="P49" s="113">
        <f>'Federal P&amp;L'!O55+'State and Local P&amp;L'!O37</f>
        <v>80290868</v>
      </c>
      <c r="Q49" s="113">
        <f>'Federal P&amp;L'!P55+'State and Local P&amp;L'!P37</f>
        <v>105254528</v>
      </c>
      <c r="R49" s="113">
        <f>'Federal P&amp;L'!Q55+'State and Local P&amp;L'!Q37</f>
        <v>94799242</v>
      </c>
      <c r="S49" s="113">
        <f>'Federal P&amp;L'!R55+'State and Local P&amp;L'!R37</f>
        <v>106834358</v>
      </c>
      <c r="T49" s="113">
        <f>'Federal P&amp;L'!S55+'State and Local P&amp;L'!S37</f>
        <v>105207067</v>
      </c>
      <c r="U49" s="113">
        <f>'Federal P&amp;L'!T55+'State and Local P&amp;L'!T37</f>
        <v>126708781</v>
      </c>
      <c r="V49" s="113">
        <f>'Federal P&amp;L'!U55+'State and Local P&amp;L'!U37</f>
        <v>130856806</v>
      </c>
      <c r="W49" s="113">
        <f>'Federal P&amp;L'!V55+'State and Local P&amp;L'!V37</f>
        <v>147008379</v>
      </c>
      <c r="X49" s="113">
        <f>'Federal P&amp;L'!W55+'State and Local P&amp;L'!W37</f>
        <v>161393317</v>
      </c>
      <c r="Y49" s="113">
        <f>'Federal P&amp;L'!X55+'State and Local P&amp;L'!X37</f>
        <v>174172238</v>
      </c>
      <c r="Z49" s="113">
        <f>'Federal P&amp;L'!Y55+'State and Local P&amp;L'!Y37</f>
        <v>182236293</v>
      </c>
      <c r="AA49" s="113">
        <f>'Federal P&amp;L'!Z55+'State and Local P&amp;L'!Z37</f>
        <v>180216834</v>
      </c>
      <c r="AB49" s="113">
        <f>'Federal P&amp;L'!AA55+'State and Local P&amp;L'!AA37</f>
        <v>197576313</v>
      </c>
      <c r="AC49" s="113">
        <f>'Federal P&amp;L'!AB55+'State and Local P&amp;L'!AB37</f>
        <v>197121678</v>
      </c>
      <c r="AD49" s="113">
        <f>'Federal P&amp;L'!AC55+'State and Local P&amp;L'!AC37</f>
        <v>217035415</v>
      </c>
      <c r="AE49" s="113">
        <f>'Federal P&amp;L'!AD55+'State and Local P&amp;L'!AD37</f>
        <v>249584871</v>
      </c>
      <c r="AF49" s="113">
        <f>'Federal P&amp;L'!AE55+'State and Local P&amp;L'!AE37</f>
        <v>418951236</v>
      </c>
      <c r="AG49" s="113">
        <f>'Federal P&amp;L'!AF55+'State and Local P&amp;L'!AF37</f>
        <v>121956959</v>
      </c>
      <c r="AH49" s="113">
        <f>'Federal P&amp;L'!AG55+'State and Local P&amp;L'!AG37</f>
        <v>204192067</v>
      </c>
      <c r="AI49" s="113">
        <f>'Federal P&amp;L'!AH55+'State and Local P&amp;L'!AH37</f>
        <v>282226957</v>
      </c>
      <c r="AJ49" s="113">
        <f>'Federal P&amp;L'!AI55+'State and Local P&amp;L'!AI37</f>
        <v>229577448</v>
      </c>
      <c r="AK49" s="113">
        <f>'Federal P&amp;L'!AJ55+'State and Local P&amp;L'!AJ37</f>
        <v>221256499</v>
      </c>
    </row>
    <row r="50" spans="1:37" outlineLevel="3">
      <c r="A50" s="22" t="str">
        <f>B49</f>
        <v>Economy and Infrastructure</v>
      </c>
      <c r="B50" s="28" t="s">
        <v>303</v>
      </c>
      <c r="C50" s="113">
        <f>'Federal P&amp;L'!B56+'State and Local P&amp;L'!B38</f>
        <v>46147418</v>
      </c>
      <c r="D50" s="113">
        <f>'Federal P&amp;L'!C56+'State and Local P&amp;L'!C38</f>
        <v>50511968</v>
      </c>
      <c r="E50" s="113">
        <f>'Federal P&amp;L'!D56+'State and Local P&amp;L'!D38</f>
        <v>49583120</v>
      </c>
      <c r="F50" s="113">
        <f>'Federal P&amp;L'!E56+'State and Local P&amp;L'!E38</f>
        <v>52281372</v>
      </c>
      <c r="G50" s="113">
        <f>'Federal P&amp;L'!F56+'State and Local P&amp;L'!F38</f>
        <v>55955946</v>
      </c>
      <c r="H50" s="113">
        <f>'Federal P&amp;L'!G56+'State and Local P&amp;L'!G38</f>
        <v>61431979</v>
      </c>
      <c r="I50" s="113">
        <f>'Federal P&amp;L'!H56+'State and Local P&amp;L'!H38</f>
        <v>67562010</v>
      </c>
      <c r="J50" s="113">
        <f>'Federal P&amp;L'!I56+'State and Local P&amp;L'!I38</f>
        <v>70753932</v>
      </c>
      <c r="K50" s="113">
        <f>'Federal P&amp;L'!J56+'State and Local P&amp;L'!J38</f>
        <v>74200511</v>
      </c>
      <c r="L50" s="113">
        <f>'Federal P&amp;L'!K56+'State and Local P&amp;L'!K38</f>
        <v>76894575</v>
      </c>
      <c r="M50" s="113">
        <f>'Federal P&amp;L'!L56+'State and Local P&amp;L'!L38</f>
        <v>82083004</v>
      </c>
      <c r="N50" s="113">
        <f>'Federal P&amp;L'!M56+'State and Local P&amp;L'!M38</f>
        <v>87835507</v>
      </c>
      <c r="O50" s="113">
        <f>'Federal P&amp;L'!N56+'State and Local P&amp;L'!N38</f>
        <v>93431731</v>
      </c>
      <c r="P50" s="113">
        <f>'Federal P&amp;L'!O56+'State and Local P&amp;L'!O38</f>
        <v>93854078</v>
      </c>
      <c r="Q50" s="113">
        <f>'Federal P&amp;L'!P56+'State and Local P&amp;L'!P38</f>
        <v>101569084</v>
      </c>
      <c r="R50" s="113">
        <f>'Federal P&amp;L'!Q56+'State and Local P&amp;L'!Q38</f>
        <v>104736969</v>
      </c>
      <c r="S50" s="113">
        <f>'Federal P&amp;L'!R56+'State and Local P&amp;L'!R38</f>
        <v>106362020</v>
      </c>
      <c r="T50" s="113">
        <f>'Federal P&amp;L'!S56+'State and Local P&amp;L'!S38</f>
        <v>109780323</v>
      </c>
      <c r="U50" s="113">
        <f>'Federal P&amp;L'!T56+'State and Local P&amp;L'!T38</f>
        <v>115495752</v>
      </c>
      <c r="V50" s="113">
        <f>'Federal P&amp;L'!U56+'State and Local P&amp;L'!U38</f>
        <v>122707514</v>
      </c>
      <c r="W50" s="113">
        <f>'Federal P&amp;L'!V56+'State and Local P&amp;L'!V38</f>
        <v>133735216</v>
      </c>
      <c r="X50" s="113">
        <f>'Federal P&amp;L'!W56+'State and Local P&amp;L'!W38</f>
        <v>147041758</v>
      </c>
      <c r="Y50" s="113">
        <f>'Federal P&amp;L'!X56+'State and Local P&amp;L'!X38</f>
        <v>159986438</v>
      </c>
      <c r="Z50" s="113">
        <f>'Federal P&amp;L'!Y56+'State and Local P&amp;L'!Y38</f>
        <v>170245321</v>
      </c>
      <c r="AA50" s="113">
        <f>'Federal P&amp;L'!Z56+'State and Local P&amp;L'!Z38</f>
        <v>170099918</v>
      </c>
      <c r="AB50" s="113">
        <f>'Federal P&amp;L'!AA56+'State and Local P&amp;L'!AA38</f>
        <v>177487218</v>
      </c>
      <c r="AC50" s="113">
        <f>'Federal P&amp;L'!AB56+'State and Local P&amp;L'!AB38</f>
        <v>179446518</v>
      </c>
      <c r="AD50" s="113">
        <f>'Federal P&amp;L'!AC56+'State and Local P&amp;L'!AC38</f>
        <v>197908590</v>
      </c>
      <c r="AE50" s="113">
        <f>'Federal P&amp;L'!AD56+'State and Local P&amp;L'!AD38</f>
        <v>210742589</v>
      </c>
      <c r="AF50" s="113">
        <f>'Federal P&amp;L'!AE56+'State and Local P&amp;L'!AE38</f>
        <v>220635233</v>
      </c>
      <c r="AG50" s="113">
        <f>'Federal P&amp;L'!AF56+'State and Local P&amp;L'!AF38</f>
        <v>225887683</v>
      </c>
      <c r="AH50" s="113">
        <f>'Federal P&amp;L'!AG56+'State and Local P&amp;L'!AG38</f>
        <v>222105430</v>
      </c>
      <c r="AI50" s="113">
        <f>'Federal P&amp;L'!AH56+'State and Local P&amp;L'!AH38</f>
        <v>226508315</v>
      </c>
      <c r="AJ50" s="113">
        <f>'Federal P&amp;L'!AI56+'State and Local P&amp;L'!AI38</f>
        <v>222092751</v>
      </c>
      <c r="AK50" s="113">
        <f>'Federal P&amp;L'!AJ56+'State and Local P&amp;L'!AJ38</f>
        <v>227535584</v>
      </c>
    </row>
    <row r="51" spans="1:37" outlineLevel="3">
      <c r="A51" s="22" t="str">
        <f>B49</f>
        <v>Economy and Infrastructure</v>
      </c>
      <c r="B51" s="28" t="s">
        <v>326</v>
      </c>
      <c r="C51" s="113">
        <f>'Federal P&amp;L'!B63+'State and Local P&amp;L'!B46</f>
        <v>487039</v>
      </c>
      <c r="D51" s="113">
        <f>'Federal P&amp;L'!C63+'State and Local P&amp;L'!C46</f>
        <v>-265010</v>
      </c>
      <c r="E51" s="113">
        <f>'Federal P&amp;L'!D63+'State and Local P&amp;L'!D46</f>
        <v>-579669</v>
      </c>
      <c r="F51" s="113">
        <f>'Federal P&amp;L'!E63+'State and Local P&amp;L'!E46</f>
        <v>-936923</v>
      </c>
      <c r="G51" s="113">
        <f>'Federal P&amp;L'!F63+'State and Local P&amp;L'!F46</f>
        <v>-1685050</v>
      </c>
      <c r="H51" s="113">
        <f>'Federal P&amp;L'!G63+'State and Local P&amp;L'!G46</f>
        <v>-2398294</v>
      </c>
      <c r="I51" s="113">
        <f>'Federal P&amp;L'!H63+'State and Local P&amp;L'!H46</f>
        <v>-3828422</v>
      </c>
      <c r="J51" s="113">
        <f>'Federal P&amp;L'!I63+'State and Local P&amp;L'!I46</f>
        <v>-4336794</v>
      </c>
      <c r="K51" s="113">
        <f>'Federal P&amp;L'!J63+'State and Local P&amp;L'!J46</f>
        <v>-5038295</v>
      </c>
      <c r="L51" s="113">
        <f>'Federal P&amp;L'!K63+'State and Local P&amp;L'!K46</f>
        <v>-6114096</v>
      </c>
      <c r="M51" s="113">
        <f>'Federal P&amp;L'!L63+'State and Local P&amp;L'!L46</f>
        <v>-5641366</v>
      </c>
      <c r="N51" s="113">
        <f>'Federal P&amp;L'!M63+'State and Local P&amp;L'!M46</f>
        <v>-6752878</v>
      </c>
      <c r="O51" s="113">
        <f>'Federal P&amp;L'!N63+'State and Local P&amp;L'!N46</f>
        <v>-6925520</v>
      </c>
      <c r="P51" s="113">
        <f>'Federal P&amp;L'!O63+'State and Local P&amp;L'!O46</f>
        <v>-7738142</v>
      </c>
      <c r="Q51" s="113">
        <f>'Federal P&amp;L'!P63+'State and Local P&amp;L'!P46</f>
        <v>-9056729</v>
      </c>
      <c r="R51" s="113">
        <f>'Federal P&amp;L'!Q63+'State and Local P&amp;L'!Q46</f>
        <v>-10214727</v>
      </c>
      <c r="S51" s="113">
        <f>'Federal P&amp;L'!R63+'State and Local P&amp;L'!R46</f>
        <v>-10890662</v>
      </c>
      <c r="T51" s="113">
        <f>'Federal P&amp;L'!S63+'State and Local P&amp;L'!S46</f>
        <v>-11647256</v>
      </c>
      <c r="U51" s="113">
        <f>'Federal P&amp;L'!T63+'State and Local P&amp;L'!T46</f>
        <v>-11864971</v>
      </c>
      <c r="V51" s="113">
        <f>'Federal P&amp;L'!U63+'State and Local P&amp;L'!U46</f>
        <v>-11610708</v>
      </c>
      <c r="W51" s="113">
        <f>'Federal P&amp;L'!V63+'State and Local P&amp;L'!V46</f>
        <v>-8011837</v>
      </c>
      <c r="X51" s="113">
        <f>'Federal P&amp;L'!W63+'State and Local P&amp;L'!W46</f>
        <v>-11187441</v>
      </c>
      <c r="Y51" s="113">
        <f>'Federal P&amp;L'!X63+'State and Local P&amp;L'!X46</f>
        <v>-12063200</v>
      </c>
      <c r="Z51" s="113">
        <f>'Federal P&amp;L'!Y63+'State and Local P&amp;L'!Y46</f>
        <v>-12270028</v>
      </c>
      <c r="AA51" s="113">
        <f>'Federal P&amp;L'!Z63+'State and Local P&amp;L'!Z46</f>
        <v>-11862084</v>
      </c>
      <c r="AB51" s="113">
        <f>'Federal P&amp;L'!AA63+'State and Local P&amp;L'!AA46</f>
        <v>-9965905</v>
      </c>
      <c r="AC51" s="113">
        <f>'Federal P&amp;L'!AB63+'State and Local P&amp;L'!AB46</f>
        <v>-12136840</v>
      </c>
      <c r="AD51" s="113">
        <f>'Federal P&amp;L'!AC63+'State and Local P&amp;L'!AC46</f>
        <v>-17859175</v>
      </c>
      <c r="AE51" s="113">
        <f>'Federal P&amp;L'!AD63+'State and Local P&amp;L'!AD46</f>
        <v>-19126718</v>
      </c>
      <c r="AF51" s="113">
        <f>'Federal P&amp;L'!AE63+'State and Local P&amp;L'!AE46</f>
        <v>-14863997</v>
      </c>
      <c r="AG51" s="113">
        <f>'Federal P&amp;L'!AF63+'State and Local P&amp;L'!AF46</f>
        <v>-7628724</v>
      </c>
      <c r="AH51" s="113">
        <f>'Federal P&amp;L'!AG63+'State and Local P&amp;L'!AG46</f>
        <v>-13211363</v>
      </c>
      <c r="AI51" s="113">
        <f>'Federal P&amp;L'!AH63+'State and Local P&amp;L'!AH46</f>
        <v>-17873358</v>
      </c>
      <c r="AJ51" s="113">
        <f>'Federal P&amp;L'!AI63+'State and Local P&amp;L'!AI46</f>
        <v>-21185303</v>
      </c>
      <c r="AK51" s="113">
        <f>'Federal P&amp;L'!AJ63+'State and Local P&amp;L'!AJ46</f>
        <v>-21818085</v>
      </c>
    </row>
    <row r="52" spans="1:37" outlineLevel="3">
      <c r="A52" s="22" t="str">
        <f>B49</f>
        <v>Economy and Infrastructure</v>
      </c>
      <c r="B52" s="28" t="s">
        <v>250</v>
      </c>
      <c r="C52" s="113">
        <f>'Federal P&amp;L'!B64</f>
        <v>-258658</v>
      </c>
      <c r="D52" s="113">
        <f>'Federal P&amp;L'!C64</f>
        <v>-1220755</v>
      </c>
      <c r="E52" s="113">
        <f>'Federal P&amp;L'!D64</f>
        <v>-1948729</v>
      </c>
      <c r="F52" s="113">
        <f>'Federal P&amp;L'!E64</f>
        <v>-1542021</v>
      </c>
      <c r="G52" s="113">
        <f>'Federal P&amp;L'!F64</f>
        <v>-590554</v>
      </c>
      <c r="H52" s="113">
        <f>'Federal P&amp;L'!G64</f>
        <v>-2169768</v>
      </c>
      <c r="I52" s="113">
        <f>'Federal P&amp;L'!H64</f>
        <v>1422164</v>
      </c>
      <c r="J52" s="113">
        <f>'Federal P&amp;L'!I64</f>
        <v>3135405</v>
      </c>
      <c r="K52" s="113">
        <f>'Federal P&amp;L'!J64</f>
        <v>10051919</v>
      </c>
      <c r="L52" s="113">
        <f>'Federal P&amp;L'!K64</f>
        <v>22030787</v>
      </c>
      <c r="M52" s="113">
        <f>'Federal P&amp;L'!L64</f>
        <v>57921792</v>
      </c>
      <c r="N52" s="113">
        <f>'Federal P&amp;L'!M64</f>
        <v>66277369</v>
      </c>
      <c r="O52" s="113">
        <f>'Federal P&amp;L'!N64</f>
        <v>2559177</v>
      </c>
      <c r="P52" s="113">
        <f>'Federal P&amp;L'!O64</f>
        <v>-27908193</v>
      </c>
      <c r="Q52" s="113">
        <f>'Federal P&amp;L'!P64</f>
        <v>-7522106</v>
      </c>
      <c r="R52" s="113">
        <f>'Federal P&amp;L'!Q64</f>
        <v>-17775000</v>
      </c>
      <c r="S52" s="113">
        <f>'Federal P&amp;L'!R64</f>
        <v>-8342000</v>
      </c>
      <c r="T52" s="113">
        <f>'Federal P&amp;L'!S64</f>
        <v>-14330000</v>
      </c>
      <c r="U52" s="113">
        <f>'Federal P&amp;L'!T64</f>
        <v>-4310000</v>
      </c>
      <c r="V52" s="113">
        <f>'Federal P&amp;L'!U64</f>
        <v>-5219000</v>
      </c>
      <c r="W52" s="113">
        <f>'Federal P&amp;L'!V64</f>
        <v>-2988000</v>
      </c>
      <c r="X52" s="113">
        <f>'Federal P&amp;L'!W64</f>
        <v>-1502000</v>
      </c>
      <c r="Y52" s="113">
        <f>'Federal P&amp;L'!X64</f>
        <v>-952000</v>
      </c>
      <c r="Z52" s="113">
        <f>'Federal P&amp;L'!Y64</f>
        <v>-1344000</v>
      </c>
      <c r="AA52" s="113">
        <f>'Federal P&amp;L'!Z64</f>
        <v>-1877000</v>
      </c>
      <c r="AB52" s="113">
        <f>'Federal P&amp;L'!AA64</f>
        <v>-1270000</v>
      </c>
      <c r="AC52" s="113">
        <f>'Federal P&amp;L'!AB64</f>
        <v>-1006000</v>
      </c>
      <c r="AD52" s="113">
        <f>'Federal P&amp;L'!AC64</f>
        <v>-1389000</v>
      </c>
      <c r="AE52" s="113">
        <f>'Federal P&amp;L'!AD64</f>
        <v>18827000</v>
      </c>
      <c r="AF52" s="113">
        <f>'Federal P&amp;L'!AE64</f>
        <v>172792000</v>
      </c>
      <c r="AG52" s="113">
        <f>'Federal P&amp;L'!AF64</f>
        <v>-142029000</v>
      </c>
      <c r="AH52" s="113">
        <f>'Federal P&amp;L'!AG64</f>
        <v>-47390000</v>
      </c>
      <c r="AI52" s="113">
        <f>'Federal P&amp;L'!AH64</f>
        <v>28221000</v>
      </c>
      <c r="AJ52" s="113">
        <f>'Federal P&amp;L'!AI64</f>
        <v>-7811000</v>
      </c>
      <c r="AK52" s="113">
        <f>'Federal P&amp;L'!AJ64</f>
        <v>-21359000</v>
      </c>
    </row>
    <row r="53" spans="1:37" outlineLevel="3">
      <c r="A53" s="22" t="str">
        <f>B52</f>
        <v>Banking and Finance (deposit insurance, financial market bailouts, etc.)</v>
      </c>
      <c r="B53" s="29" t="s">
        <v>319</v>
      </c>
      <c r="C53" s="113">
        <f>'Federal P&amp;L'!B67</f>
        <v>1388</v>
      </c>
      <c r="D53" s="113">
        <f>'Federal P&amp;L'!C67</f>
        <v>1388</v>
      </c>
      <c r="E53" s="113">
        <f>'Federal P&amp;L'!D67</f>
        <v>1388</v>
      </c>
      <c r="F53" s="113">
        <f>'Federal P&amp;L'!E67</f>
        <v>1388</v>
      </c>
      <c r="G53" s="113">
        <f>'Federal P&amp;L'!F67</f>
        <v>1388</v>
      </c>
      <c r="H53" s="113">
        <f>'Federal P&amp;L'!G67</f>
        <v>1388</v>
      </c>
      <c r="I53" s="113">
        <f>'Federal P&amp;L'!H67</f>
        <v>1388</v>
      </c>
      <c r="J53" s="113">
        <f>'Federal P&amp;L'!I67</f>
        <v>1388</v>
      </c>
      <c r="K53" s="113">
        <f>'Federal P&amp;L'!J67</f>
        <v>1388</v>
      </c>
      <c r="L53" s="113">
        <f>'Federal P&amp;L'!K67</f>
        <v>1388</v>
      </c>
      <c r="M53" s="113">
        <f>'Federal P&amp;L'!L67</f>
        <v>1388</v>
      </c>
      <c r="N53" s="113">
        <f>'Federal P&amp;L'!M67</f>
        <v>1388</v>
      </c>
      <c r="O53" s="113">
        <f>'Federal P&amp;L'!N67</f>
        <v>1388</v>
      </c>
      <c r="P53" s="113">
        <f>'Federal P&amp;L'!O67</f>
        <v>1388</v>
      </c>
      <c r="Q53" s="113">
        <f>'Federal P&amp;L'!P67</f>
        <v>1388</v>
      </c>
      <c r="R53" s="113">
        <f>'Federal P&amp;L'!Q67</f>
        <v>1388</v>
      </c>
      <c r="S53" s="113">
        <f>'Federal P&amp;L'!R67</f>
        <v>1388</v>
      </c>
      <c r="T53" s="113">
        <f>'Federal P&amp;L'!S67</f>
        <v>1388</v>
      </c>
      <c r="U53" s="113">
        <f>'Federal P&amp;L'!T67</f>
        <v>1388</v>
      </c>
      <c r="V53" s="113">
        <f>'Federal P&amp;L'!U67</f>
        <v>1388</v>
      </c>
      <c r="W53" s="113">
        <f>'Federal P&amp;L'!V67</f>
        <v>1388</v>
      </c>
      <c r="X53" s="113">
        <f>'Federal P&amp;L'!W67</f>
        <v>1388</v>
      </c>
      <c r="Y53" s="113">
        <f>'Federal P&amp;L'!X67</f>
        <v>1388</v>
      </c>
      <c r="Z53" s="113">
        <f>'Federal P&amp;L'!Y67</f>
        <v>1388</v>
      </c>
      <c r="AA53" s="113">
        <f>'Federal P&amp;L'!Z67</f>
        <v>1388</v>
      </c>
      <c r="AB53" s="113">
        <f>'Federal P&amp;L'!AA67</f>
        <v>1388</v>
      </c>
      <c r="AC53" s="113">
        <f>'Federal P&amp;L'!AB67</f>
        <v>1388</v>
      </c>
      <c r="AD53" s="113">
        <f>'Federal P&amp;L'!AC67</f>
        <v>1388</v>
      </c>
      <c r="AE53" s="113">
        <f>'Federal P&amp;L'!AD67</f>
        <v>1388</v>
      </c>
      <c r="AF53" s="113">
        <f>'Federal P&amp;L'!AE67</f>
        <v>1388</v>
      </c>
      <c r="AG53" s="113">
        <f>'Federal P&amp;L'!AF67</f>
        <v>1388</v>
      </c>
      <c r="AH53" s="113">
        <f>'Federal P&amp;L'!AG67</f>
        <v>1388</v>
      </c>
      <c r="AI53" s="113">
        <f>'Federal P&amp;L'!AH67</f>
        <v>1388</v>
      </c>
      <c r="AJ53" s="113">
        <f>'Federal P&amp;L'!AI67</f>
        <v>1388</v>
      </c>
      <c r="AK53" s="113">
        <f>'Federal P&amp;L'!AJ67</f>
        <v>1388</v>
      </c>
    </row>
    <row r="54" spans="1:37" outlineLevel="3">
      <c r="A54" s="22" t="str">
        <f>B49</f>
        <v>Economy and Infrastructure</v>
      </c>
      <c r="B54" s="28" t="s">
        <v>304</v>
      </c>
      <c r="C54" s="113">
        <f>'Federal P&amp;L'!B68</f>
        <v>1380579</v>
      </c>
      <c r="D54" s="113">
        <f>'Federal P&amp;L'!C68</f>
        <v>1476169</v>
      </c>
      <c r="E54" s="113">
        <f>'Federal P&amp;L'!D68</f>
        <v>1606282</v>
      </c>
      <c r="F54" s="113">
        <f>'Federal P&amp;L'!E68</f>
        <v>1643742</v>
      </c>
      <c r="G54" s="113">
        <f>'Federal P&amp;L'!F68</f>
        <v>1842331</v>
      </c>
      <c r="H54" s="113">
        <f>'Federal P&amp;L'!G68</f>
        <v>2014926</v>
      </c>
      <c r="I54" s="113">
        <f>'Federal P&amp;L'!H68</f>
        <v>2206671</v>
      </c>
      <c r="J54" s="113">
        <f>'Federal P&amp;L'!I68</f>
        <v>2243217</v>
      </c>
      <c r="K54" s="113">
        <f>'Federal P&amp;L'!J68</f>
        <v>2406659</v>
      </c>
      <c r="L54" s="113">
        <f>'Federal P&amp;L'!K68</f>
        <v>2625718</v>
      </c>
      <c r="M54" s="113">
        <f>'Federal P&amp;L'!L68</f>
        <v>2817691</v>
      </c>
      <c r="N54" s="113">
        <f>'Federal P&amp;L'!M68</f>
        <v>3135511</v>
      </c>
      <c r="O54" s="113">
        <f>'Federal P&amp;L'!N68</f>
        <v>3551208</v>
      </c>
      <c r="P54" s="113">
        <f>'Federal P&amp;L'!O68</f>
        <v>3913850</v>
      </c>
      <c r="Q54" s="113">
        <f>'Federal P&amp;L'!P68</f>
        <v>3825411</v>
      </c>
      <c r="R54" s="113">
        <f>'Federal P&amp;L'!Q68</f>
        <v>4099000</v>
      </c>
      <c r="S54" s="113">
        <f>'Federal P&amp;L'!R68</f>
        <v>3991000</v>
      </c>
      <c r="T54" s="113">
        <f>'Federal P&amp;L'!S68</f>
        <v>4080000</v>
      </c>
      <c r="U54" s="113">
        <f>'Federal P&amp;L'!T68</f>
        <v>5306000</v>
      </c>
      <c r="V54" s="113">
        <f>'Federal P&amp;L'!U68</f>
        <v>5638000</v>
      </c>
      <c r="W54" s="113">
        <f>'Federal P&amp;L'!V68</f>
        <v>6167000</v>
      </c>
      <c r="X54" s="113">
        <f>'Federal P&amp;L'!W68</f>
        <v>6520000</v>
      </c>
      <c r="Y54" s="113">
        <f>'Federal P&amp;L'!X68</f>
        <v>7261000</v>
      </c>
      <c r="Z54" s="113">
        <f>'Federal P&amp;L'!Y68</f>
        <v>7951000</v>
      </c>
      <c r="AA54" s="113">
        <f>'Federal P&amp;L'!Z68</f>
        <v>8392000</v>
      </c>
      <c r="AB54" s="113">
        <f>'Federal P&amp;L'!AA68</f>
        <v>8819000</v>
      </c>
      <c r="AC54" s="113">
        <f>'Federal P&amp;L'!AB68</f>
        <v>9093000</v>
      </c>
      <c r="AD54" s="113">
        <f>'Federal P&amp;L'!AC68</f>
        <v>9149000</v>
      </c>
      <c r="AE54" s="113">
        <f>'Federal P&amp;L'!AD68</f>
        <v>9573000</v>
      </c>
      <c r="AF54" s="113">
        <f>'Federal P&amp;L'!AE68</f>
        <v>10020000</v>
      </c>
      <c r="AG54" s="113">
        <f>'Federal P&amp;L'!AF68</f>
        <v>11730000</v>
      </c>
      <c r="AH54" s="113">
        <f>'Federal P&amp;L'!AG68</f>
        <v>12434000</v>
      </c>
      <c r="AI54" s="113">
        <f>'Federal P&amp;L'!AH68</f>
        <v>12458000</v>
      </c>
      <c r="AJ54" s="113">
        <f>'Federal P&amp;L'!AI68</f>
        <v>12479000</v>
      </c>
      <c r="AK54" s="113">
        <f>'Federal P&amp;L'!AJ68</f>
        <v>12011000</v>
      </c>
    </row>
    <row r="55" spans="1:37" outlineLevel="3">
      <c r="A55" s="22" t="str">
        <f>B49</f>
        <v>Economy and Infrastructure</v>
      </c>
      <c r="B55" s="28" t="s">
        <v>67</v>
      </c>
      <c r="C55" s="113">
        <f>'Federal P&amp;L'!B69</f>
        <v>4450912</v>
      </c>
      <c r="D55" s="113">
        <f>'Federal P&amp;L'!C69</f>
        <v>4992317</v>
      </c>
      <c r="E55" s="113">
        <f>'Federal P&amp;L'!D69</f>
        <v>5592912</v>
      </c>
      <c r="F55" s="113">
        <f>'Federal P&amp;L'!E69</f>
        <v>6290357</v>
      </c>
      <c r="G55" s="113">
        <f>'Federal P&amp;L'!F69</f>
        <v>6468745</v>
      </c>
      <c r="H55" s="113">
        <f>'Federal P&amp;L'!G69</f>
        <v>6607435</v>
      </c>
      <c r="I55" s="113">
        <f>'Federal P&amp;L'!H69</f>
        <v>6755601</v>
      </c>
      <c r="J55" s="113">
        <f>'Federal P&amp;L'!I69</f>
        <v>6956517</v>
      </c>
      <c r="K55" s="113">
        <f>'Federal P&amp;L'!J69</f>
        <v>8412979</v>
      </c>
      <c r="L55" s="113">
        <f>'Federal P&amp;L'!K69</f>
        <v>10195668</v>
      </c>
      <c r="M55" s="113">
        <f>'Federal P&amp;L'!L69</f>
        <v>11608591</v>
      </c>
      <c r="N55" s="113">
        <f>'Federal P&amp;L'!M69</f>
        <v>12956683</v>
      </c>
      <c r="O55" s="113">
        <f>'Federal P&amp;L'!N69</f>
        <v>12837895</v>
      </c>
      <c r="P55" s="113">
        <f>'Federal P&amp;L'!O69</f>
        <v>13092224</v>
      </c>
      <c r="Q55" s="113">
        <f>'Federal P&amp;L'!P69</f>
        <v>12363207</v>
      </c>
      <c r="R55" s="113">
        <f>'Federal P&amp;L'!Q69</f>
        <v>12593000</v>
      </c>
      <c r="S55" s="113">
        <f>'Federal P&amp;L'!R69</f>
        <v>12693000</v>
      </c>
      <c r="T55" s="113">
        <f>'Federal P&amp;L'!S69</f>
        <v>13056000</v>
      </c>
      <c r="U55" s="113">
        <f>'Federal P&amp;L'!T69</f>
        <v>12866000</v>
      </c>
      <c r="V55" s="113">
        <f>'Federal P&amp;L'!U69</f>
        <v>12446000</v>
      </c>
      <c r="W55" s="113">
        <f>'Federal P&amp;L'!V69</f>
        <v>12427000</v>
      </c>
      <c r="X55" s="113">
        <f>'Federal P&amp;L'!W69</f>
        <v>13233000</v>
      </c>
      <c r="Y55" s="113">
        <f>'Federal P&amp;L'!X69</f>
        <v>13473000</v>
      </c>
      <c r="Z55" s="113">
        <f>'Federal P&amp;L'!Y69</f>
        <v>12880000</v>
      </c>
      <c r="AA55" s="113">
        <f>'Federal P&amp;L'!Z69</f>
        <v>14637000</v>
      </c>
      <c r="AB55" s="113">
        <f>'Federal P&amp;L'!AA69</f>
        <v>14778000</v>
      </c>
      <c r="AC55" s="113">
        <f>'Federal P&amp;L'!AB69</f>
        <v>14491000</v>
      </c>
      <c r="AD55" s="113">
        <f>'Federal P&amp;L'!AC69</f>
        <v>15258000</v>
      </c>
      <c r="AE55" s="113">
        <f>'Federal P&amp;L'!AD69</f>
        <v>17200000</v>
      </c>
      <c r="AF55" s="113">
        <f>'Federal P&amp;L'!AE69</f>
        <v>18397000</v>
      </c>
      <c r="AG55" s="113">
        <f>'Federal P&amp;L'!AF69</f>
        <v>18370000</v>
      </c>
      <c r="AH55" s="113">
        <f>'Federal P&amp;L'!AG69</f>
        <v>17032000</v>
      </c>
      <c r="AI55" s="113">
        <f>'Federal P&amp;L'!AH69</f>
        <v>16602000</v>
      </c>
      <c r="AJ55" s="113">
        <f>'Federal P&amp;L'!AI69</f>
        <v>16429000</v>
      </c>
      <c r="AK55" s="113">
        <f>'Federal P&amp;L'!AJ69</f>
        <v>16559000</v>
      </c>
    </row>
    <row r="56" spans="1:37" outlineLevel="3">
      <c r="A56" s="22" t="str">
        <f>B49</f>
        <v>Economy and Infrastructure</v>
      </c>
      <c r="B56" s="28" t="s">
        <v>305</v>
      </c>
      <c r="C56" s="113">
        <f>'Federal P&amp;L'!B70</f>
        <v>214403</v>
      </c>
      <c r="D56" s="113">
        <f>'Federal P&amp;L'!C70</f>
        <v>234295</v>
      </c>
      <c r="E56" s="113">
        <f>'Federal P&amp;L'!D70</f>
        <v>223542</v>
      </c>
      <c r="F56" s="113">
        <f>'Federal P&amp;L'!E70</f>
        <v>242330</v>
      </c>
      <c r="G56" s="113">
        <f>'Federal P&amp;L'!F70</f>
        <v>287446</v>
      </c>
      <c r="H56" s="113">
        <f>'Federal P&amp;L'!G70</f>
        <v>377786</v>
      </c>
      <c r="I56" s="113">
        <f>'Federal P&amp;L'!H70</f>
        <v>432362</v>
      </c>
      <c r="J56" s="113">
        <f>'Federal P&amp;L'!I70</f>
        <v>492130</v>
      </c>
      <c r="K56" s="113">
        <f>'Federal P&amp;L'!J70</f>
        <v>577288</v>
      </c>
      <c r="L56" s="113">
        <f>'Federal P&amp;L'!K70</f>
        <v>753431</v>
      </c>
      <c r="M56" s="113">
        <f>'Federal P&amp;L'!L70</f>
        <v>942667</v>
      </c>
      <c r="N56" s="113">
        <f>'Federal P&amp;L'!M70</f>
        <v>1058765</v>
      </c>
      <c r="O56" s="113">
        <f>'Federal P&amp;L'!N70</f>
        <v>1143527</v>
      </c>
      <c r="P56" s="113">
        <f>'Federal P&amp;L'!O70</f>
        <v>1225051</v>
      </c>
      <c r="Q56" s="113">
        <f>'Federal P&amp;L'!P70</f>
        <v>1133553</v>
      </c>
      <c r="R56" s="113">
        <f>'Federal P&amp;L'!Q70</f>
        <v>1400000</v>
      </c>
      <c r="S56" s="113">
        <f>'Federal P&amp;L'!R70</f>
        <v>1552000</v>
      </c>
      <c r="T56" s="113">
        <f>'Federal P&amp;L'!S70</f>
        <v>2612000</v>
      </c>
      <c r="U56" s="113">
        <f>'Federal P&amp;L'!T70</f>
        <v>7272000</v>
      </c>
      <c r="V56" s="113">
        <f>'Federal P&amp;L'!U70</f>
        <v>4520000</v>
      </c>
      <c r="W56" s="113">
        <f>'Federal P&amp;L'!V70</f>
        <v>1798000</v>
      </c>
      <c r="X56" s="113">
        <f>'Federal P&amp;L'!W70</f>
        <v>3429000</v>
      </c>
      <c r="Y56" s="113">
        <f>'Federal P&amp;L'!X70</f>
        <v>4677000</v>
      </c>
      <c r="Z56" s="113">
        <f>'Federal P&amp;L'!Y70</f>
        <v>8423000</v>
      </c>
      <c r="AA56" s="113">
        <f>'Federal P&amp;L'!Z70</f>
        <v>3493000</v>
      </c>
      <c r="AB56" s="113">
        <f>'Federal P&amp;L'!AA70</f>
        <v>6971000</v>
      </c>
      <c r="AC56" s="113">
        <f>'Federal P&amp;L'!AB70</f>
        <v>6334000</v>
      </c>
      <c r="AD56" s="113">
        <f>'Federal P&amp;L'!AC70</f>
        <v>6809000</v>
      </c>
      <c r="AE56" s="113">
        <f>'Federal P&amp;L'!AD70</f>
        <v>7652000</v>
      </c>
      <c r="AF56" s="113">
        <f>'Federal P&amp;L'!AE70</f>
        <v>8909000</v>
      </c>
      <c r="AG56" s="113">
        <f>'Federal P&amp;L'!AF70</f>
        <v>8084000</v>
      </c>
      <c r="AH56" s="113">
        <f>'Federal P&amp;L'!AG70</f>
        <v>9137000</v>
      </c>
      <c r="AI56" s="113">
        <f>'Federal P&amp;L'!AH70</f>
        <v>10426000</v>
      </c>
      <c r="AJ56" s="113">
        <f>'Federal P&amp;L'!AI70</f>
        <v>9041000</v>
      </c>
      <c r="AK56" s="113">
        <f>'Federal P&amp;L'!AJ70</f>
        <v>8331000</v>
      </c>
    </row>
    <row r="57" spans="1:37" outlineLevel="3">
      <c r="A57" s="22" t="str">
        <f>B49</f>
        <v>Economy and Infrastructure</v>
      </c>
      <c r="B57" s="28" t="s">
        <v>293</v>
      </c>
      <c r="C57" s="113">
        <f>'Federal P&amp;L'!B71</f>
        <v>1245551</v>
      </c>
      <c r="D57" s="113">
        <f>'Federal P&amp;L'!C71</f>
        <v>1431723</v>
      </c>
      <c r="E57" s="113">
        <f>'Federal P&amp;L'!D71</f>
        <v>154146</v>
      </c>
      <c r="F57" s="113">
        <f>'Federal P&amp;L'!E71</f>
        <v>1111294</v>
      </c>
      <c r="G57" s="113">
        <f>'Federal P&amp;L'!F71</f>
        <v>1238828</v>
      </c>
      <c r="H57" s="113">
        <f>'Federal P&amp;L'!G71</f>
        <v>1351100</v>
      </c>
      <c r="I57" s="113">
        <f>'Federal P&amp;L'!H71</f>
        <v>758085</v>
      </c>
      <c r="J57" s="113">
        <f>'Federal P&amp;L'!I71</f>
        <v>1592629</v>
      </c>
      <c r="K57" s="113">
        <f>'Federal P&amp;L'!J71</f>
        <v>2229465</v>
      </c>
      <c r="L57" s="113">
        <f>'Federal P&amp;L'!K71</f>
        <v>126798</v>
      </c>
      <c r="M57" s="113">
        <f>'Federal P&amp;L'!L71</f>
        <v>2115676</v>
      </c>
      <c r="N57" s="113">
        <f>'Federal P&amp;L'!M71</f>
        <v>1827993</v>
      </c>
      <c r="O57" s="113">
        <f>'Federal P&amp;L'!N71</f>
        <v>1169276</v>
      </c>
      <c r="P57" s="113">
        <f>'Federal P&amp;L'!O71</f>
        <v>1601631</v>
      </c>
      <c r="Q57" s="113">
        <f>'Federal P&amp;L'!P71</f>
        <v>1233139</v>
      </c>
      <c r="R57" s="113">
        <f>'Federal P&amp;L'!Q71</f>
        <v>-1839000</v>
      </c>
      <c r="S57" s="113">
        <f>'Federal P&amp;L'!R71</f>
        <v>-58000</v>
      </c>
      <c r="T57" s="113">
        <f>'Federal P&amp;L'!S71</f>
        <v>77000</v>
      </c>
      <c r="U57" s="113">
        <f>'Federal P&amp;L'!T71</f>
        <v>303000</v>
      </c>
      <c r="V57" s="113">
        <f>'Federal P&amp;L'!U71</f>
        <v>1050000</v>
      </c>
      <c r="W57" s="113">
        <f>'Federal P&amp;L'!V71</f>
        <v>2129000</v>
      </c>
      <c r="X57" s="113">
        <f>'Federal P&amp;L'!W71</f>
        <v>2395000</v>
      </c>
      <c r="Y57" s="113">
        <f>'Federal P&amp;L'!X71</f>
        <v>207000</v>
      </c>
      <c r="Z57" s="113">
        <f>'Federal P&amp;L'!Y71</f>
        <v>-5169000</v>
      </c>
      <c r="AA57" s="113">
        <f>'Federal P&amp;L'!Z71</f>
        <v>-4070000</v>
      </c>
      <c r="AB57" s="113">
        <f>'Federal P&amp;L'!AA71</f>
        <v>-1223000</v>
      </c>
      <c r="AC57" s="113">
        <f>'Federal P&amp;L'!AB71</f>
        <v>-971000</v>
      </c>
      <c r="AD57" s="113">
        <f>'Federal P&amp;L'!AC71</f>
        <v>5197000</v>
      </c>
      <c r="AE57" s="113">
        <f>'Federal P&amp;L'!AD71</f>
        <v>2526000</v>
      </c>
      <c r="AF57" s="113">
        <f>'Federal P&amp;L'!AE71</f>
        <v>422000</v>
      </c>
      <c r="AG57" s="113">
        <f>'Federal P&amp;L'!AF71</f>
        <v>4818000</v>
      </c>
      <c r="AH57" s="113">
        <f>'Federal P&amp;L'!AG71</f>
        <v>909000</v>
      </c>
      <c r="AI57" s="113">
        <f>'Federal P&amp;L'!AH71</f>
        <v>2744000</v>
      </c>
      <c r="AJ57" s="113">
        <f>'Federal P&amp;L'!AI71</f>
        <v>-1839000</v>
      </c>
      <c r="AK57" s="113">
        <f>'Federal P&amp;L'!AJ71</f>
        <v>-2453000</v>
      </c>
    </row>
    <row r="58" spans="1:37" outlineLevel="3">
      <c r="A58" s="22" t="str">
        <f>B49</f>
        <v>Economy and Infrastructure</v>
      </c>
      <c r="B58" s="28" t="s">
        <v>70</v>
      </c>
      <c r="C58" s="113">
        <f>'Federal P&amp;L'!B72</f>
        <v>2945421</v>
      </c>
      <c r="D58" s="113">
        <f>'Federal P&amp;L'!C72</f>
        <v>2870788</v>
      </c>
      <c r="E58" s="113">
        <f>'Federal P&amp;L'!D72</f>
        <v>2991174</v>
      </c>
      <c r="F58" s="113">
        <f>'Federal P&amp;L'!E72</f>
        <v>2628995</v>
      </c>
      <c r="G58" s="113">
        <f>'Federal P&amp;L'!F72</f>
        <v>2447387</v>
      </c>
      <c r="H58" s="113">
        <f>'Federal P&amp;L'!G72</f>
        <v>2529110</v>
      </c>
      <c r="I58" s="113">
        <f>'Federal P&amp;L'!H72</f>
        <v>2132617</v>
      </c>
      <c r="J58" s="113">
        <f>'Federal P&amp;L'!I72</f>
        <v>1132338</v>
      </c>
      <c r="K58" s="113">
        <f>'Federal P&amp;L'!J72</f>
        <v>1332699</v>
      </c>
      <c r="L58" s="113">
        <f>'Federal P&amp;L'!K72</f>
        <v>1551786</v>
      </c>
      <c r="M58" s="113">
        <f>'Federal P&amp;L'!L72</f>
        <v>2553954</v>
      </c>
      <c r="N58" s="113">
        <f>'Federal P&amp;L'!M72</f>
        <v>2403673</v>
      </c>
      <c r="O58" s="113">
        <f>'Federal P&amp;L'!N72</f>
        <v>1953952</v>
      </c>
      <c r="P58" s="113">
        <f>'Federal P&amp;L'!O72</f>
        <v>2250369</v>
      </c>
      <c r="Q58" s="113">
        <f>'Federal P&amp;L'!P72</f>
        <v>1708969</v>
      </c>
      <c r="R58" s="113">
        <f>'Federal P&amp;L'!Q72</f>
        <v>1799000</v>
      </c>
      <c r="S58" s="113">
        <f>'Federal P&amp;L'!R72</f>
        <v>1527000</v>
      </c>
      <c r="T58" s="113">
        <f>'Federal P&amp;L'!S72</f>
        <v>1579000</v>
      </c>
      <c r="U58" s="113">
        <f>'Federal P&amp;L'!T72</f>
        <v>1641000</v>
      </c>
      <c r="V58" s="113">
        <f>'Federal P&amp;L'!U72</f>
        <v>1325000</v>
      </c>
      <c r="W58" s="113">
        <f>'Federal P&amp;L'!V72</f>
        <v>1752000</v>
      </c>
      <c r="X58" s="113">
        <f>'Federal P&amp;L'!W72</f>
        <v>1464000</v>
      </c>
      <c r="Y58" s="113">
        <f>'Federal P&amp;L'!X72</f>
        <v>1583000</v>
      </c>
      <c r="Z58" s="113">
        <f>'Federal P&amp;L'!Y72</f>
        <v>1520000</v>
      </c>
      <c r="AA58" s="113">
        <f>'Federal P&amp;L'!Z72</f>
        <v>1404000</v>
      </c>
      <c r="AB58" s="113">
        <f>'Federal P&amp;L'!AA72</f>
        <v>1980000</v>
      </c>
      <c r="AC58" s="113">
        <f>'Federal P&amp;L'!AB72</f>
        <v>1871000</v>
      </c>
      <c r="AD58" s="113">
        <f>'Federal P&amp;L'!AC72</f>
        <v>1962000</v>
      </c>
      <c r="AE58" s="113">
        <f>'Federal P&amp;L'!AD72</f>
        <v>2191000</v>
      </c>
      <c r="AF58" s="113">
        <f>'Federal P&amp;L'!AE72</f>
        <v>2640000</v>
      </c>
      <c r="AG58" s="113">
        <f>'Federal P&amp;L'!AF72</f>
        <v>2725000</v>
      </c>
      <c r="AH58" s="113">
        <f>'Federal P&amp;L'!AG72</f>
        <v>3176000</v>
      </c>
      <c r="AI58" s="113">
        <f>'Federal P&amp;L'!AH72</f>
        <v>3141000</v>
      </c>
      <c r="AJ58" s="113">
        <f>'Federal P&amp;L'!AI72</f>
        <v>371000</v>
      </c>
      <c r="AK58" s="113">
        <f>'Federal P&amp;L'!AJ72</f>
        <v>2450000</v>
      </c>
    </row>
    <row r="59" spans="1:37" outlineLevel="2">
      <c r="A59" s="22" t="str">
        <f>B48</f>
        <v>Promote the General Welfare</v>
      </c>
      <c r="B59" s="27" t="s">
        <v>234</v>
      </c>
      <c r="C59" s="113">
        <f>'Federal P&amp;L'!B73+'State and Local P&amp;L'!B50</f>
        <v>18873056</v>
      </c>
      <c r="D59" s="113">
        <f>'Federal P&amp;L'!C73+'State and Local P&amp;L'!C50</f>
        <v>19793862</v>
      </c>
      <c r="E59" s="113">
        <f>'Federal P&amp;L'!D73+'State and Local P&amp;L'!D50</f>
        <v>21992686</v>
      </c>
      <c r="F59" s="113">
        <f>'Federal P&amp;L'!E73+'State and Local P&amp;L'!E50</f>
        <v>23686655</v>
      </c>
      <c r="G59" s="113">
        <f>'Federal P&amp;L'!F73+'State and Local P&amp;L'!F50</f>
        <v>24188355</v>
      </c>
      <c r="H59" s="113">
        <f>'Federal P&amp;L'!G73+'State and Local P&amp;L'!G50</f>
        <v>26963424</v>
      </c>
      <c r="I59" s="113">
        <f>'Federal P&amp;L'!H73+'State and Local P&amp;L'!H50</f>
        <v>29518371</v>
      </c>
      <c r="J59" s="113">
        <f>'Federal P&amp;L'!I73+'State and Local P&amp;L'!I50</f>
        <v>31181693</v>
      </c>
      <c r="K59" s="113">
        <f>'Federal P&amp;L'!J73+'State and Local P&amp;L'!J50</f>
        <v>35569744</v>
      </c>
      <c r="L59" s="113">
        <f>'Federal P&amp;L'!K73+'State and Local P&amp;L'!K50</f>
        <v>38650092</v>
      </c>
      <c r="M59" s="113">
        <f>'Federal P&amp;L'!L73+'State and Local P&amp;L'!L50</f>
        <v>43167047</v>
      </c>
      <c r="N59" s="113">
        <f>'Federal P&amp;L'!M73+'State and Local P&amp;L'!M50</f>
        <v>46227101</v>
      </c>
      <c r="O59" s="113">
        <f>'Federal P&amp;L'!N73+'State and Local P&amp;L'!N50</f>
        <v>46193144</v>
      </c>
      <c r="P59" s="113">
        <f>'Federal P&amp;L'!O73+'State and Local P&amp;L'!O50</f>
        <v>50118534</v>
      </c>
      <c r="Q59" s="113">
        <f>'Federal P&amp;L'!P73+'State and Local P&amp;L'!P50</f>
        <v>51307946</v>
      </c>
      <c r="R59" s="113">
        <f>'Federal P&amp;L'!Q73+'State and Local P&amp;L'!Q50</f>
        <v>54715436</v>
      </c>
      <c r="S59" s="113">
        <f>'Federal P&amp;L'!R73+'State and Local P&amp;L'!R50</f>
        <v>55494821</v>
      </c>
      <c r="T59" s="113">
        <f>'Federal P&amp;L'!S73+'State and Local P&amp;L'!S50</f>
        <v>58366601</v>
      </c>
      <c r="U59" s="113">
        <f>'Federal P&amp;L'!T73+'State and Local P&amp;L'!T50</f>
        <v>62945721</v>
      </c>
      <c r="V59" s="113">
        <f>'Federal P&amp;L'!U73+'State and Local P&amp;L'!U50</f>
        <v>67529757</v>
      </c>
      <c r="W59" s="113">
        <f>'Federal P&amp;L'!V73+'State and Local P&amp;L'!V50</f>
        <v>75243466</v>
      </c>
      <c r="X59" s="113">
        <f>'Federal P&amp;L'!W73+'State and Local P&amp;L'!W50</f>
        <v>79088890</v>
      </c>
      <c r="Y59" s="113">
        <f>'Federal P&amp;L'!X73+'State and Local P&amp;L'!X50</f>
        <v>89570103</v>
      </c>
      <c r="Z59" s="113">
        <f>'Federal P&amp;L'!Y73+'State and Local P&amp;L'!Y50</f>
        <v>95626217</v>
      </c>
      <c r="AA59" s="113">
        <f>'Federal P&amp;L'!Z73+'State and Local P&amp;L'!Z50</f>
        <v>101686739</v>
      </c>
      <c r="AB59" s="113">
        <f>'Federal P&amp;L'!AA73+'State and Local P&amp;L'!AA50</f>
        <v>104862677</v>
      </c>
      <c r="AC59" s="113">
        <f>'Federal P&amp;L'!AB73+'State and Local P&amp;L'!AB50</f>
        <v>110537588</v>
      </c>
      <c r="AD59" s="113">
        <f>'Federal P&amp;L'!AC73+'State and Local P&amp;L'!AC50</f>
        <v>118290176</v>
      </c>
      <c r="AE59" s="113">
        <f>'Federal P&amp;L'!AD73+'State and Local P&amp;L'!AD50</f>
        <v>132692566</v>
      </c>
      <c r="AF59" s="113">
        <f>'Federal P&amp;L'!AE73+'State and Local P&amp;L'!AE50</f>
        <v>138728829</v>
      </c>
      <c r="AG59" s="113">
        <f>'Federal P&amp;L'!AF73+'State and Local P&amp;L'!AF50</f>
        <v>143916809</v>
      </c>
      <c r="AH59" s="113">
        <f>'Federal P&amp;L'!AG73+'State and Local P&amp;L'!AG50</f>
        <v>149523813</v>
      </c>
      <c r="AI59" s="113">
        <f>'Federal P&amp;L'!AH73+'State and Local P&amp;L'!AH50</f>
        <v>150454494</v>
      </c>
      <c r="AJ59" s="113">
        <f>'Federal P&amp;L'!AI73+'State and Local P&amp;L'!AI50</f>
        <v>146917571</v>
      </c>
      <c r="AK59" s="113">
        <f>'Federal P&amp;L'!AJ73+'State and Local P&amp;L'!AJ50</f>
        <v>149316055</v>
      </c>
    </row>
    <row r="60" spans="1:37" outlineLevel="3">
      <c r="A60" s="22" t="str">
        <f>B59</f>
        <v>Health (excludes Medicaid/Medicare)</v>
      </c>
      <c r="B60" s="28" t="s">
        <v>56</v>
      </c>
      <c r="C60" s="113">
        <f>'Federal P&amp;L'!B74+'State and Local P&amp;L'!B51</f>
        <v>13388223</v>
      </c>
      <c r="D60" s="113">
        <f>'Federal P&amp;L'!C74+'State and Local P&amp;L'!C51</f>
        <v>14952782</v>
      </c>
      <c r="E60" s="113">
        <f>'Federal P&amp;L'!D74+'State and Local P&amp;L'!D51</f>
        <v>16258343</v>
      </c>
      <c r="F60" s="113">
        <f>'Federal P&amp;L'!E74+'State and Local P&amp;L'!E51</f>
        <v>16788393</v>
      </c>
      <c r="G60" s="113">
        <f>'Federal P&amp;L'!F74+'State and Local P&amp;L'!F51</f>
        <v>17496086</v>
      </c>
      <c r="H60" s="113">
        <f>'Federal P&amp;L'!G74+'State and Local P&amp;L'!G51</f>
        <v>19480631</v>
      </c>
      <c r="I60" s="113">
        <f>'Federal P&amp;L'!H74+'State and Local P&amp;L'!H51</f>
        <v>21900701</v>
      </c>
      <c r="J60" s="113">
        <f>'Federal P&amp;L'!I74+'State and Local P&amp;L'!I51</f>
        <v>23428001</v>
      </c>
      <c r="K60" s="113">
        <f>'Federal P&amp;L'!J74+'State and Local P&amp;L'!J51</f>
        <v>26299132</v>
      </c>
      <c r="L60" s="113">
        <f>'Federal P&amp;L'!K74+'State and Local P&amp;L'!K51</f>
        <v>29229244</v>
      </c>
      <c r="M60" s="113">
        <f>'Federal P&amp;L'!L74+'State and Local P&amp;L'!L51</f>
        <v>33690480</v>
      </c>
      <c r="N60" s="113">
        <f>'Federal P&amp;L'!M74+'State and Local P&amp;L'!M51</f>
        <v>36745798</v>
      </c>
      <c r="O60" s="113">
        <f>'Federal P&amp;L'!N74+'State and Local P&amp;L'!N51</f>
        <v>41008878</v>
      </c>
      <c r="P60" s="113">
        <f>'Federal P&amp;L'!O74+'State and Local P&amp;L'!O51</f>
        <v>44659113</v>
      </c>
      <c r="Q60" s="113">
        <f>'Federal P&amp;L'!P74+'State and Local P&amp;L'!P51</f>
        <v>48104983</v>
      </c>
      <c r="R60" s="113">
        <f>'Federal P&amp;L'!Q74+'State and Local P&amp;L'!Q51</f>
        <v>51579973</v>
      </c>
      <c r="S60" s="113">
        <f>'Federal P&amp;L'!R74+'State and Local P&amp;L'!R51</f>
        <v>53194568</v>
      </c>
      <c r="T60" s="113">
        <f>'Federal P&amp;L'!S74+'State and Local P&amp;L'!S51</f>
        <v>57644162</v>
      </c>
      <c r="U60" s="113">
        <f>'Federal P&amp;L'!T74+'State and Local P&amp;L'!T51</f>
        <v>60610577</v>
      </c>
      <c r="V60" s="113">
        <f>'Federal P&amp;L'!U74+'State and Local P&amp;L'!U51</f>
        <v>64814722</v>
      </c>
      <c r="W60" s="113">
        <f>'Federal P&amp;L'!V74+'State and Local P&amp;L'!V51</f>
        <v>70627588</v>
      </c>
      <c r="X60" s="113">
        <f>'Federal P&amp;L'!W74+'State and Local P&amp;L'!W51</f>
        <v>75847954</v>
      </c>
      <c r="Y60" s="113">
        <f>'Federal P&amp;L'!X74+'State and Local P&amp;L'!X51</f>
        <v>85795759</v>
      </c>
      <c r="Z60" s="113">
        <f>'Federal P&amp;L'!Y74+'State and Local P&amp;L'!Y51</f>
        <v>91282413</v>
      </c>
      <c r="AA60" s="113">
        <f>'Federal P&amp;L'!Z74+'State and Local P&amp;L'!Z51</f>
        <v>96971318</v>
      </c>
      <c r="AB60" s="113">
        <f>'Federal P&amp;L'!AA74+'State and Local P&amp;L'!AA51</f>
        <v>99801076</v>
      </c>
      <c r="AC60" s="113">
        <f>'Federal P&amp;L'!AB74+'State and Local P&amp;L'!AB51</f>
        <v>104238659</v>
      </c>
      <c r="AD60" s="113">
        <f>'Federal P&amp;L'!AC74+'State and Local P&amp;L'!AC51</f>
        <v>109834735</v>
      </c>
      <c r="AE60" s="113">
        <f>'Federal P&amp;L'!AD74+'State and Local P&amp;L'!AD51</f>
        <v>118339721</v>
      </c>
      <c r="AF60" s="113">
        <f>'Federal P&amp;L'!AE74+'State and Local P&amp;L'!AE51</f>
        <v>123135261</v>
      </c>
      <c r="AG60" s="113">
        <f>'Federal P&amp;L'!AF74+'State and Local P&amp;L'!AF51</f>
        <v>129767671</v>
      </c>
      <c r="AH60" s="113">
        <f>'Federal P&amp;L'!AG74+'State and Local P&amp;L'!AG51</f>
        <v>130589437</v>
      </c>
      <c r="AI60" s="113">
        <f>'Federal P&amp;L'!AH74+'State and Local P&amp;L'!AH51</f>
        <v>131469898</v>
      </c>
      <c r="AJ60" s="113">
        <f>'Federal P&amp;L'!AI74+'State and Local P&amp;L'!AI51</f>
        <v>132189671</v>
      </c>
      <c r="AK60" s="113">
        <f>'Federal P&amp;L'!AJ74+'State and Local P&amp;L'!AJ51</f>
        <v>133234631</v>
      </c>
    </row>
    <row r="61" spans="1:37" outlineLevel="3">
      <c r="A61" s="22" t="str">
        <f>B59</f>
        <v>Health (excludes Medicaid/Medicare)</v>
      </c>
      <c r="B61" s="28" t="s">
        <v>245</v>
      </c>
      <c r="C61" s="113">
        <f>'Federal P&amp;L'!B75+'State and Local P&amp;L'!B52</f>
        <v>5351753</v>
      </c>
      <c r="D61" s="113">
        <f>'Federal P&amp;L'!C75+'State and Local P&amp;L'!C52</f>
        <v>4607346</v>
      </c>
      <c r="E61" s="113">
        <f>'Federal P&amp;L'!D75+'State and Local P&amp;L'!D52</f>
        <v>5574218</v>
      </c>
      <c r="F61" s="113">
        <f>'Federal P&amp;L'!E75+'State and Local P&amp;L'!E52</f>
        <v>6761092</v>
      </c>
      <c r="G61" s="113">
        <f>'Federal P&amp;L'!F75+'State and Local P&amp;L'!F52</f>
        <v>6563867</v>
      </c>
      <c r="H61" s="113">
        <f>'Federal P&amp;L'!G75+'State and Local P&amp;L'!G52</f>
        <v>7403874</v>
      </c>
      <c r="I61" s="113">
        <f>'Federal P&amp;L'!H75+'State and Local P&amp;L'!H52</f>
        <v>7508709</v>
      </c>
      <c r="J61" s="113">
        <f>'Federal P&amp;L'!I75+'State and Local P&amp;L'!I52</f>
        <v>7616632</v>
      </c>
      <c r="K61" s="113">
        <f>'Federal P&amp;L'!J75+'State and Local P&amp;L'!J52</f>
        <v>9170117</v>
      </c>
      <c r="L61" s="113">
        <f>'Federal P&amp;L'!K75+'State and Local P&amp;L'!K52</f>
        <v>9304547</v>
      </c>
      <c r="M61" s="113">
        <f>'Federal P&amp;L'!L75+'State and Local P&amp;L'!L52</f>
        <v>9348662</v>
      </c>
      <c r="N61" s="113">
        <f>'Federal P&amp;L'!M75+'State and Local P&amp;L'!M52</f>
        <v>9317039</v>
      </c>
      <c r="O61" s="113">
        <f>'Federal P&amp;L'!N75+'State and Local P&amp;L'!N52</f>
        <v>5197166</v>
      </c>
      <c r="P61" s="113">
        <f>'Federal P&amp;L'!O75+'State and Local P&amp;L'!O52</f>
        <v>5307117</v>
      </c>
      <c r="Q61" s="113">
        <f>'Federal P&amp;L'!P75+'State and Local P&amp;L'!P52</f>
        <v>3162092</v>
      </c>
      <c r="R61" s="113">
        <f>'Federal P&amp;L'!Q75+'State and Local P&amp;L'!Q52</f>
        <v>2873463</v>
      </c>
      <c r="S61" s="113">
        <f>'Federal P&amp;L'!R75+'State and Local P&amp;L'!R52</f>
        <v>2133253</v>
      </c>
      <c r="T61" s="113">
        <f>'Federal P&amp;L'!S75+'State and Local P&amp;L'!S52</f>
        <v>528439</v>
      </c>
      <c r="U61" s="113">
        <f>'Federal P&amp;L'!T75+'State and Local P&amp;L'!T52</f>
        <v>2113144</v>
      </c>
      <c r="V61" s="113">
        <f>'Federal P&amp;L'!U75+'State and Local P&amp;L'!U52</f>
        <v>2366035</v>
      </c>
      <c r="W61" s="113">
        <f>'Federal P&amp;L'!V75+'State and Local P&amp;L'!V52</f>
        <v>4107878</v>
      </c>
      <c r="X61" s="113">
        <f>'Federal P&amp;L'!W75+'State and Local P&amp;L'!W52</f>
        <v>2794936</v>
      </c>
      <c r="Y61" s="113">
        <f>'Federal P&amp;L'!X75+'State and Local P&amp;L'!X52</f>
        <v>3030344</v>
      </c>
      <c r="Z61" s="113">
        <f>'Federal P&amp;L'!Y75+'State and Local P&amp;L'!Y52</f>
        <v>3789804</v>
      </c>
      <c r="AA61" s="113">
        <f>'Federal P&amp;L'!Z75+'State and Local P&amp;L'!Z52</f>
        <v>4194421</v>
      </c>
      <c r="AB61" s="113">
        <f>'Federal P&amp;L'!AA75+'State and Local P&amp;L'!AA52</f>
        <v>4401601</v>
      </c>
      <c r="AC61" s="113">
        <f>'Federal P&amp;L'!AB75+'State and Local P&amp;L'!AB52</f>
        <v>6038929</v>
      </c>
      <c r="AD61" s="113">
        <f>'Federal P&amp;L'!AC75+'State and Local P&amp;L'!AC52</f>
        <v>8042441</v>
      </c>
      <c r="AE61" s="113">
        <f>'Federal P&amp;L'!AD75+'State and Local P&amp;L'!AD52</f>
        <v>14026845</v>
      </c>
      <c r="AF61" s="113">
        <f>'Federal P&amp;L'!AE75+'State and Local P&amp;L'!AE52</f>
        <v>15496568</v>
      </c>
      <c r="AG61" s="113">
        <f>'Federal P&amp;L'!AF75+'State and Local P&amp;L'!AF52</f>
        <v>13766138</v>
      </c>
      <c r="AH61" s="113">
        <f>'Federal P&amp;L'!AG75+'State and Local P&amp;L'!AG52</f>
        <v>18012376</v>
      </c>
      <c r="AI61" s="113">
        <f>'Federal P&amp;L'!AH75+'State and Local P&amp;L'!AH52</f>
        <v>17662596</v>
      </c>
      <c r="AJ61" s="113">
        <f>'Federal P&amp;L'!AI75+'State and Local P&amp;L'!AI52</f>
        <v>13112900</v>
      </c>
      <c r="AK61" s="113">
        <f>'Federal P&amp;L'!AJ75+'State and Local P&amp;L'!AJ52</f>
        <v>13426424</v>
      </c>
    </row>
    <row r="62" spans="1:37" outlineLevel="3">
      <c r="A62" s="22" t="str">
        <f>B61</f>
        <v>Other Medical Assistance to Persons (includes net spending by public hospitals)</v>
      </c>
      <c r="B62" s="29" t="s">
        <v>328</v>
      </c>
      <c r="C62" s="113">
        <f>+'State and Local P&amp;L'!B52</f>
        <v>5351753</v>
      </c>
      <c r="D62" s="113">
        <f>+'State and Local P&amp;L'!C52</f>
        <v>4607346</v>
      </c>
      <c r="E62" s="113">
        <f>+'State and Local P&amp;L'!D52</f>
        <v>5574218</v>
      </c>
      <c r="F62" s="113">
        <f>+'State and Local P&amp;L'!E52</f>
        <v>6761092</v>
      </c>
      <c r="G62" s="113">
        <f>+'State and Local P&amp;L'!F52</f>
        <v>6563867</v>
      </c>
      <c r="H62" s="113">
        <f>+'State and Local P&amp;L'!G52</f>
        <v>7403874</v>
      </c>
      <c r="I62" s="113">
        <f>+'State and Local P&amp;L'!H52</f>
        <v>7508709</v>
      </c>
      <c r="J62" s="113">
        <f>+'State and Local P&amp;L'!I52</f>
        <v>7616632</v>
      </c>
      <c r="K62" s="113">
        <f>+'State and Local P&amp;L'!J52</f>
        <v>9170117</v>
      </c>
      <c r="L62" s="113">
        <f>+'State and Local P&amp;L'!K52</f>
        <v>9304547</v>
      </c>
      <c r="M62" s="113">
        <f>+'State and Local P&amp;L'!L52</f>
        <v>9348662</v>
      </c>
      <c r="N62" s="113">
        <f>+'State and Local P&amp;L'!M52</f>
        <v>9317039</v>
      </c>
      <c r="O62" s="113">
        <f>+'State and Local P&amp;L'!N52</f>
        <v>5197166</v>
      </c>
      <c r="P62" s="113">
        <f>+'State and Local P&amp;L'!O52</f>
        <v>5146026</v>
      </c>
      <c r="Q62" s="113">
        <f>+'State and Local P&amp;L'!P52</f>
        <v>2876132</v>
      </c>
      <c r="R62" s="113">
        <f>+'State and Local P&amp;L'!Q52</f>
        <v>2537463</v>
      </c>
      <c r="S62" s="113">
        <f>+'State and Local P&amp;L'!R52</f>
        <v>1829253</v>
      </c>
      <c r="T62" s="113">
        <f>+'State and Local P&amp;L'!S52</f>
        <v>189439</v>
      </c>
      <c r="U62" s="113">
        <f>+'State and Local P&amp;L'!T52</f>
        <v>1773144</v>
      </c>
      <c r="V62" s="113">
        <f>+'State and Local P&amp;L'!U52</f>
        <v>2218035</v>
      </c>
      <c r="W62" s="113">
        <f>+'State and Local P&amp;L'!V52</f>
        <v>3952878</v>
      </c>
      <c r="X62" s="113">
        <f>+'State and Local P&amp;L'!W52</f>
        <v>2644936</v>
      </c>
      <c r="Y62" s="113">
        <f>+'State and Local P&amp;L'!X52</f>
        <v>2906344</v>
      </c>
      <c r="Z62" s="113">
        <f>+'State and Local P&amp;L'!Y52</f>
        <v>3599804</v>
      </c>
      <c r="AA62" s="113">
        <f>+'State and Local P&amp;L'!Z52</f>
        <v>4067421</v>
      </c>
      <c r="AB62" s="113">
        <f>+'State and Local P&amp;L'!AA52</f>
        <v>4276601</v>
      </c>
      <c r="AC62" s="113">
        <f>+'State and Local P&amp;L'!AB52</f>
        <v>5924929</v>
      </c>
      <c r="AD62" s="113">
        <f>+'State and Local P&amp;L'!AC52</f>
        <v>7993441</v>
      </c>
      <c r="AE62" s="113">
        <f>+'State and Local P&amp;L'!AD52</f>
        <v>14034845</v>
      </c>
      <c r="AF62" s="113">
        <f>+'State and Local P&amp;L'!AE52</f>
        <v>15441568</v>
      </c>
      <c r="AG62" s="113">
        <f>+'State and Local P&amp;L'!AF52</f>
        <v>13719138</v>
      </c>
      <c r="AH62" s="113">
        <f>+'State and Local P&amp;L'!AG52</f>
        <v>14597376</v>
      </c>
      <c r="AI62" s="113">
        <f>+'State and Local P&amp;L'!AH52</f>
        <v>14162596</v>
      </c>
      <c r="AJ62" s="113">
        <f>+'State and Local P&amp;L'!AI52</f>
        <v>10631900</v>
      </c>
      <c r="AK62" s="113">
        <f>+'State and Local P&amp;L'!AJ52</f>
        <v>12505424</v>
      </c>
    </row>
    <row r="63" spans="1:37" outlineLevel="3">
      <c r="A63" s="22" t="str">
        <f>B59</f>
        <v>Health (excludes Medicaid/Medicare)</v>
      </c>
      <c r="B63" s="28" t="s">
        <v>59</v>
      </c>
      <c r="C63" s="113">
        <f>'Federal P&amp;L'!B76+'Federal P&amp;L'!B77</f>
        <v>133080</v>
      </c>
      <c r="D63" s="113">
        <f>'Federal P&amp;L'!C76+'Federal P&amp;L'!C77</f>
        <v>233734</v>
      </c>
      <c r="E63" s="113">
        <f>'Federal P&amp;L'!D76+'Federal P&amp;L'!D77</f>
        <v>160125</v>
      </c>
      <c r="F63" s="113">
        <f>'Federal P&amp;L'!E76+'Federal P&amp;L'!E77</f>
        <v>137170</v>
      </c>
      <c r="G63" s="113">
        <f>'Federal P&amp;L'!F76+'Federal P&amp;L'!F77</f>
        <v>128402</v>
      </c>
      <c r="H63" s="113">
        <f>'Federal P&amp;L'!G76+'Federal P&amp;L'!G77</f>
        <v>78919</v>
      </c>
      <c r="I63" s="113">
        <f>'Federal P&amp;L'!H76+'Federal P&amp;L'!H77</f>
        <v>108961</v>
      </c>
      <c r="J63" s="113">
        <f>'Federal P&amp;L'!I76+'Federal P&amp;L'!I77</f>
        <v>137060</v>
      </c>
      <c r="K63" s="113">
        <f>'Federal P&amp;L'!J76+'Federal P&amp;L'!J77</f>
        <v>100495</v>
      </c>
      <c r="L63" s="113">
        <f>'Federal P&amp;L'!K76+'Federal P&amp;L'!K77</f>
        <v>116301</v>
      </c>
      <c r="M63" s="113">
        <f>'Federal P&amp;L'!L76+'Federal P&amp;L'!L77</f>
        <v>127905</v>
      </c>
      <c r="N63" s="113">
        <f>'Federal P&amp;L'!M76+'Federal P&amp;L'!M77</f>
        <v>164264</v>
      </c>
      <c r="O63" s="113">
        <f>'Federal P&amp;L'!N76+'Federal P&amp;L'!N77</f>
        <v>-12900</v>
      </c>
      <c r="P63" s="113">
        <f>'Federal P&amp;L'!O76+'Federal P&amp;L'!O77</f>
        <v>152304</v>
      </c>
      <c r="Q63" s="113">
        <f>'Federal P&amp;L'!P76+'Federal P&amp;L'!P77</f>
        <v>40871</v>
      </c>
      <c r="R63" s="113">
        <f>'Federal P&amp;L'!Q76+'Federal P&amp;L'!Q77</f>
        <v>262000</v>
      </c>
      <c r="S63" s="113">
        <f>'Federal P&amp;L'!R76+'Federal P&amp;L'!R77</f>
        <v>167000</v>
      </c>
      <c r="T63" s="113">
        <f>'Federal P&amp;L'!S76+'Federal P&amp;L'!S77</f>
        <v>194000</v>
      </c>
      <c r="U63" s="113">
        <f>'Federal P&amp;L'!T76+'Federal P&amp;L'!T77</f>
        <v>222000</v>
      </c>
      <c r="V63" s="113">
        <f>'Federal P&amp;L'!U76+'Federal P&amp;L'!U77</f>
        <v>349000</v>
      </c>
      <c r="W63" s="113">
        <f>'Federal P&amp;L'!V76+'Federal P&amp;L'!V77</f>
        <v>508000</v>
      </c>
      <c r="X63" s="113">
        <f>'Federal P&amp;L'!W76+'Federal P&amp;L'!W77</f>
        <v>446000</v>
      </c>
      <c r="Y63" s="113">
        <f>'Federal P&amp;L'!X76+'Federal P&amp;L'!X77</f>
        <v>744000</v>
      </c>
      <c r="Z63" s="113">
        <f>'Federal P&amp;L'!Y76+'Federal P&amp;L'!Y77</f>
        <v>554000</v>
      </c>
      <c r="AA63" s="113">
        <f>'Federal P&amp;L'!Z76+'Federal P&amp;L'!Z77</f>
        <v>521000</v>
      </c>
      <c r="AB63" s="113">
        <f>'Federal P&amp;L'!AA76+'Federal P&amp;L'!AA77</f>
        <v>660000</v>
      </c>
      <c r="AC63" s="113">
        <f>'Federal P&amp;L'!AB76+'Federal P&amp;L'!AB77</f>
        <v>260000</v>
      </c>
      <c r="AD63" s="113">
        <f>'Federal P&amp;L'!AC76+'Federal P&amp;L'!AC77</f>
        <v>413000</v>
      </c>
      <c r="AE63" s="113">
        <f>'Federal P&amp;L'!AD76+'Federal P&amp;L'!AD77</f>
        <v>326000</v>
      </c>
      <c r="AF63" s="113">
        <f>'Federal P&amp;L'!AE76+'Federal P&amp;L'!AE77</f>
        <v>97000</v>
      </c>
      <c r="AG63" s="113">
        <f>'Federal P&amp;L'!AF76+'Federal P&amp;L'!AF77</f>
        <v>383000</v>
      </c>
      <c r="AH63" s="113">
        <f>'Federal P&amp;L'!AG76+'Federal P&amp;L'!AG77</f>
        <v>922000</v>
      </c>
      <c r="AI63" s="113">
        <f>'Federal P&amp;L'!AH76+'Federal P&amp;L'!AH77</f>
        <v>1322000</v>
      </c>
      <c r="AJ63" s="113">
        <f>'Federal P&amp;L'!AI76+'Federal P&amp;L'!AI77</f>
        <v>1615000</v>
      </c>
      <c r="AK63" s="113">
        <f>'Federal P&amp;L'!AJ76+'Federal P&amp;L'!AJ77</f>
        <v>2655000</v>
      </c>
    </row>
    <row r="64" spans="1:37" outlineLevel="2">
      <c r="A64" s="22" t="str">
        <f>B48</f>
        <v>Promote the General Welfare</v>
      </c>
      <c r="B64" s="27" t="s">
        <v>39</v>
      </c>
      <c r="C64" s="113">
        <f>'Federal P&amp;L'!B78+'State and Local P&amp;L'!B53</f>
        <v>82840243</v>
      </c>
      <c r="D64" s="113">
        <f>'Federal P&amp;L'!C78+'State and Local P&amp;L'!C53</f>
        <v>94895085</v>
      </c>
      <c r="E64" s="113">
        <f>'Federal P&amp;L'!D78+'State and Local P&amp;L'!D53</f>
        <v>101517192</v>
      </c>
      <c r="F64" s="113">
        <f>'Federal P&amp;L'!E78+'State and Local P&amp;L'!E53</f>
        <v>115775600</v>
      </c>
      <c r="G64" s="113">
        <f>'Federal P&amp;L'!F78+'State and Local P&amp;L'!F53</f>
        <v>107984000</v>
      </c>
      <c r="H64" s="113">
        <f>'Federal P&amp;L'!G78+'State and Local P&amp;L'!G53</f>
        <v>126165362</v>
      </c>
      <c r="I64" s="113">
        <f>'Federal P&amp;L'!H78+'State and Local P&amp;L'!H53</f>
        <v>118489064</v>
      </c>
      <c r="J64" s="113">
        <f>'Federal P&amp;L'!I78+'State and Local P&amp;L'!I53</f>
        <v>123580640</v>
      </c>
      <c r="K64" s="113">
        <f>'Federal P&amp;L'!J78+'State and Local P&amp;L'!J53</f>
        <v>131944801</v>
      </c>
      <c r="L64" s="113">
        <f>'Federal P&amp;L'!K78+'State and Local P&amp;L'!K53</f>
        <v>143677690</v>
      </c>
      <c r="M64" s="113">
        <f>'Federal P&amp;L'!L78+'State and Local P&amp;L'!L53</f>
        <v>160669534</v>
      </c>
      <c r="N64" s="113">
        <f>'Federal P&amp;L'!M78+'State and Local P&amp;L'!M53</f>
        <v>195199426</v>
      </c>
      <c r="O64" s="113">
        <f>'Federal P&amp;L'!N78+'State and Local P&amp;L'!N53</f>
        <v>259112867</v>
      </c>
      <c r="P64" s="113">
        <f>'Federal P&amp;L'!O78+'State and Local P&amp;L'!O53</f>
        <v>278027949</v>
      </c>
      <c r="Q64" s="113">
        <f>'Federal P&amp;L'!P78+'State and Local P&amp;L'!P53</f>
        <v>288418025</v>
      </c>
      <c r="R64" s="113">
        <f>'Federal P&amp;L'!Q78+'State and Local P&amp;L'!Q53</f>
        <v>299347359</v>
      </c>
      <c r="S64" s="113">
        <f>'Federal P&amp;L'!R78+'State and Local P&amp;L'!R53</f>
        <v>304433213</v>
      </c>
      <c r="T64" s="113">
        <f>'Federal P&amp;L'!S78+'State and Local P&amp;L'!S53</f>
        <v>310435531</v>
      </c>
      <c r="U64" s="113">
        <f>'Federal P&amp;L'!T78+'State and Local P&amp;L'!T53</f>
        <v>309634189</v>
      </c>
      <c r="V64" s="113">
        <f>'Federal P&amp;L'!U78+'State and Local P&amp;L'!U53</f>
        <v>318655277</v>
      </c>
      <c r="W64" s="113">
        <f>'Federal P&amp;L'!V78+'State and Local P&amp;L'!V53</f>
        <v>340187263</v>
      </c>
      <c r="X64" s="113">
        <f>'Federal P&amp;L'!W78+'State and Local P&amp;L'!W53</f>
        <v>367561765</v>
      </c>
      <c r="Y64" s="113">
        <f>'Federal P&amp;L'!X78+'State and Local P&amp;L'!X53</f>
        <v>428865264</v>
      </c>
      <c r="Z64" s="113">
        <f>'Federal P&amp;L'!Y78+'State and Local P&amp;L'!Y53</f>
        <v>471128904</v>
      </c>
      <c r="AA64" s="113">
        <f>'Federal P&amp;L'!Z78+'State and Local P&amp;L'!Z53</f>
        <v>499829195</v>
      </c>
      <c r="AB64" s="113">
        <f>'Federal P&amp;L'!AA78+'State and Local P&amp;L'!AA53</f>
        <v>534218952</v>
      </c>
      <c r="AC64" s="113">
        <f>'Federal P&amp;L'!AB78+'State and Local P&amp;L'!AB53</f>
        <v>536247306</v>
      </c>
      <c r="AD64" s="113">
        <f>'Federal P&amp;L'!AC78+'State and Local P&amp;L'!AC53</f>
        <v>562897437</v>
      </c>
      <c r="AE64" s="113">
        <f>'Federal P&amp;L'!AD78+'State and Local P&amp;L'!AD53</f>
        <v>638326617</v>
      </c>
      <c r="AF64" s="113">
        <f>'Federal P&amp;L'!AE78+'State and Local P&amp;L'!AE53</f>
        <v>754870488</v>
      </c>
      <c r="AG64" s="113">
        <f>'Federal P&amp;L'!AF78+'State and Local P&amp;L'!AF53</f>
        <v>880793849</v>
      </c>
      <c r="AH64" s="113">
        <f>'Federal P&amp;L'!AG78+'State and Local P&amp;L'!AG53</f>
        <v>891046697</v>
      </c>
      <c r="AI64" s="113">
        <f>'Federal P&amp;L'!AH78+'State and Local P&amp;L'!AH53</f>
        <v>841592571</v>
      </c>
      <c r="AJ64" s="113">
        <f>'Federal P&amp;L'!AI78+'State and Local P&amp;L'!AI53</f>
        <v>852562594</v>
      </c>
      <c r="AK64" s="113">
        <f>'Federal P&amp;L'!AJ78+'State and Local P&amp;L'!AJ53</f>
        <v>861871646</v>
      </c>
    </row>
    <row r="65" spans="1:37" outlineLevel="3">
      <c r="A65" s="22" t="str">
        <f>B64</f>
        <v>Standard of Living and Aid to the Disadvantaged</v>
      </c>
      <c r="B65" s="28" t="s">
        <v>60</v>
      </c>
      <c r="C65" s="113">
        <f>'Federal P&amp;L'!B79+'State and Local P&amp;L'!B54</f>
        <v>20598633</v>
      </c>
      <c r="D65" s="113">
        <f>'Federal P&amp;L'!C79+'State and Local P&amp;L'!C54</f>
        <v>22899625</v>
      </c>
      <c r="E65" s="113">
        <f>'Federal P&amp;L'!D79+'State and Local P&amp;L'!D54</f>
        <v>23671895</v>
      </c>
      <c r="F65" s="113">
        <f>'Federal P&amp;L'!E79+'State and Local P&amp;L'!E54</f>
        <v>25836854</v>
      </c>
      <c r="G65" s="113">
        <f>'Federal P&amp;L'!F79+'State and Local P&amp;L'!F54</f>
        <v>26458051</v>
      </c>
      <c r="H65" s="113">
        <f>'Federal P&amp;L'!G79+'State and Local P&amp;L'!G54</f>
        <v>28129240</v>
      </c>
      <c r="I65" s="113">
        <f>'Federal P&amp;L'!H79+'State and Local P&amp;L'!H54</f>
        <v>30636854</v>
      </c>
      <c r="J65" s="113">
        <f>'Federal P&amp;L'!I79+'State and Local P&amp;L'!I54</f>
        <v>31823080</v>
      </c>
      <c r="K65" s="113">
        <f>'Federal P&amp;L'!J79+'State and Local P&amp;L'!J54</f>
        <v>34935365</v>
      </c>
      <c r="L65" s="113">
        <f>'Federal P&amp;L'!K79+'State and Local P&amp;L'!K54</f>
        <v>37309262</v>
      </c>
      <c r="M65" s="113">
        <f>'Federal P&amp;L'!L79+'State and Local P&amp;L'!L54</f>
        <v>39268312</v>
      </c>
      <c r="N65" s="113">
        <f>'Federal P&amp;L'!M79+'State and Local P&amp;L'!M54</f>
        <v>45772316</v>
      </c>
      <c r="O65" s="113">
        <f>'Federal P&amp;L'!N79+'State and Local P&amp;L'!N54</f>
        <v>53448797</v>
      </c>
      <c r="P65" s="113">
        <f>'Federal P&amp;L'!O79+'State and Local P&amp;L'!O54</f>
        <v>59172920</v>
      </c>
      <c r="Q65" s="113">
        <f>'Federal P&amp;L'!P79+'State and Local P&amp;L'!P54</f>
        <v>64790031</v>
      </c>
      <c r="R65" s="113">
        <f>'Federal P&amp;L'!Q79+'State and Local P&amp;L'!Q54</f>
        <v>69652857</v>
      </c>
      <c r="S65" s="113">
        <f>'Federal P&amp;L'!R79+'State and Local P&amp;L'!R54</f>
        <v>71023236</v>
      </c>
      <c r="T65" s="113">
        <f>'Federal P&amp;L'!S79+'State and Local P&amp;L'!S54</f>
        <v>74049265</v>
      </c>
      <c r="U65" s="113">
        <f>'Federal P&amp;L'!T79+'State and Local P&amp;L'!T54</f>
        <v>73891581</v>
      </c>
      <c r="V65" s="113">
        <f>'Federal P&amp;L'!U79+'State and Local P&amp;L'!U54</f>
        <v>76780391</v>
      </c>
      <c r="W65" s="113">
        <f>'Federal P&amp;L'!V79+'State and Local P&amp;L'!V54</f>
        <v>79537502</v>
      </c>
      <c r="X65" s="113">
        <f>'Federal P&amp;L'!W79+'State and Local P&amp;L'!W54</f>
        <v>75827467</v>
      </c>
      <c r="Y65" s="113">
        <f>'Federal P&amp;L'!X79+'State and Local P&amp;L'!X54</f>
        <v>84287300</v>
      </c>
      <c r="Z65" s="113">
        <f>'Federal P&amp;L'!Y79+'State and Local P&amp;L'!Y54</f>
        <v>92201581</v>
      </c>
      <c r="AA65" s="113">
        <f>'Federal P&amp;L'!Z79+'State and Local P&amp;L'!Z54</f>
        <v>97342725</v>
      </c>
      <c r="AB65" s="113">
        <f>'Federal P&amp;L'!AA79+'State and Local P&amp;L'!AA54</f>
        <v>107264556</v>
      </c>
      <c r="AC65" s="113">
        <f>'Federal P&amp;L'!AB79+'State and Local P&amp;L'!AB54</f>
        <v>108732742</v>
      </c>
      <c r="AD65" s="113">
        <f>'Federal P&amp;L'!AC79+'State and Local P&amp;L'!AC54</f>
        <v>110173640</v>
      </c>
      <c r="AE65" s="113">
        <f>'Federal P&amp;L'!AD79+'State and Local P&amp;L'!AD54</f>
        <v>149999632</v>
      </c>
      <c r="AF65" s="113">
        <f>'Federal P&amp;L'!AE79+'State and Local P&amp;L'!AE54</f>
        <v>135910056</v>
      </c>
      <c r="AG65" s="113">
        <f>'Federal P&amp;L'!AF79+'State and Local P&amp;L'!AF54</f>
        <v>161392938</v>
      </c>
      <c r="AH65" s="113">
        <f>'Federal P&amp;L'!AG79+'State and Local P&amp;L'!AG54</f>
        <v>169260302</v>
      </c>
      <c r="AI65" s="113">
        <f>'Federal P&amp;L'!AH79+'State and Local P&amp;L'!AH54</f>
        <v>148370411</v>
      </c>
      <c r="AJ65" s="113">
        <f>'Federal P&amp;L'!AI79+'State and Local P&amp;L'!AI54</f>
        <v>156246769</v>
      </c>
      <c r="AK65" s="113">
        <f>'Federal P&amp;L'!AJ79+'State and Local P&amp;L'!AJ54</f>
        <v>160801152</v>
      </c>
    </row>
    <row r="66" spans="1:37" outlineLevel="3">
      <c r="A66" s="22" t="str">
        <f>B64</f>
        <v>Standard of Living and Aid to the Disadvantaged</v>
      </c>
      <c r="B66" s="28" t="s">
        <v>61</v>
      </c>
      <c r="C66" s="113">
        <f>'Federal P&amp;L'!B86+'State and Local P&amp;L'!B55</f>
        <v>42128961</v>
      </c>
      <c r="D66" s="113">
        <f>'Federal P&amp;L'!C86+'State and Local P&amp;L'!C55</f>
        <v>50116423</v>
      </c>
      <c r="E66" s="113">
        <f>'Federal P&amp;L'!D86+'State and Local P&amp;L'!D55</f>
        <v>52074894</v>
      </c>
      <c r="F66" s="113">
        <f>'Federal P&amp;L'!E86+'State and Local P&amp;L'!E55</f>
        <v>56461728</v>
      </c>
      <c r="G66" s="113">
        <f>'Federal P&amp;L'!F86+'State and Local P&amp;L'!F55</f>
        <v>60925913</v>
      </c>
      <c r="H66" s="113">
        <f>'Federal P&amp;L'!G86+'State and Local P&amp;L'!G55</f>
        <v>78224779</v>
      </c>
      <c r="I66" s="113">
        <f>'Federal P&amp;L'!H86+'State and Local P&amp;L'!H55</f>
        <v>67685715</v>
      </c>
      <c r="J66" s="113">
        <f>'Federal P&amp;L'!I86+'State and Local P&amp;L'!I55</f>
        <v>72188919</v>
      </c>
      <c r="K66" s="113">
        <f>'Federal P&amp;L'!J86+'State and Local P&amp;L'!J55</f>
        <v>79151824</v>
      </c>
      <c r="L66" s="113">
        <f>'Federal P&amp;L'!K86+'State and Local P&amp;L'!K55</f>
        <v>88148128</v>
      </c>
      <c r="M66" s="113">
        <f>'Federal P&amp;L'!L86+'State and Local P&amp;L'!L55</f>
        <v>99719463</v>
      </c>
      <c r="N66" s="113">
        <f>'Federal P&amp;L'!M86+'State and Local P&amp;L'!M55</f>
        <v>119455395</v>
      </c>
      <c r="O66" s="113">
        <f>'Federal P&amp;L'!N86+'State and Local P&amp;L'!N55</f>
        <v>162866017</v>
      </c>
      <c r="P66" s="113">
        <f>'Federal P&amp;L'!O86+'State and Local P&amp;L'!O55</f>
        <v>177223191</v>
      </c>
      <c r="Q66" s="113">
        <f>'Federal P&amp;L'!P86+'State and Local P&amp;L'!P55</f>
        <v>190827852</v>
      </c>
      <c r="R66" s="113">
        <f>'Federal P&amp;L'!Q86+'State and Local P&amp;L'!Q55</f>
        <v>202203488</v>
      </c>
      <c r="S66" s="113">
        <f>'Federal P&amp;L'!R86+'State and Local P&amp;L'!R55</f>
        <v>204790366</v>
      </c>
      <c r="T66" s="113">
        <f>'Federal P&amp;L'!S86+'State and Local P&amp;L'!S55</f>
        <v>209613231</v>
      </c>
      <c r="U66" s="113">
        <f>'Federal P&amp;L'!T86+'State and Local P&amp;L'!T55</f>
        <v>209558425</v>
      </c>
      <c r="V66" s="113">
        <f>'Federal P&amp;L'!U86+'State and Local P&amp;L'!U55</f>
        <v>214403539</v>
      </c>
      <c r="W66" s="113">
        <f>'Federal P&amp;L'!V86+'State and Local P&amp;L'!V55</f>
        <v>233562096</v>
      </c>
      <c r="X66" s="113">
        <f>'Federal P&amp;L'!W86+'State and Local P&amp;L'!W55</f>
        <v>257130468</v>
      </c>
      <c r="Y66" s="113">
        <f>'Federal P&amp;L'!X86+'State and Local P&amp;L'!X55</f>
        <v>286395834</v>
      </c>
      <c r="Z66" s="113">
        <f>'Federal P&amp;L'!Y86+'State and Local P&amp;L'!Y55</f>
        <v>316376273</v>
      </c>
      <c r="AA66" s="113">
        <f>'Federal P&amp;L'!Z86+'State and Local P&amp;L'!Z55</f>
        <v>352730844</v>
      </c>
      <c r="AB66" s="113">
        <f>'Federal P&amp;L'!AA86+'State and Local P&amp;L'!AA55</f>
        <v>387152851</v>
      </c>
      <c r="AC66" s="113">
        <f>'Federal P&amp;L'!AB86+'State and Local P&amp;L'!AB55</f>
        <v>389632471</v>
      </c>
      <c r="AD66" s="113">
        <f>'Federal P&amp;L'!AC86+'State and Local P&amp;L'!AC55</f>
        <v>412667893</v>
      </c>
      <c r="AE66" s="113">
        <f>'Federal P&amp;L'!AD86+'State and Local P&amp;L'!AD55</f>
        <v>438101162</v>
      </c>
      <c r="AF66" s="113">
        <f>'Federal P&amp;L'!AE86+'State and Local P&amp;L'!AE55</f>
        <v>491537524</v>
      </c>
      <c r="AG66" s="113">
        <f>'Federal P&amp;L'!AF86+'State and Local P&amp;L'!AF55</f>
        <v>553408191</v>
      </c>
      <c r="AH66" s="113">
        <f>'Federal P&amp;L'!AG86+'State and Local P&amp;L'!AG55</f>
        <v>595407538</v>
      </c>
      <c r="AI66" s="113">
        <f>'Federal P&amp;L'!AH86+'State and Local P&amp;L'!AH55</f>
        <v>591468018</v>
      </c>
      <c r="AJ66" s="113">
        <f>'Federal P&amp;L'!AI86+'State and Local P&amp;L'!AI55</f>
        <v>620035988</v>
      </c>
      <c r="AK66" s="113">
        <f>'Federal P&amp;L'!AJ86+'State and Local P&amp;L'!AJ55</f>
        <v>650157465</v>
      </c>
    </row>
    <row r="67" spans="1:37" outlineLevel="3">
      <c r="A67" s="22" t="str">
        <f>B64</f>
        <v>Standard of Living and Aid to the Disadvantaged</v>
      </c>
      <c r="B67" s="28" t="s">
        <v>306</v>
      </c>
      <c r="C67" s="113">
        <f>'Federal P&amp;L'!B94+'State and Local P&amp;L'!B59</f>
        <v>18921911</v>
      </c>
      <c r="D67" s="113">
        <f>'Federal P&amp;L'!C94+'State and Local P&amp;L'!C59</f>
        <v>20617416</v>
      </c>
      <c r="E67" s="113">
        <f>'Federal P&amp;L'!D94+'State and Local P&amp;L'!D59</f>
        <v>24627613</v>
      </c>
      <c r="F67" s="113">
        <f>'Federal P&amp;L'!E94+'State and Local P&amp;L'!E59</f>
        <v>32466849</v>
      </c>
      <c r="G67" s="113">
        <f>'Federal P&amp;L'!F94+'State and Local P&amp;L'!F59</f>
        <v>19593739</v>
      </c>
      <c r="H67" s="113">
        <f>'Federal P&amp;L'!G94+'State and Local P&amp;L'!G59</f>
        <v>18832869</v>
      </c>
      <c r="I67" s="113">
        <f>'Federal P&amp;L'!H94+'State and Local P&amp;L'!H59</f>
        <v>19183040</v>
      </c>
      <c r="J67" s="113">
        <f>'Federal P&amp;L'!I94+'State and Local P&amp;L'!I59</f>
        <v>18557712</v>
      </c>
      <c r="K67" s="113">
        <f>'Federal P&amp;L'!J94+'State and Local P&amp;L'!J59</f>
        <v>16730074</v>
      </c>
      <c r="L67" s="113">
        <f>'Federal P&amp;L'!K94+'State and Local P&amp;L'!K59</f>
        <v>17092460</v>
      </c>
      <c r="M67" s="113">
        <f>'Federal P&amp;L'!L94+'State and Local P&amp;L'!L59</f>
        <v>20478906</v>
      </c>
      <c r="N67" s="113">
        <f>'Federal P&amp;L'!M94+'State and Local P&amp;L'!M59</f>
        <v>28719026</v>
      </c>
      <c r="O67" s="113">
        <f>'Federal P&amp;L'!N94+'State and Local P&amp;L'!N59</f>
        <v>41439275</v>
      </c>
      <c r="P67" s="113">
        <f>'Federal P&amp;L'!O94+'State and Local P&amp;L'!O59</f>
        <v>40175290</v>
      </c>
      <c r="Q67" s="113">
        <f>'Federal P&amp;L'!P94+'State and Local P&amp;L'!P59</f>
        <v>31292998</v>
      </c>
      <c r="R67" s="113">
        <f>'Federal P&amp;L'!Q94+'State and Local P&amp;L'!Q59</f>
        <v>25928014</v>
      </c>
      <c r="S67" s="113">
        <f>'Federal P&amp;L'!R94+'State and Local P&amp;L'!R59</f>
        <v>27129611</v>
      </c>
      <c r="T67" s="113">
        <f>'Federal P&amp;L'!S94+'State and Local P&amp;L'!S59</f>
        <v>25206035</v>
      </c>
      <c r="U67" s="113">
        <f>'Federal P&amp;L'!T94+'State and Local P&amp;L'!T59</f>
        <v>24384183</v>
      </c>
      <c r="V67" s="113">
        <f>'Federal P&amp;L'!U94+'State and Local P&amp;L'!U59</f>
        <v>25668347</v>
      </c>
      <c r="W67" s="113">
        <f>'Federal P&amp;L'!V94+'State and Local P&amp;L'!V59</f>
        <v>25227665</v>
      </c>
      <c r="X67" s="113">
        <f>'Federal P&amp;L'!W94+'State and Local P&amp;L'!W59</f>
        <v>32668830</v>
      </c>
      <c r="Y67" s="113">
        <f>'Federal P&amp;L'!X94+'State and Local P&amp;L'!X59</f>
        <v>55995130</v>
      </c>
      <c r="Z67" s="113">
        <f>'Federal P&amp;L'!Y94+'State and Local P&amp;L'!Y59</f>
        <v>60323050</v>
      </c>
      <c r="AA67" s="113">
        <f>'Federal P&amp;L'!Z94+'State and Local P&amp;L'!Z59</f>
        <v>47451626</v>
      </c>
      <c r="AB67" s="113">
        <f>'Federal P&amp;L'!AA94+'State and Local P&amp;L'!AA59</f>
        <v>37274545</v>
      </c>
      <c r="AC67" s="113">
        <f>'Federal P&amp;L'!AB94+'State and Local P&amp;L'!AB59</f>
        <v>36530093</v>
      </c>
      <c r="AD67" s="113">
        <f>'Federal P&amp;L'!AC94+'State and Local P&amp;L'!AC59</f>
        <v>37316904</v>
      </c>
      <c r="AE67" s="113">
        <f>'Federal P&amp;L'!AD94+'State and Local P&amp;L'!AD59</f>
        <v>47565823</v>
      </c>
      <c r="AF67" s="113">
        <f>'Federal P&amp;L'!AE94+'State and Local P&amp;L'!AE59</f>
        <v>124259908</v>
      </c>
      <c r="AG67" s="113">
        <f>'Federal P&amp;L'!AF94+'State and Local P&amp;L'!AF59</f>
        <v>161706720</v>
      </c>
      <c r="AH67" s="113">
        <f>'Federal P&amp;L'!AG94+'State and Local P&amp;L'!AG59</f>
        <v>121858857</v>
      </c>
      <c r="AI67" s="113">
        <f>'Federal P&amp;L'!AH94+'State and Local P&amp;L'!AH59</f>
        <v>97757142</v>
      </c>
      <c r="AJ67" s="113">
        <f>'Federal P&amp;L'!AI94+'State and Local P&amp;L'!AI59</f>
        <v>73052837</v>
      </c>
      <c r="AK67" s="113">
        <f>'Federal P&amp;L'!AJ94+'State and Local P&amp;L'!AJ59</f>
        <v>48146029</v>
      </c>
    </row>
    <row r="68" spans="1:37" outlineLevel="3">
      <c r="A68" s="22" t="str">
        <f>B64</f>
        <v>Standard of Living and Aid to the Disadvantaged</v>
      </c>
      <c r="B68" s="28" t="s">
        <v>62</v>
      </c>
      <c r="C68" s="113">
        <f>'Federal P&amp;L'!B95</f>
        <v>1190738</v>
      </c>
      <c r="D68" s="113">
        <f>'Federal P&amp;L'!C95</f>
        <v>1261621</v>
      </c>
      <c r="E68" s="113">
        <f>'Federal P&amp;L'!D95</f>
        <v>1142790</v>
      </c>
      <c r="F68" s="113">
        <f>'Federal P&amp;L'!E95</f>
        <v>1010169</v>
      </c>
      <c r="G68" s="113">
        <f>'Federal P&amp;L'!F95</f>
        <v>1006297</v>
      </c>
      <c r="H68" s="113">
        <f>'Federal P&amp;L'!G95</f>
        <v>978474</v>
      </c>
      <c r="I68" s="113">
        <f>'Federal P&amp;L'!H95</f>
        <v>983455</v>
      </c>
      <c r="J68" s="113">
        <f>'Federal P&amp;L'!I95</f>
        <v>1010929</v>
      </c>
      <c r="K68" s="113">
        <f>'Federal P&amp;L'!J95</f>
        <v>1127538</v>
      </c>
      <c r="L68" s="113">
        <f>'Federal P&amp;L'!K95</f>
        <v>1127840</v>
      </c>
      <c r="M68" s="113">
        <f>'Federal P&amp;L'!L95</f>
        <v>1202853</v>
      </c>
      <c r="N68" s="113">
        <f>'Federal P&amp;L'!M95</f>
        <v>1252689</v>
      </c>
      <c r="O68" s="113">
        <f>'Federal P&amp;L'!N95</f>
        <v>1358778</v>
      </c>
      <c r="P68" s="113">
        <f>'Federal P&amp;L'!O95</f>
        <v>1456548</v>
      </c>
      <c r="Q68" s="113">
        <f>'Federal P&amp;L'!P95</f>
        <v>1507144</v>
      </c>
      <c r="R68" s="113">
        <f>'Federal P&amp;L'!Q95</f>
        <v>1563000</v>
      </c>
      <c r="S68" s="113">
        <f>'Federal P&amp;L'!R95</f>
        <v>1490000</v>
      </c>
      <c r="T68" s="113">
        <f>'Federal P&amp;L'!S95</f>
        <v>1567000</v>
      </c>
      <c r="U68" s="113">
        <f>'Federal P&amp;L'!T95</f>
        <v>1800000</v>
      </c>
      <c r="V68" s="113">
        <f>'Federal P&amp;L'!U95</f>
        <v>1803000</v>
      </c>
      <c r="W68" s="113">
        <f>'Federal P&amp;L'!V95</f>
        <v>1860000</v>
      </c>
      <c r="X68" s="113">
        <f>'Federal P&amp;L'!W95</f>
        <v>1935000</v>
      </c>
      <c r="Y68" s="113">
        <f>'Federal P&amp;L'!X95</f>
        <v>2187000</v>
      </c>
      <c r="Z68" s="113">
        <f>'Federal P&amp;L'!Y95</f>
        <v>2228000</v>
      </c>
      <c r="AA68" s="113">
        <f>'Federal P&amp;L'!Z95</f>
        <v>2304000</v>
      </c>
      <c r="AB68" s="113">
        <f>'Federal P&amp;L'!AA95</f>
        <v>2527000</v>
      </c>
      <c r="AC68" s="113">
        <f>'Federal P&amp;L'!AB95</f>
        <v>1352000</v>
      </c>
      <c r="AD68" s="113">
        <f>'Federal P&amp;L'!AC95</f>
        <v>2739000</v>
      </c>
      <c r="AE68" s="113">
        <f>'Federal P&amp;L'!AD95</f>
        <v>2660000</v>
      </c>
      <c r="AF68" s="113">
        <f>'Federal P&amp;L'!AE95</f>
        <v>2452000</v>
      </c>
      <c r="AG68" s="113">
        <f>'Federal P&amp;L'!AF95</f>
        <v>3206000</v>
      </c>
      <c r="AH68" s="113">
        <f>'Federal P&amp;L'!AG95</f>
        <v>3342000</v>
      </c>
      <c r="AI68" s="113">
        <f>'Federal P&amp;L'!AH95</f>
        <v>3016000</v>
      </c>
      <c r="AJ68" s="113">
        <f>'Federal P&amp;L'!AI95</f>
        <v>2915000</v>
      </c>
      <c r="AK68" s="113">
        <f>'Federal P&amp;L'!AJ95</f>
        <v>2642000</v>
      </c>
    </row>
    <row r="69" spans="1:37" outlineLevel="3">
      <c r="A69" s="22" t="str">
        <f>B64</f>
        <v>Standard of Living and Aid to the Disadvantaged</v>
      </c>
      <c r="B69" s="28" t="s">
        <v>63</v>
      </c>
      <c r="C69" s="113">
        <f>'Federal P&amp;L'!B96</f>
        <v>0</v>
      </c>
      <c r="D69" s="113">
        <f>'Federal P&amp;L'!C96</f>
        <v>0</v>
      </c>
      <c r="E69" s="113">
        <f>'Federal P&amp;L'!D96</f>
        <v>0</v>
      </c>
      <c r="F69" s="113">
        <f>'Federal P&amp;L'!E96</f>
        <v>0</v>
      </c>
      <c r="G69" s="113">
        <f>'Federal P&amp;L'!F96</f>
        <v>0</v>
      </c>
      <c r="H69" s="113">
        <f>'Federal P&amp;L'!G96</f>
        <v>0</v>
      </c>
      <c r="I69" s="113">
        <f>'Federal P&amp;L'!H96</f>
        <v>0</v>
      </c>
      <c r="J69" s="113">
        <f>'Federal P&amp;L'!I96</f>
        <v>0</v>
      </c>
      <c r="K69" s="113">
        <f>'Federal P&amp;L'!J96</f>
        <v>0</v>
      </c>
      <c r="L69" s="113">
        <f>'Federal P&amp;L'!K96</f>
        <v>0</v>
      </c>
      <c r="M69" s="113">
        <f>'Federal P&amp;L'!L96</f>
        <v>0</v>
      </c>
      <c r="N69" s="113">
        <f>'Federal P&amp;L'!M96</f>
        <v>0</v>
      </c>
      <c r="O69" s="113">
        <f>'Federal P&amp;L'!N96</f>
        <v>0</v>
      </c>
      <c r="P69" s="113">
        <f>'Federal P&amp;L'!O96</f>
        <v>0</v>
      </c>
      <c r="Q69" s="113">
        <f>'Federal P&amp;L'!P96</f>
        <v>0</v>
      </c>
      <c r="R69" s="113">
        <f>'Federal P&amp;L'!Q96</f>
        <v>0</v>
      </c>
      <c r="S69" s="113">
        <f>'Federal P&amp;L'!R96</f>
        <v>0</v>
      </c>
      <c r="T69" s="113">
        <f>'Federal P&amp;L'!S96</f>
        <v>0</v>
      </c>
      <c r="U69" s="113">
        <f>'Federal P&amp;L'!T96</f>
        <v>0</v>
      </c>
      <c r="V69" s="113">
        <f>'Federal P&amp;L'!U96</f>
        <v>0</v>
      </c>
      <c r="W69" s="113">
        <f>'Federal P&amp;L'!V96</f>
        <v>0</v>
      </c>
      <c r="X69" s="113">
        <f>'Federal P&amp;L'!W96</f>
        <v>0</v>
      </c>
      <c r="Y69" s="113">
        <f>'Federal P&amp;L'!X96</f>
        <v>0</v>
      </c>
      <c r="Z69" s="113">
        <f>'Federal P&amp;L'!Y96</f>
        <v>0</v>
      </c>
      <c r="AA69" s="113">
        <f>'Federal P&amp;L'!Z96</f>
        <v>0</v>
      </c>
      <c r="AB69" s="113">
        <f>'Federal P&amp;L'!AA96</f>
        <v>0</v>
      </c>
      <c r="AC69" s="113">
        <f>'Federal P&amp;L'!AB96</f>
        <v>0</v>
      </c>
      <c r="AD69" s="113">
        <f>'Federal P&amp;L'!AC96</f>
        <v>0</v>
      </c>
      <c r="AE69" s="113">
        <f>'Federal P&amp;L'!AD96</f>
        <v>0</v>
      </c>
      <c r="AF69" s="113">
        <f>'Federal P&amp;L'!AE96</f>
        <v>711000</v>
      </c>
      <c r="AG69" s="113">
        <f>'Federal P&amp;L'!AF96</f>
        <v>1080000</v>
      </c>
      <c r="AH69" s="113">
        <f>'Federal P&amp;L'!AG96</f>
        <v>1178000</v>
      </c>
      <c r="AI69" s="113">
        <f>'Federal P&amp;L'!AH96</f>
        <v>981000</v>
      </c>
      <c r="AJ69" s="113">
        <f>'Federal P&amp;L'!AI96</f>
        <v>312000</v>
      </c>
      <c r="AK69" s="113">
        <f>'Federal P&amp;L'!AJ96</f>
        <v>125000</v>
      </c>
    </row>
    <row r="70" spans="1:37" outlineLevel="2">
      <c r="A70" s="22" t="str">
        <f>B48</f>
        <v>Promote the General Welfare</v>
      </c>
      <c r="B70" s="27" t="s">
        <v>335</v>
      </c>
      <c r="C70" s="113">
        <f>C123</f>
        <v>30647173</v>
      </c>
      <c r="D70" s="113">
        <f t="shared" ref="D70:AJ70" si="0">D123</f>
        <v>32681995</v>
      </c>
      <c r="E70" s="113">
        <f t="shared" si="0"/>
        <v>37504758</v>
      </c>
      <c r="F70" s="113">
        <f t="shared" si="0"/>
        <v>45616693</v>
      </c>
      <c r="G70" s="113">
        <f t="shared" si="0"/>
        <v>31124113</v>
      </c>
      <c r="H70" s="113">
        <f t="shared" si="0"/>
        <v>38305575</v>
      </c>
      <c r="I70" s="113">
        <f t="shared" si="0"/>
        <v>49983618</v>
      </c>
      <c r="J70" s="113">
        <f t="shared" si="0"/>
        <v>48603969</v>
      </c>
      <c r="K70" s="113">
        <f t="shared" si="0"/>
        <v>49341780</v>
      </c>
      <c r="L70" s="113">
        <f t="shared" si="0"/>
        <v>46875396</v>
      </c>
      <c r="M70" s="113">
        <f t="shared" si="0"/>
        <v>44813548</v>
      </c>
      <c r="N70" s="113">
        <f t="shared" si="0"/>
        <v>53587089</v>
      </c>
      <c r="O70" s="113">
        <f t="shared" si="0"/>
        <v>47424143</v>
      </c>
      <c r="P70" s="113">
        <f t="shared" si="0"/>
        <v>29198688</v>
      </c>
      <c r="Q70" s="113">
        <f t="shared" si="0"/>
        <v>17316524</v>
      </c>
      <c r="R70" s="113">
        <f t="shared" si="0"/>
        <v>13038351</v>
      </c>
      <c r="S70" s="113">
        <f t="shared" si="0"/>
        <v>9658887</v>
      </c>
      <c r="T70" s="113">
        <f t="shared" si="0"/>
        <v>2338445</v>
      </c>
      <c r="U70" s="113">
        <f t="shared" si="0"/>
        <v>19507148</v>
      </c>
      <c r="V70" s="113">
        <f t="shared" si="0"/>
        <v>31043295</v>
      </c>
      <c r="W70" s="113">
        <f t="shared" si="0"/>
        <v>51827279</v>
      </c>
      <c r="X70" s="113">
        <f t="shared" si="0"/>
        <v>52500736</v>
      </c>
      <c r="Y70" s="113">
        <f t="shared" si="0"/>
        <v>49832975</v>
      </c>
      <c r="Z70" s="113">
        <f t="shared" si="0"/>
        <v>48393012</v>
      </c>
      <c r="AA70" s="113">
        <f t="shared" si="0"/>
        <v>46256968</v>
      </c>
      <c r="AB70" s="113">
        <f t="shared" si="0"/>
        <v>55835111</v>
      </c>
      <c r="AC70" s="113">
        <f t="shared" si="0"/>
        <v>49032761</v>
      </c>
      <c r="AD70" s="113">
        <f t="shared" si="0"/>
        <v>61013722</v>
      </c>
      <c r="AE70" s="113">
        <f t="shared" si="0"/>
        <v>89839815</v>
      </c>
      <c r="AF70" s="113">
        <f t="shared" si="0"/>
        <v>92436453</v>
      </c>
      <c r="AG70" s="113">
        <f t="shared" si="0"/>
        <v>58461816</v>
      </c>
      <c r="AH70" s="113">
        <f t="shared" si="0"/>
        <v>70857826</v>
      </c>
      <c r="AI70" s="113">
        <f t="shared" si="0"/>
        <v>63564054</v>
      </c>
      <c r="AJ70" s="113">
        <f t="shared" si="0"/>
        <v>54091952</v>
      </c>
      <c r="AK70" s="113">
        <f>AK123</f>
        <v>39035526</v>
      </c>
    </row>
    <row r="71" spans="1:37" outlineLevel="1">
      <c r="A71" s="22" t="str">
        <f>B30</f>
        <v>Spending By Mission</v>
      </c>
      <c r="B71" s="43" t="s">
        <v>263</v>
      </c>
      <c r="C71" s="112">
        <f>'Federal P&amp;L'!B97+'State and Local P&amp;L'!B60</f>
        <v>423086782</v>
      </c>
      <c r="D71" s="112">
        <f>'Federal P&amp;L'!C97+'State and Local P&amp;L'!C60</f>
        <v>496928031</v>
      </c>
      <c r="E71" s="112">
        <f>'Federal P&amp;L'!D97+'State and Local P&amp;L'!D60</f>
        <v>550164876</v>
      </c>
      <c r="F71" s="112">
        <f>'Federal P&amp;L'!E97+'State and Local P&amp;L'!E60</f>
        <v>592760449</v>
      </c>
      <c r="G71" s="112">
        <f>'Federal P&amp;L'!F97+'State and Local P&amp;L'!F60</f>
        <v>634705076</v>
      </c>
      <c r="H71" s="112">
        <f>'Federal P&amp;L'!G97+'State and Local P&amp;L'!G60</f>
        <v>701367043</v>
      </c>
      <c r="I71" s="112">
        <f>'Federal P&amp;L'!H97+'State and Local P&amp;L'!H60</f>
        <v>755415783</v>
      </c>
      <c r="J71" s="112">
        <f>'Federal P&amp;L'!I97+'State and Local P&amp;L'!I60</f>
        <v>793949132</v>
      </c>
      <c r="K71" s="112">
        <f>'Federal P&amp;L'!J97+'State and Local P&amp;L'!J60</f>
        <v>829714776</v>
      </c>
      <c r="L71" s="112">
        <f>'Federal P&amp;L'!K97+'State and Local P&amp;L'!K60</f>
        <v>892411331</v>
      </c>
      <c r="M71" s="112">
        <f>'Federal P&amp;L'!L97+'State and Local P&amp;L'!L60</f>
        <v>965843617</v>
      </c>
      <c r="N71" s="112">
        <f>'Federal P&amp;L'!M97+'State and Local P&amp;L'!M60</f>
        <v>1038810330</v>
      </c>
      <c r="O71" s="112">
        <f>'Federal P&amp;L'!N97+'State and Local P&amp;L'!N60</f>
        <v>1051155291</v>
      </c>
      <c r="P71" s="112">
        <f>'Federal P&amp;L'!O97+'State and Local P&amp;L'!O60</f>
        <v>1111099864</v>
      </c>
      <c r="Q71" s="112">
        <f>'Federal P&amp;L'!P97+'State and Local P&amp;L'!P60</f>
        <v>1147149939</v>
      </c>
      <c r="R71" s="112">
        <f>'Federal P&amp;L'!Q97+'State and Local P&amp;L'!Q60</f>
        <v>1239498805</v>
      </c>
      <c r="S71" s="112">
        <f>'Federal P&amp;L'!R97+'State and Local P&amp;L'!R60</f>
        <v>1293779305</v>
      </c>
      <c r="T71" s="112">
        <f>'Federal P&amp;L'!S97+'State and Local P&amp;L'!S60</f>
        <v>1354789207</v>
      </c>
      <c r="U71" s="112">
        <f>'Federal P&amp;L'!T97+'State and Local P&amp;L'!T60</f>
        <v>1413373496</v>
      </c>
      <c r="V71" s="112">
        <f>'Federal P&amp;L'!U97+'State and Local P&amp;L'!U60</f>
        <v>1456420742</v>
      </c>
      <c r="W71" s="112">
        <f>'Federal P&amp;L'!V97+'State and Local P&amp;L'!V60</f>
        <v>1533142242</v>
      </c>
      <c r="X71" s="112">
        <f>'Federal P&amp;L'!W97+'State and Local P&amp;L'!W60</f>
        <v>1604593496</v>
      </c>
      <c r="Y71" s="112">
        <f>'Federal P&amp;L'!X97+'State and Local P&amp;L'!X60</f>
        <v>1661460741</v>
      </c>
      <c r="Z71" s="112">
        <f>'Federal P&amp;L'!Y97+'State and Local P&amp;L'!Y60</f>
        <v>1728242384</v>
      </c>
      <c r="AA71" s="112">
        <f>'Federal P&amp;L'!Z97+'State and Local P&amp;L'!Z60</f>
        <v>1827516390</v>
      </c>
      <c r="AB71" s="112">
        <f>'Federal P&amp;L'!AA97+'State and Local P&amp;L'!AA60</f>
        <v>1948689617</v>
      </c>
      <c r="AC71" s="112">
        <f>'Federal P&amp;L'!AB97+'State and Local P&amp;L'!AB60</f>
        <v>2114688301</v>
      </c>
      <c r="AD71" s="112">
        <f>'Federal P&amp;L'!AC97+'State and Local P&amp;L'!AC60</f>
        <v>2220610755</v>
      </c>
      <c r="AE71" s="112">
        <f>'Federal P&amp;L'!AD97+'State and Local P&amp;L'!AD60</f>
        <v>2366168524</v>
      </c>
      <c r="AF71" s="112">
        <f>'Federal P&amp;L'!AE97+'State and Local P&amp;L'!AE60</f>
        <v>2553798166</v>
      </c>
      <c r="AG71" s="112">
        <f>'Federal P&amp;L'!AF97+'State and Local P&amp;L'!AF60</f>
        <v>2578071746</v>
      </c>
      <c r="AH71" s="112">
        <f>'Federal P&amp;L'!AG97+'State and Local P&amp;L'!AG60</f>
        <v>2642146938</v>
      </c>
      <c r="AI71" s="112">
        <f>'Federal P&amp;L'!AH97+'State and Local P&amp;L'!AH60</f>
        <v>2675872157</v>
      </c>
      <c r="AJ71" s="112">
        <f>'Federal P&amp;L'!AI97+'State and Local P&amp;L'!AI60</f>
        <v>2682559100</v>
      </c>
      <c r="AK71" s="112">
        <f>'Federal P&amp;L'!AJ97+'State and Local P&amp;L'!AJ60</f>
        <v>2792414887</v>
      </c>
    </row>
    <row r="72" spans="1:37" outlineLevel="2">
      <c r="A72" s="22" t="str">
        <f>B71</f>
        <v>Secure the Blessings of Liberty to Ourselves and Our Posterity</v>
      </c>
      <c r="B72" s="27" t="s">
        <v>158</v>
      </c>
      <c r="C72" s="113">
        <f>'Federal P&amp;L'!B98+'State and Local P&amp;L'!B61</f>
        <v>125477665</v>
      </c>
      <c r="D72" s="113">
        <f>'Federal P&amp;L'!C98+'State and Local P&amp;L'!C61</f>
        <v>138529735</v>
      </c>
      <c r="E72" s="113">
        <f>'Federal P&amp;L'!D98+'State and Local P&amp;L'!D61</f>
        <v>144952810</v>
      </c>
      <c r="F72" s="113">
        <f>'Federal P&amp;L'!E98+'State and Local P&amp;L'!E61</f>
        <v>151796259</v>
      </c>
      <c r="G72" s="113">
        <f>'Federal P&amp;L'!F98+'State and Local P&amp;L'!F61</f>
        <v>163128289</v>
      </c>
      <c r="H72" s="113">
        <f>'Federal P&amp;L'!G98+'State and Local P&amp;L'!G61</f>
        <v>178890875</v>
      </c>
      <c r="I72" s="113">
        <f>'Federal P&amp;L'!H98+'State and Local P&amp;L'!H61</f>
        <v>195105654</v>
      </c>
      <c r="J72" s="113">
        <f>'Federal P&amp;L'!I98+'State and Local P&amp;L'!I61</f>
        <v>209099430</v>
      </c>
      <c r="K72" s="113">
        <f>'Federal P&amp;L'!J98+'State and Local P&amp;L'!J61</f>
        <v>223671499</v>
      </c>
      <c r="L72" s="113">
        <f>'Federal P&amp;L'!K98+'State and Local P&amp;L'!K61</f>
        <v>244019505</v>
      </c>
      <c r="M72" s="113">
        <f>'Federal P&amp;L'!L98+'State and Local P&amp;L'!L61</f>
        <v>266328250</v>
      </c>
      <c r="N72" s="113">
        <f>'Federal P&amp;L'!M98+'State and Local P&amp;L'!M61</f>
        <v>285926548</v>
      </c>
      <c r="O72" s="113">
        <f>'Federal P&amp;L'!N98+'State and Local P&amp;L'!N61</f>
        <v>296820335</v>
      </c>
      <c r="P72" s="113">
        <f>'Federal P&amp;L'!O98+'State and Local P&amp;L'!O61</f>
        <v>314290247</v>
      </c>
      <c r="Q72" s="113">
        <f>'Federal P&amp;L'!P98+'State and Local P&amp;L'!P61</f>
        <v>317152313</v>
      </c>
      <c r="R72" s="113">
        <f>'Federal P&amp;L'!Q98+'State and Local P&amp;L'!Q61</f>
        <v>345935895</v>
      </c>
      <c r="S72" s="113">
        <f>'Federal P&amp;L'!R98+'State and Local P&amp;L'!R61</f>
        <v>362875286</v>
      </c>
      <c r="T72" s="113">
        <f>'Federal P&amp;L'!S98+'State and Local P&amp;L'!S61</f>
        <v>380275204</v>
      </c>
      <c r="U72" s="113">
        <f>'Federal P&amp;L'!T98+'State and Local P&amp;L'!T61</f>
        <v>407091205</v>
      </c>
      <c r="V72" s="113">
        <f>'Federal P&amp;L'!U98+'State and Local P&amp;L'!U61</f>
        <v>434024947</v>
      </c>
      <c r="W72" s="113">
        <f>'Federal P&amp;L'!V98+'State and Local P&amp;L'!V61</f>
        <v>467287679</v>
      </c>
      <c r="X72" s="113">
        <f>'Federal P&amp;L'!W98+'State and Local P&amp;L'!W61</f>
        <v>504167420</v>
      </c>
      <c r="Y72" s="113">
        <f>'Federal P&amp;L'!X98+'State and Local P&amp;L'!X61</f>
        <v>539386565</v>
      </c>
      <c r="Z72" s="113">
        <f>'Federal P&amp;L'!Y98+'State and Local P&amp;L'!Y61</f>
        <v>562668095</v>
      </c>
      <c r="AA72" s="113">
        <f>'Federal P&amp;L'!Z98+'State and Local P&amp;L'!Z61</f>
        <v>595042204</v>
      </c>
      <c r="AB72" s="113">
        <f>'Federal P&amp;L'!AA98+'State and Local P&amp;L'!AA61</f>
        <v>628025525</v>
      </c>
      <c r="AC72" s="113">
        <f>'Federal P&amp;L'!AB98+'State and Local P&amp;L'!AB61</f>
        <v>680210656</v>
      </c>
      <c r="AD72" s="113">
        <f>'Federal P&amp;L'!AC98+'State and Local P&amp;L'!AC61</f>
        <v>696067146</v>
      </c>
      <c r="AE72" s="113">
        <f>'Federal P&amp;L'!AD98+'State and Local P&amp;L'!AD61</f>
        <v>738677677</v>
      </c>
      <c r="AF72" s="113">
        <f>'Federal P&amp;L'!AE98+'State and Local P&amp;L'!AE61</f>
        <v>724910083</v>
      </c>
      <c r="AG72" s="113">
        <f>'Federal P&amp;L'!AF98+'State and Local P&amp;L'!AF61</f>
        <v>740774217</v>
      </c>
      <c r="AH72" s="113">
        <f>'Federal P&amp;L'!AG98+'State and Local P&amp;L'!AG61</f>
        <v>711378381</v>
      </c>
      <c r="AI72" s="113">
        <f>'Federal P&amp;L'!AH98+'State and Local P&amp;L'!AH61</f>
        <v>747659398</v>
      </c>
      <c r="AJ72" s="113">
        <f>'Federal P&amp;L'!AI98+'State and Local P&amp;L'!AI61</f>
        <v>739802450</v>
      </c>
      <c r="AK72" s="113">
        <f>'Federal P&amp;L'!AJ98+'State and Local P&amp;L'!AJ61</f>
        <v>785891005</v>
      </c>
    </row>
    <row r="73" spans="1:37" outlineLevel="3">
      <c r="A73" s="22" t="str">
        <f>B72</f>
        <v>Education</v>
      </c>
      <c r="B73" s="28" t="s">
        <v>44</v>
      </c>
      <c r="C73" s="113">
        <f>'Federal P&amp;L'!B99+'State and Local P&amp;L'!B62</f>
        <v>122922200</v>
      </c>
      <c r="D73" s="113">
        <f>'Federal P&amp;L'!C99+'State and Local P&amp;L'!C62</f>
        <v>135775523</v>
      </c>
      <c r="E73" s="113">
        <f>'Federal P&amp;L'!D99+'State and Local P&amp;L'!D62</f>
        <v>142037603</v>
      </c>
      <c r="F73" s="113">
        <f>'Federal P&amp;L'!E99+'State and Local P&amp;L'!E62</f>
        <v>148741382</v>
      </c>
      <c r="G73" s="113">
        <f>'Federal P&amp;L'!F99+'State and Local P&amp;L'!F62</f>
        <v>159649680</v>
      </c>
      <c r="H73" s="113">
        <f>'Federal P&amp;L'!G99+'State and Local P&amp;L'!G62</f>
        <v>175245243</v>
      </c>
      <c r="I73" s="113">
        <f>'Federal P&amp;L'!H99+'State and Local P&amp;L'!H62</f>
        <v>191210804</v>
      </c>
      <c r="J73" s="113">
        <f>'Federal P&amp;L'!I99+'State and Local P&amp;L'!I62</f>
        <v>204823396</v>
      </c>
      <c r="K73" s="113">
        <f>'Federal P&amp;L'!J99+'State and Local P&amp;L'!J62</f>
        <v>219168388</v>
      </c>
      <c r="L73" s="113">
        <f>'Federal P&amp;L'!K99+'State and Local P&amp;L'!K62</f>
        <v>239144430</v>
      </c>
      <c r="M73" s="113">
        <f>'Federal P&amp;L'!L99+'State and Local P&amp;L'!L62</f>
        <v>261069291</v>
      </c>
      <c r="N73" s="113">
        <f>'Federal P&amp;L'!M99+'State and Local P&amp;L'!M62</f>
        <v>280203815</v>
      </c>
      <c r="O73" s="113">
        <f>'Federal P&amp;L'!N99+'State and Local P&amp;L'!N62</f>
        <v>290438011</v>
      </c>
      <c r="P73" s="113">
        <f>'Federal P&amp;L'!O99+'State and Local P&amp;L'!O62</f>
        <v>307906883</v>
      </c>
      <c r="Q73" s="113">
        <f>'Federal P&amp;L'!P99+'State and Local P&amp;L'!P62</f>
        <v>310412192</v>
      </c>
      <c r="R73" s="113">
        <f>'Federal P&amp;L'!Q99+'State and Local P&amp;L'!Q62</f>
        <v>338826218</v>
      </c>
      <c r="S73" s="113">
        <f>'Federal P&amp;L'!R99+'State and Local P&amp;L'!R62</f>
        <v>355281247</v>
      </c>
      <c r="T73" s="113">
        <f>'Federal P&amp;L'!S99+'State and Local P&amp;L'!S62</f>
        <v>372174685</v>
      </c>
      <c r="U73" s="113">
        <f>'Federal P&amp;L'!T99+'State and Local P&amp;L'!T62</f>
        <v>398658082</v>
      </c>
      <c r="V73" s="113">
        <f>'Federal P&amp;L'!U99+'State and Local P&amp;L'!U62</f>
        <v>425259965</v>
      </c>
      <c r="W73" s="113">
        <f>'Federal P&amp;L'!V99+'State and Local P&amp;L'!V62</f>
        <v>458154323</v>
      </c>
      <c r="X73" s="113">
        <f>'Federal P&amp;L'!W99+'State and Local P&amp;L'!W62</f>
        <v>494329329</v>
      </c>
      <c r="Y73" s="113">
        <f>'Federal P&amp;L'!X99+'State and Local P&amp;L'!X62</f>
        <v>528903494</v>
      </c>
      <c r="Z73" s="113">
        <f>'Federal P&amp;L'!Y99+'State and Local P&amp;L'!Y62</f>
        <v>552935411</v>
      </c>
      <c r="AA73" s="113">
        <f>'Federal P&amp;L'!Z99+'State and Local P&amp;L'!Z62</f>
        <v>583491621</v>
      </c>
      <c r="AB73" s="113">
        <f>'Federal P&amp;L'!AA99+'State and Local P&amp;L'!AA62</f>
        <v>615907147</v>
      </c>
      <c r="AC73" s="113">
        <f>'Federal P&amp;L'!AB99+'State and Local P&amp;L'!AB62</f>
        <v>669086996</v>
      </c>
      <c r="AD73" s="113">
        <f>'Federal P&amp;L'!AC99+'State and Local P&amp;L'!AC62</f>
        <v>682936206</v>
      </c>
      <c r="AE73" s="113">
        <f>'Federal P&amp;L'!AD99+'State and Local P&amp;L'!AD62</f>
        <v>724745487</v>
      </c>
      <c r="AF73" s="113">
        <f>'Federal P&amp;L'!AE99+'State and Local P&amp;L'!AE62</f>
        <v>711139822</v>
      </c>
      <c r="AG73" s="113">
        <f>'Federal P&amp;L'!AF99+'State and Local P&amp;L'!AF62</f>
        <v>727012205</v>
      </c>
      <c r="AH73" s="113">
        <f>'Federal P&amp;L'!AG99+'State and Local P&amp;L'!AG62</f>
        <v>697823870</v>
      </c>
      <c r="AI73" s="113">
        <f>'Federal P&amp;L'!AH99+'State and Local P&amp;L'!AH62</f>
        <v>733335667</v>
      </c>
      <c r="AJ73" s="113">
        <f>'Federal P&amp;L'!AI99+'State and Local P&amp;L'!AI62</f>
        <v>725784999</v>
      </c>
      <c r="AK73" s="113">
        <f>'Federal P&amp;L'!AJ99+'State and Local P&amp;L'!AJ62</f>
        <v>771977716</v>
      </c>
    </row>
    <row r="74" spans="1:37" outlineLevel="4">
      <c r="A74" s="22" t="str">
        <f>B73</f>
        <v>Education Inside the Classroom</v>
      </c>
      <c r="B74" s="29" t="s">
        <v>292</v>
      </c>
      <c r="C74" s="113">
        <f>'Federal P&amp;L'!B100+'State and Local P&amp;L'!B63</f>
        <v>92315252</v>
      </c>
      <c r="D74" s="113">
        <f>'Federal P&amp;L'!C100+'State and Local P&amp;L'!C63</f>
        <v>99982865</v>
      </c>
      <c r="E74" s="113">
        <f>'Federal P&amp;L'!D100+'State and Local P&amp;L'!D63</f>
        <v>105298912</v>
      </c>
      <c r="F74" s="113">
        <f>'Federal P&amp;L'!E100+'State and Local P&amp;L'!E63</f>
        <v>112259745</v>
      </c>
      <c r="G74" s="113">
        <f>'Federal P&amp;L'!F100+'State and Local P&amp;L'!F63</f>
        <v>120135193</v>
      </c>
      <c r="H74" s="113">
        <f>'Federal P&amp;L'!G100+'State and Local P&amp;L'!G63</f>
        <v>131379789</v>
      </c>
      <c r="I74" s="113">
        <f>'Federal P&amp;L'!H100+'State and Local P&amp;L'!H63</f>
        <v>144491312</v>
      </c>
      <c r="J74" s="113">
        <f>'Federal P&amp;L'!I100+'State and Local P&amp;L'!I63</f>
        <v>156770795</v>
      </c>
      <c r="K74" s="113">
        <f>'Federal P&amp;L'!J100+'State and Local P&amp;L'!J63</f>
        <v>168867583</v>
      </c>
      <c r="L74" s="113">
        <f>'Federal P&amp;L'!K100+'State and Local P&amp;L'!K63</f>
        <v>183983593</v>
      </c>
      <c r="M74" s="113">
        <f>'Federal P&amp;L'!L100+'State and Local P&amp;L'!L63</f>
        <v>201015955</v>
      </c>
      <c r="N74" s="113">
        <f>'Federal P&amp;L'!M100+'State and Local P&amp;L'!M63</f>
        <v>217265333</v>
      </c>
      <c r="O74" s="113">
        <f>'Federal P&amp;L'!N100+'State and Local P&amp;L'!N63</f>
        <v>226571601</v>
      </c>
      <c r="P74" s="113">
        <f>'Federal P&amp;L'!O100+'State and Local P&amp;L'!O63</f>
        <v>240271671</v>
      </c>
      <c r="Q74" s="113">
        <f>'Federal P&amp;L'!P100+'State and Local P&amp;L'!P63</f>
        <v>247369147</v>
      </c>
      <c r="R74" s="113">
        <f>'Federal P&amp;L'!Q100+'State and Local P&amp;L'!Q63</f>
        <v>265486206</v>
      </c>
      <c r="S74" s="113">
        <f>'Federal P&amp;L'!R100+'State and Local P&amp;L'!R63</f>
        <v>281217469</v>
      </c>
      <c r="T74" s="113">
        <f>'Federal P&amp;L'!S100+'State and Local P&amp;L'!S63</f>
        <v>295650894</v>
      </c>
      <c r="U74" s="113">
        <f>'Federal P&amp;L'!T100+'State and Local P&amp;L'!T63</f>
        <v>319148990</v>
      </c>
      <c r="V74" s="113">
        <f>'Federal P&amp;L'!U100+'State and Local P&amp;L'!U63</f>
        <v>341090405</v>
      </c>
      <c r="W74" s="113">
        <f>'Federal P&amp;L'!V100+'State and Local P&amp;L'!V63</f>
        <v>366828809</v>
      </c>
      <c r="X74" s="113">
        <f>'Federal P&amp;L'!W100+'State and Local P&amp;L'!W63</f>
        <v>395319363</v>
      </c>
      <c r="Y74" s="113">
        <f>'Federal P&amp;L'!X100+'State and Local P&amp;L'!X63</f>
        <v>416071575</v>
      </c>
      <c r="Z74" s="113">
        <f>'Federal P&amp;L'!Y100+'State and Local P&amp;L'!Y63</f>
        <v>433091698</v>
      </c>
      <c r="AA74" s="113">
        <f>'Federal P&amp;L'!Z100+'State and Local P&amp;L'!Z63</f>
        <v>457088585</v>
      </c>
      <c r="AB74" s="113">
        <f>'Federal P&amp;L'!AA100+'State and Local P&amp;L'!AA63</f>
        <v>479887102</v>
      </c>
      <c r="AC74" s="113">
        <f>'Federal P&amp;L'!AB100+'State and Local P&amp;L'!AB63</f>
        <v>508497584</v>
      </c>
      <c r="AD74" s="113">
        <f>'Federal P&amp;L'!AC100+'State and Local P&amp;L'!AC63</f>
        <v>540881458</v>
      </c>
      <c r="AE74" s="113">
        <f>'Federal P&amp;L'!AD100+'State and Local P&amp;L'!AD63</f>
        <v>572566344</v>
      </c>
      <c r="AF74" s="113">
        <f>'Federal P&amp;L'!AE100+'State and Local P&amp;L'!AE63</f>
        <v>586413702</v>
      </c>
      <c r="AG74" s="113">
        <f>'Federal P&amp;L'!AF100+'State and Local P&amp;L'!AF63</f>
        <v>584446574</v>
      </c>
      <c r="AH74" s="113">
        <f>'Federal P&amp;L'!AG100+'State and Local P&amp;L'!AG63</f>
        <v>578090339</v>
      </c>
      <c r="AI74" s="113">
        <f>'Federal P&amp;L'!AH100+'State and Local P&amp;L'!AH63</f>
        <v>578976319</v>
      </c>
      <c r="AJ74" s="113">
        <f>'Federal P&amp;L'!AI100+'State and Local P&amp;L'!AI63</f>
        <v>584606623</v>
      </c>
      <c r="AK74" s="113">
        <f>'Federal P&amp;L'!AJ100+'State and Local P&amp;L'!AJ63</f>
        <v>603060209</v>
      </c>
    </row>
    <row r="75" spans="1:37" outlineLevel="4">
      <c r="A75" s="22" t="str">
        <f>B73</f>
        <v>Education Inside the Classroom</v>
      </c>
      <c r="B75" s="29" t="s">
        <v>246</v>
      </c>
      <c r="C75" s="113">
        <f>'Federal P&amp;L'!B101+'State and Local P&amp;L'!B64</f>
        <v>26531281</v>
      </c>
      <c r="D75" s="113">
        <f>'Federal P&amp;L'!C101+'State and Local P&amp;L'!C64</f>
        <v>31161623</v>
      </c>
      <c r="E75" s="113">
        <f>'Federal P&amp;L'!D101+'State and Local P&amp;L'!D64</f>
        <v>32425938</v>
      </c>
      <c r="F75" s="113">
        <f>'Federal P&amp;L'!E101+'State and Local P&amp;L'!E64</f>
        <v>32148845</v>
      </c>
      <c r="G75" s="113">
        <f>'Federal P&amp;L'!F101+'State and Local P&amp;L'!F64</f>
        <v>34825558</v>
      </c>
      <c r="H75" s="113">
        <f>'Federal P&amp;L'!G101+'State and Local P&amp;L'!G64</f>
        <v>38761322</v>
      </c>
      <c r="I75" s="113">
        <f>'Federal P&amp;L'!H101+'State and Local P&amp;L'!H64</f>
        <v>41242487</v>
      </c>
      <c r="J75" s="113">
        <f>'Federal P&amp;L'!I101+'State and Local P&amp;L'!I64</f>
        <v>42385498</v>
      </c>
      <c r="K75" s="113">
        <f>'Federal P&amp;L'!J101+'State and Local P&amp;L'!J64</f>
        <v>44027138</v>
      </c>
      <c r="L75" s="113">
        <f>'Federal P&amp;L'!K101+'State and Local P&amp;L'!K64</f>
        <v>48204129</v>
      </c>
      <c r="M75" s="113">
        <f>'Federal P&amp;L'!L101+'State and Local P&amp;L'!L64</f>
        <v>52241236</v>
      </c>
      <c r="N75" s="113">
        <f>'Federal P&amp;L'!M101+'State and Local P&amp;L'!M64</f>
        <v>55506816</v>
      </c>
      <c r="O75" s="113">
        <f>'Federal P&amp;L'!N101+'State and Local P&amp;L'!N64</f>
        <v>56283255</v>
      </c>
      <c r="P75" s="113">
        <f>'Federal P&amp;L'!O101+'State and Local P&amp;L'!O64</f>
        <v>59919839</v>
      </c>
      <c r="Q75" s="113">
        <f>'Federal P&amp;L'!P101+'State and Local P&amp;L'!P64</f>
        <v>54538775</v>
      </c>
      <c r="R75" s="113">
        <f>'Federal P&amp;L'!Q101+'State and Local P&amp;L'!Q64</f>
        <v>64387710</v>
      </c>
      <c r="S75" s="113">
        <f>'Federal P&amp;L'!R101+'State and Local P&amp;L'!R64</f>
        <v>64489988</v>
      </c>
      <c r="T75" s="113">
        <f>'Federal P&amp;L'!S101+'State and Local P&amp;L'!S64</f>
        <v>66847911</v>
      </c>
      <c r="U75" s="113">
        <f>'Federal P&amp;L'!T101+'State and Local P&amp;L'!T64</f>
        <v>69467084</v>
      </c>
      <c r="V75" s="113">
        <f>'Federal P&amp;L'!U101+'State and Local P&amp;L'!U64</f>
        <v>73554963</v>
      </c>
      <c r="W75" s="113">
        <f>'Federal P&amp;L'!V101+'State and Local P&amp;L'!V64</f>
        <v>79945205</v>
      </c>
      <c r="X75" s="113">
        <f>'Federal P&amp;L'!W101+'State and Local P&amp;L'!W64</f>
        <v>86111971</v>
      </c>
      <c r="Y75" s="113">
        <f>'Federal P&amp;L'!X101+'State and Local P&amp;L'!X64</f>
        <v>99793625</v>
      </c>
      <c r="Z75" s="113">
        <f>'Federal P&amp;L'!Y101+'State and Local P&amp;L'!Y64</f>
        <v>105581570</v>
      </c>
      <c r="AA75" s="113">
        <f>'Federal P&amp;L'!Z101+'State and Local P&amp;L'!Z64</f>
        <v>111919499</v>
      </c>
      <c r="AB75" s="113">
        <f>'Federal P&amp;L'!AA101+'State and Local P&amp;L'!AA64</f>
        <v>121284713</v>
      </c>
      <c r="AC75" s="113">
        <f>'Federal P&amp;L'!AB101+'State and Local P&amp;L'!AB64</f>
        <v>144851107</v>
      </c>
      <c r="AD75" s="113">
        <f>'Federal P&amp;L'!AC101+'State and Local P&amp;L'!AC64</f>
        <v>126767686</v>
      </c>
      <c r="AE75" s="113">
        <f>'Federal P&amp;L'!AD101+'State and Local P&amp;L'!AD64</f>
        <v>135988447</v>
      </c>
      <c r="AF75" s="113">
        <f>'Federal P&amp;L'!AE101+'State and Local P&amp;L'!AE64</f>
        <v>108290241</v>
      </c>
      <c r="AG75" s="113">
        <f>'Federal P&amp;L'!AF101+'State and Local P&amp;L'!AF64</f>
        <v>124506872</v>
      </c>
      <c r="AH75" s="113">
        <f>'Federal P&amp;L'!AG101+'State and Local P&amp;L'!AG64</f>
        <v>101982220</v>
      </c>
      <c r="AI75" s="113">
        <f>'Federal P&amp;L'!AH101+'State and Local P&amp;L'!AH64</f>
        <v>137322261</v>
      </c>
      <c r="AJ75" s="113">
        <f>'Federal P&amp;L'!AI101+'State and Local P&amp;L'!AI64</f>
        <v>123976758</v>
      </c>
      <c r="AK75" s="113">
        <f>'Federal P&amp;L'!AJ101+'State and Local P&amp;L'!AJ64</f>
        <v>150635632</v>
      </c>
    </row>
    <row r="76" spans="1:37" outlineLevel="4">
      <c r="A76" s="22" t="str">
        <f>B73</f>
        <v>Education Inside the Classroom</v>
      </c>
      <c r="B76" s="29" t="s">
        <v>47</v>
      </c>
      <c r="C76" s="113">
        <f>'Federal P&amp;L'!B102</f>
        <v>10288</v>
      </c>
      <c r="D76" s="113">
        <f>'Federal P&amp;L'!C102</f>
        <v>5520</v>
      </c>
      <c r="E76" s="113">
        <f>'Federal P&amp;L'!D102</f>
        <v>15639</v>
      </c>
      <c r="F76" s="113">
        <f>'Federal P&amp;L'!E102</f>
        <v>12551</v>
      </c>
      <c r="G76" s="113">
        <f>'Federal P&amp;L'!F102</f>
        <v>23841</v>
      </c>
      <c r="H76" s="113">
        <f>'Federal P&amp;L'!G102</f>
        <v>25170</v>
      </c>
      <c r="I76" s="113">
        <f>'Federal P&amp;L'!H102</f>
        <v>26792</v>
      </c>
      <c r="J76" s="113">
        <f>'Federal P&amp;L'!I102</f>
        <v>5561</v>
      </c>
      <c r="K76" s="113">
        <f>'Federal P&amp;L'!J102</f>
        <v>14724</v>
      </c>
      <c r="L76" s="113">
        <f>'Federal P&amp;L'!K102</f>
        <v>17953</v>
      </c>
      <c r="M76" s="113">
        <f>'Federal P&amp;L'!L102</f>
        <v>19596</v>
      </c>
      <c r="N76" s="113">
        <f>'Federal P&amp;L'!M102</f>
        <v>52896</v>
      </c>
      <c r="O76" s="113">
        <f>'Federal P&amp;L'!N102</f>
        <v>59239</v>
      </c>
      <c r="P76" s="113">
        <f>'Federal P&amp;L'!O102</f>
        <v>57329</v>
      </c>
      <c r="Q76" s="113">
        <f>'Federal P&amp;L'!P102</f>
        <v>48551</v>
      </c>
      <c r="R76" s="113">
        <f>'Federal P&amp;L'!Q102</f>
        <v>33000</v>
      </c>
      <c r="S76" s="113">
        <f>'Federal P&amp;L'!R102</f>
        <v>25000</v>
      </c>
      <c r="T76" s="113">
        <f>'Federal P&amp;L'!S102</f>
        <v>20000</v>
      </c>
      <c r="U76" s="113">
        <f>'Federal P&amp;L'!T102</f>
        <v>26000</v>
      </c>
      <c r="V76" s="113">
        <f>'Federal P&amp;L'!U102</f>
        <v>26000</v>
      </c>
      <c r="W76" s="113">
        <f>'Federal P&amp;L'!V102</f>
        <v>14000</v>
      </c>
      <c r="X76" s="113">
        <f>'Federal P&amp;L'!W102</f>
        <v>28000</v>
      </c>
      <c r="Y76" s="113">
        <f>'Federal P&amp;L'!X102</f>
        <v>36000</v>
      </c>
      <c r="Z76" s="113">
        <f>'Federal P&amp;L'!Y102</f>
        <v>35000</v>
      </c>
      <c r="AA76" s="113">
        <f>'Federal P&amp;L'!Z102</f>
        <v>36000</v>
      </c>
      <c r="AB76" s="113">
        <f>'Federal P&amp;L'!AA102</f>
        <v>37000</v>
      </c>
      <c r="AC76" s="113">
        <f>'Federal P&amp;L'!AB102</f>
        <v>29000</v>
      </c>
      <c r="AD76" s="113">
        <f>'Federal P&amp;L'!AC102</f>
        <v>29000</v>
      </c>
      <c r="AE76" s="113">
        <f>'Federal P&amp;L'!AD102</f>
        <v>24000</v>
      </c>
      <c r="AF76" s="113">
        <f>'Federal P&amp;L'!AE102</f>
        <v>29000</v>
      </c>
      <c r="AG76" s="113">
        <f>'Federal P&amp;L'!AF102</f>
        <v>22000</v>
      </c>
      <c r="AH76" s="113">
        <f>'Federal P&amp;L'!AG102</f>
        <v>22000</v>
      </c>
      <c r="AI76" s="113">
        <f>'Federal P&amp;L'!AH102</f>
        <v>20000</v>
      </c>
      <c r="AJ76" s="113">
        <f>'Federal P&amp;L'!AI102</f>
        <v>17000</v>
      </c>
      <c r="AK76" s="113">
        <f>'Federal P&amp;L'!AJ102</f>
        <v>16000</v>
      </c>
    </row>
    <row r="77" spans="1:37" outlineLevel="4">
      <c r="A77" s="22" t="str">
        <f>B73</f>
        <v>Education Inside the Classroom</v>
      </c>
      <c r="B77" s="29" t="s">
        <v>48</v>
      </c>
      <c r="C77" s="113">
        <f>'State and Local P&amp;L'!B65</f>
        <v>4065379</v>
      </c>
      <c r="D77" s="113">
        <f>'State and Local P&amp;L'!C65</f>
        <v>4625515</v>
      </c>
      <c r="E77" s="113">
        <f>'State and Local P&amp;L'!D65</f>
        <v>4297114</v>
      </c>
      <c r="F77" s="113">
        <f>'State and Local P&amp;L'!E65</f>
        <v>4320241</v>
      </c>
      <c r="G77" s="113">
        <f>'State and Local P&amp;L'!F65</f>
        <v>4665088</v>
      </c>
      <c r="H77" s="113">
        <f>'State and Local P&amp;L'!G65</f>
        <v>5078962</v>
      </c>
      <c r="I77" s="113">
        <f>'State and Local P&amp;L'!H65</f>
        <v>5450213</v>
      </c>
      <c r="J77" s="113">
        <f>'State and Local P&amp;L'!I65</f>
        <v>5661542</v>
      </c>
      <c r="K77" s="113">
        <f>'State and Local P&amp;L'!J65</f>
        <v>6258943</v>
      </c>
      <c r="L77" s="113">
        <f>'State and Local P&amp;L'!K65</f>
        <v>6938755</v>
      </c>
      <c r="M77" s="113">
        <f>'State and Local P&amp;L'!L65</f>
        <v>7792504</v>
      </c>
      <c r="N77" s="113">
        <f>'State and Local P&amp;L'!M65</f>
        <v>7378770</v>
      </c>
      <c r="O77" s="113">
        <f>'State and Local P&amp;L'!N65</f>
        <v>7523916</v>
      </c>
      <c r="P77" s="113">
        <f>'State and Local P&amp;L'!O65</f>
        <v>7658044</v>
      </c>
      <c r="Q77" s="113">
        <f>'State and Local P&amp;L'!P65</f>
        <v>8455719</v>
      </c>
      <c r="R77" s="113">
        <f>'State and Local P&amp;L'!Q65</f>
        <v>8919302</v>
      </c>
      <c r="S77" s="113">
        <f>'State and Local P&amp;L'!R65</f>
        <v>9548790</v>
      </c>
      <c r="T77" s="113">
        <f>'State and Local P&amp;L'!S65</f>
        <v>9655880</v>
      </c>
      <c r="U77" s="113">
        <f>'State and Local P&amp;L'!T65</f>
        <v>10016008</v>
      </c>
      <c r="V77" s="113">
        <f>'State and Local P&amp;L'!U65</f>
        <v>10588597</v>
      </c>
      <c r="W77" s="113">
        <f>'State and Local P&amp;L'!V65</f>
        <v>11366309</v>
      </c>
      <c r="X77" s="113">
        <f>'State and Local P&amp;L'!W65</f>
        <v>12869995</v>
      </c>
      <c r="Y77" s="113">
        <f>'State and Local P&amp;L'!X65</f>
        <v>13002294</v>
      </c>
      <c r="Z77" s="113">
        <f>'State and Local P&amp;L'!Y65</f>
        <v>14227143</v>
      </c>
      <c r="AA77" s="113">
        <f>'State and Local P&amp;L'!Z65</f>
        <v>14447537</v>
      </c>
      <c r="AB77" s="113">
        <f>'State and Local P&amp;L'!AA65</f>
        <v>14698332</v>
      </c>
      <c r="AC77" s="113">
        <f>'State and Local P&amp;L'!AB65</f>
        <v>15709305</v>
      </c>
      <c r="AD77" s="113">
        <f>'State and Local P&amp;L'!AC65</f>
        <v>15258062</v>
      </c>
      <c r="AE77" s="113">
        <f>'State and Local P&amp;L'!AD65</f>
        <v>16166696</v>
      </c>
      <c r="AF77" s="113">
        <f>'State and Local P&amp;L'!AE65</f>
        <v>16406879</v>
      </c>
      <c r="AG77" s="113">
        <f>'State and Local P&amp;L'!AF65</f>
        <v>18036759</v>
      </c>
      <c r="AH77" s="113">
        <f>'State and Local P&amp;L'!AG65</f>
        <v>17729311</v>
      </c>
      <c r="AI77" s="113">
        <f>'State and Local P&amp;L'!AH65</f>
        <v>17017087</v>
      </c>
      <c r="AJ77" s="113">
        <f>'State and Local P&amp;L'!AI65</f>
        <v>17184618</v>
      </c>
      <c r="AK77" s="113">
        <f>'State and Local P&amp;L'!AJ65</f>
        <v>18265875</v>
      </c>
    </row>
    <row r="78" spans="1:37" outlineLevel="3">
      <c r="A78" s="22" t="str">
        <f>B72</f>
        <v>Education</v>
      </c>
      <c r="B78" s="28" t="s">
        <v>307</v>
      </c>
      <c r="C78" s="113">
        <f>'Federal P&amp;L'!B103+'State and Local P&amp;L'!B66</f>
        <v>2555465</v>
      </c>
      <c r="D78" s="113">
        <f>'Federal P&amp;L'!C103+'State and Local P&amp;L'!C66</f>
        <v>2754212</v>
      </c>
      <c r="E78" s="113">
        <f>'Federal P&amp;L'!D103+'State and Local P&amp;L'!D66</f>
        <v>2915207</v>
      </c>
      <c r="F78" s="113">
        <f>'Federal P&amp;L'!E103+'State and Local P&amp;L'!E66</f>
        <v>3054877</v>
      </c>
      <c r="G78" s="113">
        <f>'Federal P&amp;L'!F103+'State and Local P&amp;L'!F66</f>
        <v>3478609</v>
      </c>
      <c r="H78" s="113">
        <f>'Federal P&amp;L'!G103+'State and Local P&amp;L'!G66</f>
        <v>3645632</v>
      </c>
      <c r="I78" s="113">
        <f>'Federal P&amp;L'!H103+'State and Local P&amp;L'!H66</f>
        <v>3894850</v>
      </c>
      <c r="J78" s="113">
        <f>'Federal P&amp;L'!I103+'State and Local P&amp;L'!I66</f>
        <v>4276034</v>
      </c>
      <c r="K78" s="113">
        <f>'Federal P&amp;L'!J103+'State and Local P&amp;L'!J66</f>
        <v>4503111</v>
      </c>
      <c r="L78" s="113">
        <f>'Federal P&amp;L'!K103+'State and Local P&amp;L'!K66</f>
        <v>4875075</v>
      </c>
      <c r="M78" s="113">
        <f>'Federal P&amp;L'!L103+'State and Local P&amp;L'!L66</f>
        <v>5258959</v>
      </c>
      <c r="N78" s="113">
        <f>'Federal P&amp;L'!M103+'State and Local P&amp;L'!M66</f>
        <v>5722733</v>
      </c>
      <c r="O78" s="113">
        <f>'Federal P&amp;L'!N103+'State and Local P&amp;L'!N66</f>
        <v>6382324</v>
      </c>
      <c r="P78" s="113">
        <f>'Federal P&amp;L'!O103+'State and Local P&amp;L'!O66</f>
        <v>6383364</v>
      </c>
      <c r="Q78" s="113">
        <f>'Federal P&amp;L'!P103+'State and Local P&amp;L'!P66</f>
        <v>6740121</v>
      </c>
      <c r="R78" s="113">
        <f>'Federal P&amp;L'!Q103+'State and Local P&amp;L'!Q66</f>
        <v>7109677</v>
      </c>
      <c r="S78" s="113">
        <f>'Federal P&amp;L'!R103+'State and Local P&amp;L'!R66</f>
        <v>7594039</v>
      </c>
      <c r="T78" s="113">
        <f>'Federal P&amp;L'!S103+'State and Local P&amp;L'!S66</f>
        <v>8100519</v>
      </c>
      <c r="U78" s="113">
        <f>'Federal P&amp;L'!T103+'State and Local P&amp;L'!T66</f>
        <v>8433123</v>
      </c>
      <c r="V78" s="113">
        <f>'Federal P&amp;L'!U103+'State and Local P&amp;L'!U66</f>
        <v>8764982</v>
      </c>
      <c r="W78" s="113">
        <f>'Federal P&amp;L'!V103+'State and Local P&amp;L'!V66</f>
        <v>9133356</v>
      </c>
      <c r="X78" s="113">
        <f>'Federal P&amp;L'!W103+'State and Local P&amp;L'!W66</f>
        <v>9838091</v>
      </c>
      <c r="Y78" s="113">
        <f>'Federal P&amp;L'!X103+'State and Local P&amp;L'!X66</f>
        <v>10483071</v>
      </c>
      <c r="Z78" s="113">
        <f>'Federal P&amp;L'!Y103+'State and Local P&amp;L'!Y66</f>
        <v>9732684</v>
      </c>
      <c r="AA78" s="113">
        <f>'Federal P&amp;L'!Z103+'State and Local P&amp;L'!Z66</f>
        <v>11550583</v>
      </c>
      <c r="AB78" s="113">
        <f>'Federal P&amp;L'!AA103+'State and Local P&amp;L'!AA66</f>
        <v>12118378</v>
      </c>
      <c r="AC78" s="113">
        <f>'Federal P&amp;L'!AB103+'State and Local P&amp;L'!AB66</f>
        <v>11123660</v>
      </c>
      <c r="AD78" s="113">
        <f>'Federal P&amp;L'!AC103+'State and Local P&amp;L'!AC66</f>
        <v>13130940</v>
      </c>
      <c r="AE78" s="113">
        <f>'Federal P&amp;L'!AD103+'State and Local P&amp;L'!AD66</f>
        <v>13932190</v>
      </c>
      <c r="AF78" s="113">
        <f>'Federal P&amp;L'!AE103+'State and Local P&amp;L'!AE66</f>
        <v>13770261</v>
      </c>
      <c r="AG78" s="113">
        <f>'Federal P&amp;L'!AF103+'State and Local P&amp;L'!AF66</f>
        <v>13762012</v>
      </c>
      <c r="AH78" s="113">
        <f>'Federal P&amp;L'!AG103+'State and Local P&amp;L'!AG66</f>
        <v>13554511</v>
      </c>
      <c r="AI78" s="113">
        <f>'Federal P&amp;L'!AH103+'State and Local P&amp;L'!AH66</f>
        <v>14323731</v>
      </c>
      <c r="AJ78" s="113">
        <f>'Federal P&amp;L'!AI103+'State and Local P&amp;L'!AI66</f>
        <v>14017451</v>
      </c>
      <c r="AK78" s="113">
        <f>'Federal P&amp;L'!AJ103+'State and Local P&amp;L'!AJ66</f>
        <v>13913289</v>
      </c>
    </row>
    <row r="79" spans="1:37" outlineLevel="2">
      <c r="A79" s="22" t="str">
        <f>B71</f>
        <v>Secure the Blessings of Liberty to Ourselves and Our Posterity</v>
      </c>
      <c r="B79" s="27" t="s">
        <v>159</v>
      </c>
      <c r="C79" s="113">
        <f>'Federal P&amp;L'!B104+'State and Local P&amp;L'!B67</f>
        <v>48951422</v>
      </c>
      <c r="D79" s="113">
        <f>'Federal P&amp;L'!C104+'State and Local P&amp;L'!C67</f>
        <v>58554549</v>
      </c>
      <c r="E79" s="113">
        <f>'Federal P&amp;L'!D104+'State and Local P&amp;L'!D67</f>
        <v>60462214</v>
      </c>
      <c r="F79" s="113">
        <f>'Federal P&amp;L'!E104+'State and Local P&amp;L'!E67</f>
        <v>62480657</v>
      </c>
      <c r="G79" s="113">
        <f>'Federal P&amp;L'!F104+'State and Local P&amp;L'!F67</f>
        <v>48697999</v>
      </c>
      <c r="H79" s="113">
        <f>'Federal P&amp;L'!G104+'State and Local P&amp;L'!G67</f>
        <v>60385548</v>
      </c>
      <c r="I79" s="113">
        <f>'Federal P&amp;L'!H104+'State and Local P&amp;L'!H67</f>
        <v>69694949</v>
      </c>
      <c r="J79" s="113">
        <f>'Federal P&amp;L'!I104+'State and Local P&amp;L'!I67</f>
        <v>65577666</v>
      </c>
      <c r="K79" s="113">
        <f>'Federal P&amp;L'!J104+'State and Local P&amp;L'!J67</f>
        <v>55509820</v>
      </c>
      <c r="L79" s="113">
        <f>'Federal P&amp;L'!K104+'State and Local P&amp;L'!K67</f>
        <v>58999552</v>
      </c>
      <c r="M79" s="113">
        <f>'Federal P&amp;L'!L104+'State and Local P&amp;L'!L67</f>
        <v>58220232</v>
      </c>
      <c r="N79" s="113">
        <f>'Federal P&amp;L'!M104+'State and Local P&amp;L'!M67</f>
        <v>63996400</v>
      </c>
      <c r="O79" s="113">
        <f>'Federal P&amp;L'!N104+'State and Local P&amp;L'!N67</f>
        <v>67661797</v>
      </c>
      <c r="P79" s="113">
        <f>'Federal P&amp;L'!O104+'State and Local P&amp;L'!O67</f>
        <v>72109596</v>
      </c>
      <c r="Q79" s="113">
        <f>'Federal P&amp;L'!P104+'State and Local P&amp;L'!P67</f>
        <v>66240491</v>
      </c>
      <c r="R79" s="113">
        <f>'Federal P&amp;L'!Q104+'State and Local P&amp;L'!Q67</f>
        <v>64406878</v>
      </c>
      <c r="S79" s="113">
        <f>'Federal P&amp;L'!R104+'State and Local P&amp;L'!R67</f>
        <v>60282155</v>
      </c>
      <c r="T79" s="113">
        <f>'Federal P&amp;L'!S104+'State and Local P&amp;L'!S67</f>
        <v>61929234</v>
      </c>
      <c r="U79" s="113">
        <f>'Federal P&amp;L'!T104+'State and Local P&amp;L'!T67</f>
        <v>67468304</v>
      </c>
      <c r="V79" s="113">
        <f>'Federal P&amp;L'!U104+'State and Local P&amp;L'!U67</f>
        <v>80221771</v>
      </c>
      <c r="W79" s="113">
        <f>'Federal P&amp;L'!V104+'State and Local P&amp;L'!V67</f>
        <v>97049698</v>
      </c>
      <c r="X79" s="113">
        <f>'Federal P&amp;L'!W104+'State and Local P&amp;L'!W67</f>
        <v>99093567</v>
      </c>
      <c r="Y79" s="113">
        <f>'Federal P&amp;L'!X104+'State and Local P&amp;L'!X67</f>
        <v>100615084</v>
      </c>
      <c r="Z79" s="113">
        <f>'Federal P&amp;L'!Y104+'State and Local P&amp;L'!Y67</f>
        <v>99581281</v>
      </c>
      <c r="AA79" s="113">
        <f>'Federal P&amp;L'!Z104+'State and Local P&amp;L'!Z67</f>
        <v>98950332</v>
      </c>
      <c r="AB79" s="113">
        <f>'Federal P&amp;L'!AA104+'State and Local P&amp;L'!AA67</f>
        <v>107159129</v>
      </c>
      <c r="AC79" s="113">
        <f>'Federal P&amp;L'!AB104+'State and Local P&amp;L'!AB67</f>
        <v>116038731</v>
      </c>
      <c r="AD79" s="113">
        <f>'Federal P&amp;L'!AC104+'State and Local P&amp;L'!AC67</f>
        <v>117337260</v>
      </c>
      <c r="AE79" s="113">
        <f>'Federal P&amp;L'!AD104+'State and Local P&amp;L'!AD67</f>
        <v>124302640</v>
      </c>
      <c r="AF79" s="113">
        <f>'Federal P&amp;L'!AE104+'State and Local P&amp;L'!AE67</f>
        <v>142008766</v>
      </c>
      <c r="AG79" s="113">
        <f>'Federal P&amp;L'!AF104+'State and Local P&amp;L'!AF67</f>
        <v>141091636</v>
      </c>
      <c r="AH79" s="113">
        <f>'Federal P&amp;L'!AG104+'State and Local P&amp;L'!AG67</f>
        <v>135480830</v>
      </c>
      <c r="AI79" s="113">
        <f>'Federal P&amp;L'!AH104+'State and Local P&amp;L'!AH67</f>
        <v>124694628</v>
      </c>
      <c r="AJ79" s="113">
        <f>'Federal P&amp;L'!AI104+'State and Local P&amp;L'!AI67</f>
        <v>127377549</v>
      </c>
      <c r="AK79" s="113">
        <f>'Federal P&amp;L'!AJ104+'State and Local P&amp;L'!AJ67</f>
        <v>109360828</v>
      </c>
    </row>
    <row r="80" spans="1:37" outlineLevel="3">
      <c r="A80" s="22" t="str">
        <f>B79</f>
        <v>Sustainability and Self-Sufficiency</v>
      </c>
      <c r="B80" s="28" t="s">
        <v>295</v>
      </c>
      <c r="C80" s="113">
        <f>'Federal P&amp;L'!B105+'State and Local P&amp;L'!B68</f>
        <v>11799267</v>
      </c>
      <c r="D80" s="113">
        <f>'Federal P&amp;L'!C105+'State and Local P&amp;L'!C68</f>
        <v>16927011</v>
      </c>
      <c r="E80" s="113">
        <f>'Federal P&amp;L'!D105+'State and Local P&amp;L'!D68</f>
        <v>14917816</v>
      </c>
      <c r="F80" s="113">
        <f>'Federal P&amp;L'!E105+'State and Local P&amp;L'!E68</f>
        <v>10153170</v>
      </c>
      <c r="G80" s="113">
        <f>'Federal P&amp;L'!F105+'State and Local P&amp;L'!F68</f>
        <v>6529742</v>
      </c>
      <c r="H80" s="113">
        <f>'Federal P&amp;L'!G105+'State and Local P&amp;L'!G68</f>
        <v>4616347</v>
      </c>
      <c r="I80" s="113">
        <f>'Federal P&amp;L'!H105+'State and Local P&amp;L'!H68</f>
        <v>4903096</v>
      </c>
      <c r="J80" s="113">
        <f>'Federal P&amp;L'!I105+'State and Local P&amp;L'!I68</f>
        <v>2502191</v>
      </c>
      <c r="K80" s="113">
        <f>'Federal P&amp;L'!J105+'State and Local P&amp;L'!J68</f>
        <v>-639310</v>
      </c>
      <c r="L80" s="113">
        <f>'Federal P&amp;L'!K105+'State and Local P&amp;L'!K68</f>
        <v>-1158979</v>
      </c>
      <c r="M80" s="113">
        <f>'Federal P&amp;L'!L105+'State and Local P&amp;L'!L68</f>
        <v>-854743</v>
      </c>
      <c r="N80" s="113">
        <f>'Federal P&amp;L'!M105+'State and Local P&amp;L'!M68</f>
        <v>-2678813</v>
      </c>
      <c r="O80" s="113">
        <f>'Federal P&amp;L'!N105+'State and Local P&amp;L'!N68</f>
        <v>-116719</v>
      </c>
      <c r="P80" s="113">
        <f>'Federal P&amp;L'!O105+'State and Local P&amp;L'!O68</f>
        <v>-1043355</v>
      </c>
      <c r="Q80" s="113">
        <f>'Federal P&amp;L'!P105+'State and Local P&amp;L'!P68</f>
        <v>-267922</v>
      </c>
      <c r="R80" s="113">
        <f>'Federal P&amp;L'!Q105+'State and Local P&amp;L'!Q68</f>
        <v>-1100958</v>
      </c>
      <c r="S80" s="113">
        <f>'Federal P&amp;L'!R105+'State and Local P&amp;L'!R68</f>
        <v>-4187537</v>
      </c>
      <c r="T80" s="113">
        <f>'Federal P&amp;L'!S105+'State and Local P&amp;L'!S68</f>
        <v>-5254882</v>
      </c>
      <c r="U80" s="113">
        <f>'Federal P&amp;L'!T105+'State and Local P&amp;L'!T68</f>
        <v>-5784744</v>
      </c>
      <c r="V80" s="113">
        <f>'Federal P&amp;L'!U105+'State and Local P&amp;L'!U68</f>
        <v>-7125171</v>
      </c>
      <c r="W80" s="113">
        <f>'Federal P&amp;L'!V105+'State and Local P&amp;L'!V68</f>
        <v>-8788397</v>
      </c>
      <c r="X80" s="113">
        <f>'Federal P&amp;L'!W105+'State and Local P&amp;L'!W68</f>
        <v>-1117368</v>
      </c>
      <c r="Y80" s="113">
        <f>'Federal P&amp;L'!X105+'State and Local P&amp;L'!X68</f>
        <v>-3596137</v>
      </c>
      <c r="Z80" s="113">
        <f>'Federal P&amp;L'!Y105+'State and Local P&amp;L'!Y68</f>
        <v>-5911194</v>
      </c>
      <c r="AA80" s="113">
        <f>'Federal P&amp;L'!Z105+'State and Local P&amp;L'!Z68</f>
        <v>-2126072</v>
      </c>
      <c r="AB80" s="113">
        <f>'Federal P&amp;L'!AA105+'State and Local P&amp;L'!AA68</f>
        <v>-5121850</v>
      </c>
      <c r="AC80" s="113">
        <f>'Federal P&amp;L'!AB105+'State and Local P&amp;L'!AB68</f>
        <v>-3628181</v>
      </c>
      <c r="AD80" s="113">
        <f>'Federal P&amp;L'!AC105+'State and Local P&amp;L'!AC68</f>
        <v>-3803722</v>
      </c>
      <c r="AE80" s="113">
        <f>'Federal P&amp;L'!AD105+'State and Local P&amp;L'!AD68</f>
        <v>-1166401</v>
      </c>
      <c r="AF80" s="113">
        <f>'Federal P&amp;L'!AE105+'State and Local P&amp;L'!AE68</f>
        <v>1534455</v>
      </c>
      <c r="AG80" s="113">
        <f>'Federal P&amp;L'!AF105+'State and Local P&amp;L'!AF68</f>
        <v>5476826</v>
      </c>
      <c r="AH80" s="113">
        <f>'Federal P&amp;L'!AG105+'State and Local P&amp;L'!AG68</f>
        <v>3295534</v>
      </c>
      <c r="AI80" s="113">
        <f>'Federal P&amp;L'!AH105+'State and Local P&amp;L'!AH68</f>
        <v>5486738</v>
      </c>
      <c r="AJ80" s="113">
        <f>'Federal P&amp;L'!AI105+'State and Local P&amp;L'!AI68</f>
        <v>4914391</v>
      </c>
      <c r="AK80" s="113">
        <f>'Federal P&amp;L'!AJ105+'State and Local P&amp;L'!AJ68</f>
        <v>-2171265</v>
      </c>
    </row>
    <row r="81" spans="1:37" outlineLevel="3">
      <c r="A81" s="22" t="str">
        <f>B79</f>
        <v>Sustainability and Self-Sufficiency</v>
      </c>
      <c r="B81" s="28" t="s">
        <v>51</v>
      </c>
      <c r="C81" s="113">
        <f>'Federal P&amp;L'!B106+'State and Local P&amp;L'!B69</f>
        <v>27185091</v>
      </c>
      <c r="D81" s="113">
        <f>'Federal P&amp;L'!C106+'State and Local P&amp;L'!C69</f>
        <v>29226789</v>
      </c>
      <c r="E81" s="113">
        <f>'Federal P&amp;L'!D106+'State and Local P&amp;L'!D69</f>
        <v>28498113</v>
      </c>
      <c r="F81" s="113">
        <f>'Federal P&amp;L'!E106+'State and Local P&amp;L'!E69</f>
        <v>29066576</v>
      </c>
      <c r="G81" s="113">
        <f>'Federal P&amp;L'!F106+'State and Local P&amp;L'!F69</f>
        <v>28105384</v>
      </c>
      <c r="H81" s="113">
        <f>'Federal P&amp;L'!G106+'State and Local P&amp;L'!G69</f>
        <v>30140027</v>
      </c>
      <c r="I81" s="113">
        <f>'Federal P&amp;L'!H106+'State and Local P&amp;L'!H69</f>
        <v>32568887</v>
      </c>
      <c r="J81" s="113">
        <f>'Federal P&amp;L'!I106+'State and Local P&amp;L'!I69</f>
        <v>35666497</v>
      </c>
      <c r="K81" s="113">
        <f>'Federal P&amp;L'!J106+'State and Local P&amp;L'!J69</f>
        <v>38071166</v>
      </c>
      <c r="L81" s="113">
        <f>'Federal P&amp;L'!K106+'State and Local P&amp;L'!K69</f>
        <v>41416938</v>
      </c>
      <c r="M81" s="113">
        <f>'Federal P&amp;L'!L106+'State and Local P&amp;L'!L69</f>
        <v>45024002</v>
      </c>
      <c r="N81" s="113">
        <f>'Federal P&amp;L'!M106+'State and Local P&amp;L'!M69</f>
        <v>49205291</v>
      </c>
      <c r="O81" s="113">
        <f>'Federal P&amp;L'!N106+'State and Local P&amp;L'!N69</f>
        <v>50180362</v>
      </c>
      <c r="P81" s="113">
        <f>'Federal P&amp;L'!O106+'State and Local P&amp;L'!O69</f>
        <v>50275483</v>
      </c>
      <c r="Q81" s="113">
        <f>'Federal P&amp;L'!P106+'State and Local P&amp;L'!P69</f>
        <v>48735908</v>
      </c>
      <c r="R81" s="113">
        <f>'Federal P&amp;L'!Q106+'State and Local P&amp;L'!Q69</f>
        <v>52750028</v>
      </c>
      <c r="S81" s="113">
        <f>'Federal P&amp;L'!R106+'State and Local P&amp;L'!R69</f>
        <v>52073285</v>
      </c>
      <c r="T81" s="113">
        <f>'Federal P&amp;L'!S106+'State and Local P&amp;L'!S69</f>
        <v>53033396</v>
      </c>
      <c r="U81" s="113">
        <f>'Federal P&amp;L'!T106+'State and Local P&amp;L'!T69</f>
        <v>55567015</v>
      </c>
      <c r="V81" s="113">
        <f>'Federal P&amp;L'!U106+'State and Local P&amp;L'!U69</f>
        <v>58725029</v>
      </c>
      <c r="W81" s="113">
        <f>'Federal P&amp;L'!V106+'State and Local P&amp;L'!V69</f>
        <v>62873821</v>
      </c>
      <c r="X81" s="113">
        <f>'Federal P&amp;L'!W106+'State and Local P&amp;L'!W69</f>
        <v>67130306</v>
      </c>
      <c r="Y81" s="113">
        <f>'Federal P&amp;L'!X106+'State and Local P&amp;L'!X69</f>
        <v>75419357</v>
      </c>
      <c r="Z81" s="113">
        <f>'Federal P&amp;L'!Y106+'State and Local P&amp;L'!Y69</f>
        <v>76231122</v>
      </c>
      <c r="AA81" s="113">
        <f>'Federal P&amp;L'!Z106+'State and Local P&amp;L'!Z69</f>
        <v>79159786</v>
      </c>
      <c r="AB81" s="113">
        <f>'Federal P&amp;L'!AA106+'State and Local P&amp;L'!AA69</f>
        <v>84797979</v>
      </c>
      <c r="AC81" s="113">
        <f>'Federal P&amp;L'!AB106+'State and Local P&amp;L'!AB69</f>
        <v>92538912</v>
      </c>
      <c r="AD81" s="113">
        <f>'Federal P&amp;L'!AC106+'State and Local P&amp;L'!AC69</f>
        <v>102303982</v>
      </c>
      <c r="AE81" s="113">
        <f>'Federal P&amp;L'!AD106+'State and Local P&amp;L'!AD69</f>
        <v>105939041</v>
      </c>
      <c r="AF81" s="113">
        <f>'Federal P&amp;L'!AE106+'State and Local P&amp;L'!AE69</f>
        <v>117248311</v>
      </c>
      <c r="AG81" s="113">
        <f>'Federal P&amp;L'!AF106+'State and Local P&amp;L'!AF69</f>
        <v>113242810</v>
      </c>
      <c r="AH81" s="113">
        <f>'Federal P&amp;L'!AG106+'State and Local P&amp;L'!AG69</f>
        <v>110542296</v>
      </c>
      <c r="AI81" s="113">
        <f>'Federal P&amp;L'!AH106+'State and Local P&amp;L'!AH69</f>
        <v>100126890</v>
      </c>
      <c r="AJ81" s="113">
        <f>'Federal P&amp;L'!AI106+'State and Local P&amp;L'!AI69</f>
        <v>91523158</v>
      </c>
      <c r="AK81" s="113">
        <f>'Federal P&amp;L'!AJ106+'State and Local P&amp;L'!AJ69</f>
        <v>80250304.010971516</v>
      </c>
    </row>
    <row r="82" spans="1:37" outlineLevel="3">
      <c r="A82" s="22" t="str">
        <f>B79</f>
        <v>Sustainability and Self-Sufficiency</v>
      </c>
      <c r="B82" s="28" t="s">
        <v>50</v>
      </c>
      <c r="C82" s="113">
        <f>'Federal P&amp;L'!B107+'State and Local P&amp;L'!B73</f>
        <v>9967064</v>
      </c>
      <c r="D82" s="113">
        <f>'Federal P&amp;L'!C107+'State and Local P&amp;L'!C73</f>
        <v>12400749</v>
      </c>
      <c r="E82" s="113">
        <f>'Federal P&amp;L'!D107+'State and Local P&amp;L'!D73</f>
        <v>17046285</v>
      </c>
      <c r="F82" s="113">
        <f>'Federal P&amp;L'!E107+'State and Local P&amp;L'!E73</f>
        <v>23260911</v>
      </c>
      <c r="G82" s="113">
        <f>'Federal P&amp;L'!F107+'State and Local P&amp;L'!F73</f>
        <v>14062873</v>
      </c>
      <c r="H82" s="113">
        <f>'Federal P&amp;L'!G107+'State and Local P&amp;L'!G73</f>
        <v>25629174</v>
      </c>
      <c r="I82" s="113">
        <f>'Federal P&amp;L'!H107+'State and Local P&amp;L'!H73</f>
        <v>32222966</v>
      </c>
      <c r="J82" s="113">
        <f>'Federal P&amp;L'!I107+'State and Local P&amp;L'!I73</f>
        <v>27408978</v>
      </c>
      <c r="K82" s="113">
        <f>'Federal P&amp;L'!J107+'State and Local P&amp;L'!J73</f>
        <v>18077964</v>
      </c>
      <c r="L82" s="113">
        <f>'Federal P&amp;L'!K107+'State and Local P&amp;L'!K73</f>
        <v>18741593</v>
      </c>
      <c r="M82" s="113">
        <f>'Federal P&amp;L'!L107+'State and Local P&amp;L'!L73</f>
        <v>14050973</v>
      </c>
      <c r="N82" s="113">
        <f>'Federal P&amp;L'!M107+'State and Local P&amp;L'!M73</f>
        <v>17469922</v>
      </c>
      <c r="O82" s="113">
        <f>'Federal P&amp;L'!N107+'State and Local P&amp;L'!N73</f>
        <v>17598154</v>
      </c>
      <c r="P82" s="113">
        <f>'Federal P&amp;L'!O107+'State and Local P&amp;L'!O73</f>
        <v>22877468</v>
      </c>
      <c r="Q82" s="113">
        <f>'Federal P&amp;L'!P107+'State and Local P&amp;L'!P73</f>
        <v>17772505</v>
      </c>
      <c r="R82" s="113">
        <f>'Federal P&amp;L'!Q107+'State and Local P&amp;L'!Q73</f>
        <v>12757808</v>
      </c>
      <c r="S82" s="113">
        <f>'Federal P&amp;L'!R107+'State and Local P&amp;L'!R73</f>
        <v>12396407</v>
      </c>
      <c r="T82" s="113">
        <f>'Federal P&amp;L'!S107+'State and Local P&amp;L'!S73</f>
        <v>14150720</v>
      </c>
      <c r="U82" s="113">
        <f>'Federal P&amp;L'!T107+'State and Local P&amp;L'!T73</f>
        <v>17686033</v>
      </c>
      <c r="V82" s="113">
        <f>'Federal P&amp;L'!U107+'State and Local P&amp;L'!U73</f>
        <v>28621913</v>
      </c>
      <c r="W82" s="113">
        <f>'Federal P&amp;L'!V107+'State and Local P&amp;L'!V73</f>
        <v>42964274</v>
      </c>
      <c r="X82" s="113">
        <f>'Federal P&amp;L'!W107+'State and Local P&amp;L'!W73</f>
        <v>33080629</v>
      </c>
      <c r="Y82" s="113">
        <f>'Federal P&amp;L'!X107+'State and Local P&amp;L'!X73</f>
        <v>28791864</v>
      </c>
      <c r="Z82" s="113">
        <f>'Federal P&amp;L'!Y107+'State and Local P&amp;L'!Y73</f>
        <v>29261353</v>
      </c>
      <c r="AA82" s="113">
        <f>'Federal P&amp;L'!Z107+'State and Local P&amp;L'!Z73</f>
        <v>21916618</v>
      </c>
      <c r="AB82" s="113">
        <f>'Federal P&amp;L'!AA107+'State and Local P&amp;L'!AA73</f>
        <v>33084272.380769469</v>
      </c>
      <c r="AC82" s="113">
        <f>'Federal P&amp;L'!AB107+'State and Local P&amp;L'!AB73</f>
        <v>32756926.761538941</v>
      </c>
      <c r="AD82" s="113">
        <f>'Federal P&amp;L'!AC107+'State and Local P&amp;L'!AC73</f>
        <v>24493581.142308414</v>
      </c>
      <c r="AE82" s="113">
        <f>'Federal P&amp;L'!AD107+'State and Local P&amp;L'!AD73</f>
        <v>25214235.523077883</v>
      </c>
      <c r="AF82" s="113">
        <f>'Federal P&amp;L'!AE107+'State and Local P&amp;L'!AE73</f>
        <v>28937889.903847355</v>
      </c>
      <c r="AG82" s="113">
        <f>'Federal P&amp;L'!AF107+'State and Local P&amp;L'!AF73</f>
        <v>28111544.284616828</v>
      </c>
      <c r="AH82" s="113">
        <f>'Federal P&amp;L'!AG107+'State and Local P&amp;L'!AG73</f>
        <v>27410198.665386297</v>
      </c>
      <c r="AI82" s="113">
        <f>'Federal P&amp;L'!AH107+'State and Local P&amp;L'!AH73</f>
        <v>24875853.046155766</v>
      </c>
      <c r="AJ82" s="113">
        <f>'Federal P&amp;L'!AI107+'State and Local P&amp;L'!AI73</f>
        <v>36762507.426925242</v>
      </c>
      <c r="AK82" s="113">
        <f>'Federal P&amp;L'!AJ107+'State and Local P&amp;L'!AJ73</f>
        <v>31281788.989028484</v>
      </c>
    </row>
    <row r="83" spans="1:37" outlineLevel="2">
      <c r="A83" s="22" t="str">
        <f>B71</f>
        <v>Secure the Blessings of Liberty to Ourselves and Our Posterity</v>
      </c>
      <c r="B83" s="27" t="s">
        <v>157</v>
      </c>
      <c r="C83" s="113">
        <f>'Federal P&amp;L'!B108+'State and Local P&amp;L'!B74</f>
        <v>248657695</v>
      </c>
      <c r="D83" s="113">
        <f>'Federal P&amp;L'!C108+'State and Local P&amp;L'!C74</f>
        <v>299843747</v>
      </c>
      <c r="E83" s="113">
        <f>'Federal P&amp;L'!D108+'State and Local P&amp;L'!D74</f>
        <v>344749852</v>
      </c>
      <c r="F83" s="113">
        <f>'Federal P&amp;L'!E108+'State and Local P&amp;L'!E74</f>
        <v>378483533</v>
      </c>
      <c r="G83" s="113">
        <f>'Federal P&amp;L'!F108+'State and Local P&amp;L'!F74</f>
        <v>422878788</v>
      </c>
      <c r="H83" s="113">
        <f>'Federal P&amp;L'!G108+'State and Local P&amp;L'!G74</f>
        <v>462090620</v>
      </c>
      <c r="I83" s="113">
        <f>'Federal P&amp;L'!H108+'State and Local P&amp;L'!H74</f>
        <v>490615180</v>
      </c>
      <c r="J83" s="113">
        <f>'Federal P&amp;L'!I108+'State and Local P&amp;L'!I74</f>
        <v>519272036</v>
      </c>
      <c r="K83" s="113">
        <f>'Federal P&amp;L'!J108+'State and Local P&amp;L'!J74</f>
        <v>550533457</v>
      </c>
      <c r="L83" s="113">
        <f>'Federal P&amp;L'!K108+'State and Local P&amp;L'!K74</f>
        <v>589392274</v>
      </c>
      <c r="M83" s="113">
        <f>'Federal P&amp;L'!L108+'State and Local P&amp;L'!L74</f>
        <v>641295135</v>
      </c>
      <c r="N83" s="113">
        <f>'Federal P&amp;L'!M108+'State and Local P&amp;L'!M74</f>
        <v>688887382</v>
      </c>
      <c r="O83" s="113">
        <f>'Federal P&amp;L'!N108+'State and Local P&amp;L'!N74</f>
        <v>686673159</v>
      </c>
      <c r="P83" s="113">
        <f>'Federal P&amp;L'!O108+'State and Local P&amp;L'!O74</f>
        <v>724700021</v>
      </c>
      <c r="Q83" s="113">
        <f>'Federal P&amp;L'!P108+'State and Local P&amp;L'!P74</f>
        <v>763757135</v>
      </c>
      <c r="R83" s="113">
        <f>'Federal P&amp;L'!Q108+'State and Local P&amp;L'!Q74</f>
        <v>829156032</v>
      </c>
      <c r="S83" s="113">
        <f>'Federal P&amp;L'!R108+'State and Local P&amp;L'!R74</f>
        <v>870621864</v>
      </c>
      <c r="T83" s="113">
        <f>'Federal P&amp;L'!S108+'State and Local P&amp;L'!S74</f>
        <v>912584769</v>
      </c>
      <c r="U83" s="113">
        <f>'Federal P&amp;L'!T108+'State and Local P&amp;L'!T74</f>
        <v>938813987</v>
      </c>
      <c r="V83" s="113">
        <f>'Federal P&amp;L'!U108+'State and Local P&amp;L'!U74</f>
        <v>942174024</v>
      </c>
      <c r="W83" s="113">
        <f>'Federal P&amp;L'!V108+'State and Local P&amp;L'!V74</f>
        <v>968804865</v>
      </c>
      <c r="X83" s="113">
        <f>'Federal P&amp;L'!W108+'State and Local P&amp;L'!W74</f>
        <v>1001332509</v>
      </c>
      <c r="Y83" s="113">
        <f>'Federal P&amp;L'!X108+'State and Local P&amp;L'!X74</f>
        <v>1021459092</v>
      </c>
      <c r="Z83" s="113">
        <f>'Federal P&amp;L'!Y108+'State and Local P&amp;L'!Y74</f>
        <v>1065993008</v>
      </c>
      <c r="AA83" s="113">
        <f>'Federal P&amp;L'!Z108+'State and Local P&amp;L'!Z74</f>
        <v>1133523854</v>
      </c>
      <c r="AB83" s="113">
        <f>'Federal P&amp;L'!AA108+'State and Local P&amp;L'!AA74</f>
        <v>1213504963</v>
      </c>
      <c r="AC83" s="113">
        <f>'Federal P&amp;L'!AB108+'State and Local P&amp;L'!AB74</f>
        <v>1318438914</v>
      </c>
      <c r="AD83" s="113">
        <f>'Federal P&amp;L'!AC108+'State and Local P&amp;L'!AC74</f>
        <v>1407206349</v>
      </c>
      <c r="AE83" s="113">
        <f>'Federal P&amp;L'!AD108+'State and Local P&amp;L'!AD74</f>
        <v>1503188207</v>
      </c>
      <c r="AF83" s="113">
        <f>'Federal P&amp;L'!AE108+'State and Local P&amp;L'!AE74</f>
        <v>1686879317</v>
      </c>
      <c r="AG83" s="113">
        <f>'Federal P&amp;L'!AF108+'State and Local P&amp;L'!AF74</f>
        <v>1696205893</v>
      </c>
      <c r="AH83" s="113">
        <f>'Federal P&amp;L'!AG108+'State and Local P&amp;L'!AG74</f>
        <v>1795287727</v>
      </c>
      <c r="AI83" s="113">
        <f>'Federal P&amp;L'!AH108+'State and Local P&amp;L'!AH74</f>
        <v>1803518131</v>
      </c>
      <c r="AJ83" s="113">
        <f>'Federal P&amp;L'!AI108+'State and Local P&amp;L'!AI74</f>
        <v>1815379101</v>
      </c>
      <c r="AK83" s="113">
        <f>'Federal P&amp;L'!AJ108+'State and Local P&amp;L'!AJ74</f>
        <v>1897163054</v>
      </c>
    </row>
    <row r="84" spans="1:37" outlineLevel="3">
      <c r="A84" s="22" t="str">
        <f>B83</f>
        <v>Wealth and Savings</v>
      </c>
      <c r="B84" s="28" t="s">
        <v>54</v>
      </c>
      <c r="C84" s="113">
        <f>'Federal P&amp;L'!B109</f>
        <v>118546801</v>
      </c>
      <c r="D84" s="113">
        <f>'Federal P&amp;L'!C109</f>
        <v>139584428</v>
      </c>
      <c r="E84" s="113">
        <f>'Federal P&amp;L'!D109</f>
        <v>155963940</v>
      </c>
      <c r="F84" s="113">
        <f>'Federal P&amp;L'!E109</f>
        <v>170723539</v>
      </c>
      <c r="G84" s="113">
        <f>'Federal P&amp;L'!F109</f>
        <v>178222816</v>
      </c>
      <c r="H84" s="113">
        <f>'Federal P&amp;L'!G109</f>
        <v>188623082</v>
      </c>
      <c r="I84" s="113">
        <f>'Federal P&amp;L'!H109</f>
        <v>198756366</v>
      </c>
      <c r="J84" s="113">
        <f>'Federal P&amp;L'!I109</f>
        <v>207351976</v>
      </c>
      <c r="K84" s="113">
        <f>'Federal P&amp;L'!J109</f>
        <v>219340581</v>
      </c>
      <c r="L84" s="113">
        <f>'Federal P&amp;L'!K109</f>
        <v>232542077</v>
      </c>
      <c r="M84" s="113">
        <f>'Federal P&amp;L'!L109</f>
        <v>248622598</v>
      </c>
      <c r="N84" s="113">
        <f>'Federal P&amp;L'!M109</f>
        <v>269014328</v>
      </c>
      <c r="O84" s="113">
        <f>'Federal P&amp;L'!N109</f>
        <v>287584387</v>
      </c>
      <c r="P84" s="113">
        <f>'Federal P&amp;L'!O109</f>
        <v>304584743</v>
      </c>
      <c r="Q84" s="113">
        <f>'Federal P&amp;L'!P109</f>
        <v>319564709</v>
      </c>
      <c r="R84" s="113">
        <f>'Federal P&amp;L'!Q109</f>
        <v>335846000</v>
      </c>
      <c r="S84" s="113">
        <f>'Federal P&amp;L'!R109</f>
        <v>349671000</v>
      </c>
      <c r="T84" s="113">
        <f>'Federal P&amp;L'!S109</f>
        <v>365251000</v>
      </c>
      <c r="U84" s="113">
        <f>'Federal P&amp;L'!T109</f>
        <v>379215000</v>
      </c>
      <c r="V84" s="113">
        <f>'Federal P&amp;L'!U109</f>
        <v>390037000</v>
      </c>
      <c r="W84" s="113">
        <f>'Federal P&amp;L'!V109</f>
        <v>409417000</v>
      </c>
      <c r="X84" s="113">
        <f>'Federal P&amp;L'!W109</f>
        <v>432958000</v>
      </c>
      <c r="Y84" s="113">
        <f>'Federal P&amp;L'!X109</f>
        <v>455979000</v>
      </c>
      <c r="Z84" s="113">
        <f>'Federal P&amp;L'!Y109</f>
        <v>474678000</v>
      </c>
      <c r="AA84" s="113">
        <f>'Federal P&amp;L'!Z109</f>
        <v>495541000</v>
      </c>
      <c r="AB84" s="113">
        <f>'Federal P&amp;L'!AA109</f>
        <v>523303000</v>
      </c>
      <c r="AC84" s="113">
        <f>'Federal P&amp;L'!AB109</f>
        <v>548540000</v>
      </c>
      <c r="AD84" s="113">
        <f>'Federal P&amp;L'!AC109</f>
        <v>586137000</v>
      </c>
      <c r="AE84" s="113">
        <f>'Federal P&amp;L'!AD109</f>
        <v>617004000</v>
      </c>
      <c r="AF84" s="113">
        <f>'Federal P&amp;L'!AE109</f>
        <v>682918000</v>
      </c>
      <c r="AG84" s="113">
        <f>'Federal P&amp;L'!AF109</f>
        <v>706709000</v>
      </c>
      <c r="AH84" s="113">
        <f>'Federal P&amp;L'!AG109</f>
        <v>730784000</v>
      </c>
      <c r="AI84" s="113">
        <f>'Federal P&amp;L'!AH109</f>
        <v>773261000</v>
      </c>
      <c r="AJ84" s="113">
        <f>'Federal P&amp;L'!AI109</f>
        <v>813529000</v>
      </c>
      <c r="AK84" s="113">
        <f>'Federal P&amp;L'!AJ109</f>
        <v>850517000</v>
      </c>
    </row>
    <row r="85" spans="1:37" outlineLevel="4">
      <c r="A85" s="22" t="str">
        <f>B84</f>
        <v>Social Security</v>
      </c>
      <c r="B85" s="29" t="s">
        <v>72</v>
      </c>
      <c r="C85" s="113">
        <f>'Federal P&amp;L'!B110</f>
        <v>102669877</v>
      </c>
      <c r="D85" s="113">
        <f>'Federal P&amp;L'!C110</f>
        <v>121764112</v>
      </c>
      <c r="E85" s="113">
        <f>'Federal P&amp;L'!D110</f>
        <v>137253355</v>
      </c>
      <c r="F85" s="113">
        <f>'Federal P&amp;L'!E110</f>
        <v>135209189</v>
      </c>
      <c r="G85" s="113">
        <f>'Federal P&amp;L'!F110</f>
        <v>153323671</v>
      </c>
      <c r="H85" s="113">
        <f>'Federal P&amp;L'!G110</f>
        <v>164252414</v>
      </c>
      <c r="I85" s="113">
        <f>'Federal P&amp;L'!H110</f>
        <v>171556101</v>
      </c>
      <c r="J85" s="113">
        <f>'Federal P&amp;L'!I110</f>
        <v>180676586</v>
      </c>
      <c r="K85" s="113">
        <f>'Federal P&amp;L'!J110</f>
        <v>191559286</v>
      </c>
      <c r="L85" s="113">
        <f>'Federal P&amp;L'!K110</f>
        <v>203332152</v>
      </c>
      <c r="M85" s="113">
        <f>'Federal P&amp;L'!L110</f>
        <v>219087132</v>
      </c>
      <c r="N85" s="113">
        <f>'Federal P&amp;L'!M110</f>
        <v>235403689</v>
      </c>
      <c r="O85" s="113">
        <f>'Federal P&amp;L'!N110</f>
        <v>250339747</v>
      </c>
      <c r="P85" s="113">
        <f>'Federal P&amp;L'!O110</f>
        <v>263988277</v>
      </c>
      <c r="Q85" s="113">
        <f>'Federal P&amp;L'!P110</f>
        <v>276207426</v>
      </c>
      <c r="R85" s="113">
        <f>'Federal P&amp;L'!Q110</f>
        <v>289331000</v>
      </c>
      <c r="S85" s="113">
        <f>'Federal P&amp;L'!R110</f>
        <v>299560000</v>
      </c>
      <c r="T85" s="113">
        <f>'Federal P&amp;L'!S110</f>
        <v>312083000</v>
      </c>
      <c r="U85" s="113">
        <f>'Federal P&amp;L'!T110</f>
        <v>321149000</v>
      </c>
      <c r="V85" s="113">
        <f>'Federal P&amp;L'!U110</f>
        <v>327718000</v>
      </c>
      <c r="W85" s="113">
        <f>'Federal P&amp;L'!V110</f>
        <v>340918000</v>
      </c>
      <c r="X85" s="113">
        <f>'Federal P&amp;L'!W110</f>
        <v>361229000</v>
      </c>
      <c r="Y85" s="113">
        <f>'Federal P&amp;L'!X110</f>
        <v>376540000</v>
      </c>
      <c r="Z85" s="113">
        <f>'Federal P&amp;L'!Y110</f>
        <v>390330000</v>
      </c>
      <c r="AA85" s="113">
        <f>'Federal P&amp;L'!Z110</f>
        <v>404005000</v>
      </c>
      <c r="AB85" s="113">
        <f>'Federal P&amp;L'!AA110</f>
        <v>421467000</v>
      </c>
      <c r="AC85" s="113">
        <f>'Federal P&amp;L'!AB110</f>
        <v>440413000</v>
      </c>
      <c r="AD85" s="113">
        <f>'Federal P&amp;L'!AC110</f>
        <v>468456000</v>
      </c>
      <c r="AE85" s="113">
        <f>'Federal P&amp;L'!AD110</f>
        <v>493467000</v>
      </c>
      <c r="AF85" s="113">
        <f>'Federal P&amp;L'!AE110</f>
        <v>532671000</v>
      </c>
      <c r="AG85" s="113">
        <f>'Federal P&amp;L'!AF110</f>
        <v>558820000</v>
      </c>
      <c r="AH85" s="113">
        <f>'Federal P&amp;L'!AG110</f>
        <v>510613000</v>
      </c>
      <c r="AI85" s="113">
        <f>'Federal P&amp;L'!AH110</f>
        <v>511071000</v>
      </c>
      <c r="AJ85" s="113">
        <f>'Federal P&amp;L'!AI110</f>
        <v>620374000</v>
      </c>
      <c r="AK85" s="113">
        <f>'Federal P&amp;L'!AJ110</f>
        <v>681134000</v>
      </c>
    </row>
    <row r="86" spans="1:37" outlineLevel="4">
      <c r="A86" s="22" t="str">
        <f>B84</f>
        <v>Social Security</v>
      </c>
      <c r="B86" s="29" t="s">
        <v>118</v>
      </c>
      <c r="C86" s="113">
        <f>'Federal P&amp;L'!B111</f>
        <v>15201844</v>
      </c>
      <c r="D86" s="113">
        <f>'Federal P&amp;L'!C111</f>
        <v>17149860</v>
      </c>
      <c r="E86" s="113">
        <f>'Federal P&amp;L'!D111</f>
        <v>17867070</v>
      </c>
      <c r="F86" s="113">
        <f>'Federal P&amp;L'!E111</f>
        <v>15412330</v>
      </c>
      <c r="G86" s="113">
        <f>'Federal P&amp;L'!F111</f>
        <v>17082978</v>
      </c>
      <c r="H86" s="113">
        <f>'Federal P&amp;L'!G111</f>
        <v>18390511</v>
      </c>
      <c r="I86" s="113">
        <f>'Federal P&amp;L'!H111</f>
        <v>18611831</v>
      </c>
      <c r="J86" s="113">
        <f>'Federal P&amp;L'!I111</f>
        <v>21060196</v>
      </c>
      <c r="K86" s="113">
        <f>'Federal P&amp;L'!J111</f>
        <v>22013695</v>
      </c>
      <c r="L86" s="113">
        <f>'Federal P&amp;L'!K111</f>
        <v>23055898</v>
      </c>
      <c r="M86" s="113">
        <f>'Federal P&amp;L'!L111</f>
        <v>24828217</v>
      </c>
      <c r="N86" s="113">
        <f>'Federal P&amp;L'!M111</f>
        <v>27639512</v>
      </c>
      <c r="O86" s="113">
        <f>'Federal P&amp;L'!N111</f>
        <v>31078594</v>
      </c>
      <c r="P86" s="113">
        <f>'Federal P&amp;L'!O111</f>
        <v>34360665</v>
      </c>
      <c r="Q86" s="113">
        <f>'Federal P&amp;L'!P111</f>
        <v>37673832</v>
      </c>
      <c r="R86" s="113">
        <f>'Federal P&amp;L'!Q111</f>
        <v>41039000</v>
      </c>
      <c r="S86" s="113">
        <f>'Federal P&amp;L'!R111</f>
        <v>43977000</v>
      </c>
      <c r="T86" s="113">
        <f>'Federal P&amp;L'!S111</f>
        <v>46289000</v>
      </c>
      <c r="U86" s="113">
        <f>'Federal P&amp;L'!T111</f>
        <v>48920000</v>
      </c>
      <c r="V86" s="113">
        <f>'Federal P&amp;L'!U111</f>
        <v>51495000</v>
      </c>
      <c r="W86" s="113">
        <f>'Federal P&amp;L'!V111</f>
        <v>55245000</v>
      </c>
      <c r="X86" s="113">
        <f>'Federal P&amp;L'!W111</f>
        <v>59198000</v>
      </c>
      <c r="Y86" s="113">
        <f>'Federal P&amp;L'!X111</f>
        <v>65423000</v>
      </c>
      <c r="Z86" s="113">
        <f>'Federal P&amp;L'!Y111</f>
        <v>70991000</v>
      </c>
      <c r="AA86" s="113">
        <f>'Federal P&amp;L'!Z111</f>
        <v>77415000</v>
      </c>
      <c r="AB86" s="113">
        <f>'Federal P&amp;L'!AA111</f>
        <v>85249000</v>
      </c>
      <c r="AC86" s="113">
        <f>'Federal P&amp;L'!AB111</f>
        <v>91757000</v>
      </c>
      <c r="AD86" s="113">
        <f>'Federal P&amp;L'!AC111</f>
        <v>98295000</v>
      </c>
      <c r="AE86" s="113">
        <f>'Federal P&amp;L'!AD111</f>
        <v>105754000</v>
      </c>
      <c r="AF86" s="113">
        <f>'Federal P&amp;L'!AE111</f>
        <v>116151000</v>
      </c>
      <c r="AG86" s="113">
        <f>'Federal P&amp;L'!AF111</f>
        <v>124567000</v>
      </c>
      <c r="AH86" s="113">
        <f>'Federal P&amp;L'!AG111</f>
        <v>118097000</v>
      </c>
      <c r="AI86" s="113">
        <f>'Federal P&amp;L'!AH111</f>
        <v>121805000</v>
      </c>
      <c r="AJ86" s="113">
        <f>'Federal P&amp;L'!AI111</f>
        <v>137076000</v>
      </c>
      <c r="AK86" s="113">
        <f>'Federal P&amp;L'!AJ111</f>
        <v>143490000</v>
      </c>
    </row>
    <row r="87" spans="1:37" outlineLevel="4">
      <c r="A87" s="22" t="str">
        <f>B84</f>
        <v>Social Security</v>
      </c>
      <c r="B87" s="29" t="s">
        <v>119</v>
      </c>
      <c r="C87" s="113">
        <f>'Federal P&amp;L'!B112</f>
        <v>675080</v>
      </c>
      <c r="D87" s="113">
        <f>'Federal P&amp;L'!C112</f>
        <v>670456</v>
      </c>
      <c r="E87" s="113">
        <f>'Federal P&amp;L'!D112</f>
        <v>843515</v>
      </c>
      <c r="F87" s="113">
        <f>'Federal P&amp;L'!E112</f>
        <v>20102020</v>
      </c>
      <c r="G87" s="113">
        <f>'Federal P&amp;L'!F112</f>
        <v>7816167</v>
      </c>
      <c r="H87" s="113">
        <f>'Federal P&amp;L'!G112</f>
        <v>5980157</v>
      </c>
      <c r="I87" s="113">
        <f>'Federal P&amp;L'!H112</f>
        <v>8588434</v>
      </c>
      <c r="J87" s="113">
        <f>'Federal P&amp;L'!I112</f>
        <v>5615194</v>
      </c>
      <c r="K87" s="113">
        <f>'Federal P&amp;L'!J112</f>
        <v>5767600</v>
      </c>
      <c r="L87" s="113">
        <f>'Federal P&amp;L'!K112</f>
        <v>6154027</v>
      </c>
      <c r="M87" s="113">
        <f>'Federal P&amp;L'!L112</f>
        <v>4707249</v>
      </c>
      <c r="N87" s="113">
        <f>'Federal P&amp;L'!M112</f>
        <v>5971127</v>
      </c>
      <c r="O87" s="113">
        <f>'Federal P&amp;L'!N112</f>
        <v>6166046</v>
      </c>
      <c r="P87" s="113">
        <f>'Federal P&amp;L'!O112</f>
        <v>6235801</v>
      </c>
      <c r="Q87" s="113">
        <f>'Federal P&amp;L'!P112</f>
        <v>5683451</v>
      </c>
      <c r="R87" s="113">
        <f>'Federal P&amp;L'!Q112</f>
        <v>5476000</v>
      </c>
      <c r="S87" s="113">
        <f>'Federal P&amp;L'!R112</f>
        <v>6134000</v>
      </c>
      <c r="T87" s="113">
        <f>'Federal P&amp;L'!S112</f>
        <v>6879000</v>
      </c>
      <c r="U87" s="113">
        <f>'Federal P&amp;L'!T112</f>
        <v>9146000</v>
      </c>
      <c r="V87" s="113">
        <f>'Federal P&amp;L'!U112</f>
        <v>10824000</v>
      </c>
      <c r="W87" s="113">
        <f>'Federal P&amp;L'!V112</f>
        <v>13254000</v>
      </c>
      <c r="X87" s="113">
        <f>'Federal P&amp;L'!W112</f>
        <v>12531000</v>
      </c>
      <c r="Y87" s="113">
        <f>'Federal P&amp;L'!X112</f>
        <v>14016000</v>
      </c>
      <c r="Z87" s="113">
        <f>'Federal P&amp;L'!Y112</f>
        <v>13357000</v>
      </c>
      <c r="AA87" s="113">
        <f>'Federal P&amp;L'!Z112</f>
        <v>14121000</v>
      </c>
      <c r="AB87" s="113">
        <f>'Federal P&amp;L'!AA112</f>
        <v>16587000</v>
      </c>
      <c r="AC87" s="113">
        <f>'Federal P&amp;L'!AB112</f>
        <v>16370000</v>
      </c>
      <c r="AD87" s="113">
        <f>'Federal P&amp;L'!AC112</f>
        <v>19386000</v>
      </c>
      <c r="AE87" s="113">
        <f>'Federal P&amp;L'!AD112</f>
        <v>17783000</v>
      </c>
      <c r="AF87" s="113">
        <f>'Federal P&amp;L'!AE112</f>
        <v>34096000</v>
      </c>
      <c r="AG87" s="113">
        <f>'Federal P&amp;L'!AF112</f>
        <v>23322000</v>
      </c>
      <c r="AH87" s="113">
        <f>'Federal P&amp;L'!AG112</f>
        <v>102074000</v>
      </c>
      <c r="AI87" s="113">
        <f>'Federal P&amp;L'!AH112</f>
        <v>140385000</v>
      </c>
      <c r="AJ87" s="113">
        <f>'Federal P&amp;L'!AI112</f>
        <v>56079000</v>
      </c>
      <c r="AK87" s="113">
        <f>'Federal P&amp;L'!AJ112</f>
        <v>25893000</v>
      </c>
    </row>
    <row r="88" spans="1:37" outlineLevel="3">
      <c r="A88" s="22" t="str">
        <f>B83</f>
        <v>Wealth and Savings</v>
      </c>
      <c r="B88" s="28" t="s">
        <v>247</v>
      </c>
      <c r="C88" s="113">
        <f>'Federal P&amp;L'!B113</f>
        <v>32089580</v>
      </c>
      <c r="D88" s="113">
        <f>'Federal P&amp;L'!C113</f>
        <v>39148729</v>
      </c>
      <c r="E88" s="113">
        <f>'Federal P&amp;L'!D113</f>
        <v>46567472</v>
      </c>
      <c r="F88" s="113">
        <f>'Federal P&amp;L'!E113</f>
        <v>52587740</v>
      </c>
      <c r="G88" s="113">
        <f>'Federal P&amp;L'!F113</f>
        <v>57537672</v>
      </c>
      <c r="H88" s="113">
        <f>'Federal P&amp;L'!G113</f>
        <v>65822367</v>
      </c>
      <c r="I88" s="113">
        <f>'Federal P&amp;L'!H113</f>
        <v>70163956</v>
      </c>
      <c r="J88" s="113">
        <f>'Federal P&amp;L'!I113</f>
        <v>75120105</v>
      </c>
      <c r="K88" s="113">
        <f>'Federal P&amp;L'!J113</f>
        <v>78878475</v>
      </c>
      <c r="L88" s="113">
        <f>'Federal P&amp;L'!K113</f>
        <v>84964394</v>
      </c>
      <c r="M88" s="113">
        <f>'Federal P&amp;L'!L113</f>
        <v>98101537</v>
      </c>
      <c r="N88" s="113">
        <f>'Federal P&amp;L'!M113</f>
        <v>104489292</v>
      </c>
      <c r="O88" s="113">
        <f>'Federal P&amp;L'!N113</f>
        <v>119023572</v>
      </c>
      <c r="P88" s="113">
        <f>'Federal P&amp;L'!O113</f>
        <v>130551946</v>
      </c>
      <c r="Q88" s="113">
        <f>'Federal P&amp;L'!P113</f>
        <v>144747722</v>
      </c>
      <c r="R88" s="113">
        <f>'Federal P&amp;L'!Q113</f>
        <v>159854000</v>
      </c>
      <c r="S88" s="113">
        <f>'Federal P&amp;L'!R113</f>
        <v>174226000</v>
      </c>
      <c r="T88" s="113">
        <f>'Federal P&amp;L'!S113</f>
        <v>190016000</v>
      </c>
      <c r="U88" s="113">
        <f>'Federal P&amp;L'!T113</f>
        <v>192823000</v>
      </c>
      <c r="V88" s="113">
        <f>'Federal P&amp;L'!U113</f>
        <v>190447000</v>
      </c>
      <c r="W88" s="113">
        <f>'Federal P&amp;L'!V113</f>
        <v>197113000</v>
      </c>
      <c r="X88" s="113">
        <f>'Federal P&amp;L'!W113</f>
        <v>217384000</v>
      </c>
      <c r="Y88" s="113">
        <f>'Federal P&amp;L'!X113</f>
        <v>230855000</v>
      </c>
      <c r="Z88" s="113">
        <f>'Federal P&amp;L'!Y113</f>
        <v>249433000</v>
      </c>
      <c r="AA88" s="113">
        <f>'Federal P&amp;L'!Z113</f>
        <v>269360000</v>
      </c>
      <c r="AB88" s="113">
        <f>'Federal P&amp;L'!AA113</f>
        <v>298638000</v>
      </c>
      <c r="AC88" s="113">
        <f>'Federal P&amp;L'!AB113</f>
        <v>329838000</v>
      </c>
      <c r="AD88" s="113">
        <f>'Federal P&amp;L'!AC113</f>
        <v>375401000</v>
      </c>
      <c r="AE88" s="113">
        <f>'Federal P&amp;L'!AD113</f>
        <v>390775000</v>
      </c>
      <c r="AF88" s="113">
        <f>'Federal P&amp;L'!AE113</f>
        <v>430095000</v>
      </c>
      <c r="AG88" s="113">
        <f>'Federal P&amp;L'!AF113</f>
        <v>451629000</v>
      </c>
      <c r="AH88" s="113">
        <f>'Federal P&amp;L'!AG113</f>
        <v>485744000</v>
      </c>
      <c r="AI88" s="113">
        <f>'Federal P&amp;L'!AH113</f>
        <v>472081000</v>
      </c>
      <c r="AJ88" s="113">
        <f>'Federal P&amp;L'!AI113</f>
        <v>497740000</v>
      </c>
      <c r="AK88" s="113">
        <f>'Federal P&amp;L'!AJ113</f>
        <v>511550000</v>
      </c>
    </row>
    <row r="89" spans="1:37" outlineLevel="3">
      <c r="A89" s="22" t="str">
        <f>B83</f>
        <v>Wealth and Savings</v>
      </c>
      <c r="B89" s="28" t="s">
        <v>308</v>
      </c>
      <c r="C89" s="113">
        <f>'Federal P&amp;L'!B114</f>
        <v>5083081</v>
      </c>
      <c r="D89" s="113">
        <f>'Federal P&amp;L'!C114</f>
        <v>5439462</v>
      </c>
      <c r="E89" s="113">
        <f>'Federal P&amp;L'!D114</f>
        <v>5570663</v>
      </c>
      <c r="F89" s="113">
        <f>'Federal P&amp;L'!E114</f>
        <v>5581077</v>
      </c>
      <c r="G89" s="113">
        <f>'Federal P&amp;L'!F114</f>
        <v>5441411</v>
      </c>
      <c r="H89" s="113">
        <f>'Federal P&amp;L'!G114</f>
        <v>5616954</v>
      </c>
      <c r="I89" s="113">
        <f>'Federal P&amp;L'!H114</f>
        <v>5329680</v>
      </c>
      <c r="J89" s="113">
        <f>'Federal P&amp;L'!I114</f>
        <v>5564665</v>
      </c>
      <c r="K89" s="113">
        <f>'Federal P&amp;L'!J114</f>
        <v>5294174</v>
      </c>
      <c r="L89" s="113">
        <f>'Federal P&amp;L'!K114</f>
        <v>5650358</v>
      </c>
      <c r="M89" s="113">
        <f>'Federal P&amp;L'!L114</f>
        <v>5148327</v>
      </c>
      <c r="N89" s="113">
        <f>'Federal P&amp;L'!M114</f>
        <v>4945054</v>
      </c>
      <c r="O89" s="113">
        <f>'Federal P&amp;L'!N114</f>
        <v>5482621</v>
      </c>
      <c r="P89" s="113">
        <f>'Federal P&amp;L'!O114</f>
        <v>4346698</v>
      </c>
      <c r="Q89" s="113">
        <f>'Federal P&amp;L'!P114</f>
        <v>5720012</v>
      </c>
      <c r="R89" s="113">
        <f>'Federal P&amp;L'!Q114</f>
        <v>5106000</v>
      </c>
      <c r="S89" s="113">
        <f>'Federal P&amp;L'!R114</f>
        <v>5281000</v>
      </c>
      <c r="T89" s="113">
        <f>'Federal P&amp;L'!S114</f>
        <v>4752000</v>
      </c>
      <c r="U89" s="113">
        <f>'Federal P&amp;L'!T114</f>
        <v>4665000</v>
      </c>
      <c r="V89" s="113">
        <f>'Federal P&amp;L'!U114</f>
        <v>1959000</v>
      </c>
      <c r="W89" s="113">
        <f>'Federal P&amp;L'!V114</f>
        <v>5298000</v>
      </c>
      <c r="X89" s="113">
        <f>'Federal P&amp;L'!W114</f>
        <v>5943000</v>
      </c>
      <c r="Y89" s="113">
        <f>'Federal P&amp;L'!X114</f>
        <v>5855000</v>
      </c>
      <c r="Z89" s="113">
        <f>'Federal P&amp;L'!Y114</f>
        <v>7103000</v>
      </c>
      <c r="AA89" s="113">
        <f>'Federal P&amp;L'!Z114</f>
        <v>6588000</v>
      </c>
      <c r="AB89" s="113">
        <f>'Federal P&amp;L'!AA114</f>
        <v>7043000</v>
      </c>
      <c r="AC89" s="113">
        <f>'Federal P&amp;L'!AB114</f>
        <v>4651000</v>
      </c>
      <c r="AD89" s="113">
        <f>'Federal P&amp;L'!AC114</f>
        <v>7943000</v>
      </c>
      <c r="AE89" s="113">
        <f>'Federal P&amp;L'!AD114</f>
        <v>9066000</v>
      </c>
      <c r="AF89" s="113">
        <f>'Federal P&amp;L'!AE114</f>
        <v>8342000</v>
      </c>
      <c r="AG89" s="113">
        <f>'Federal P&amp;L'!AF114</f>
        <v>6737000</v>
      </c>
      <c r="AH89" s="113">
        <f>'Federal P&amp;L'!AG114</f>
        <v>6913000</v>
      </c>
      <c r="AI89" s="113">
        <f>'Federal P&amp;L'!AH114</f>
        <v>8014000</v>
      </c>
      <c r="AJ89" s="113">
        <f>'Federal P&amp;L'!AI114</f>
        <v>7165000</v>
      </c>
      <c r="AK89" s="113">
        <f>'Federal P&amp;L'!AJ114</f>
        <v>8889000</v>
      </c>
    </row>
    <row r="90" spans="1:37" outlineLevel="3">
      <c r="A90" s="22" t="str">
        <f>B83</f>
        <v>Wealth and Savings</v>
      </c>
      <c r="B90" s="28" t="s">
        <v>52</v>
      </c>
      <c r="C90" s="113">
        <f>'Federal P&amp;L'!B115</f>
        <v>5785043</v>
      </c>
      <c r="D90" s="113">
        <f>'Federal P&amp;L'!C115</f>
        <v>5922533</v>
      </c>
      <c r="E90" s="113">
        <f>'Federal P&amp;L'!D115</f>
        <v>5883215</v>
      </c>
      <c r="F90" s="113">
        <f>'Federal P&amp;L'!E115</f>
        <v>4966470</v>
      </c>
      <c r="G90" s="113">
        <f>'Federal P&amp;L'!F115</f>
        <v>4136065</v>
      </c>
      <c r="H90" s="113">
        <f>'Federal P&amp;L'!G115</f>
        <v>2748261</v>
      </c>
      <c r="I90" s="113">
        <f>'Federal P&amp;L'!H115</f>
        <v>643752</v>
      </c>
      <c r="J90" s="113">
        <f>'Federal P&amp;L'!I115</f>
        <v>-451029</v>
      </c>
      <c r="K90" s="113">
        <f>'Federal P&amp;L'!J115</f>
        <v>4815748</v>
      </c>
      <c r="L90" s="113">
        <f>'Federal P&amp;L'!K115</f>
        <v>5266072</v>
      </c>
      <c r="M90" s="113">
        <f>'Federal P&amp;L'!L115</f>
        <v>3887411</v>
      </c>
      <c r="N90" s="113">
        <f>'Federal P&amp;L'!M115</f>
        <v>5369324</v>
      </c>
      <c r="O90" s="113">
        <f>'Federal P&amp;L'!N115</f>
        <v>4329100</v>
      </c>
      <c r="P90" s="113">
        <f>'Federal P&amp;L'!O115</f>
        <v>1562123</v>
      </c>
      <c r="Q90" s="113">
        <f>'Federal P&amp;L'!P115</f>
        <v>-491567</v>
      </c>
      <c r="R90" s="113">
        <f>'Federal P&amp;L'!Q115</f>
        <v>-1025000</v>
      </c>
      <c r="S90" s="113">
        <f>'Federal P&amp;L'!R115</f>
        <v>-5013000</v>
      </c>
      <c r="T90" s="113">
        <f>'Federal P&amp;L'!S115</f>
        <v>-3993000</v>
      </c>
      <c r="U90" s="113">
        <f>'Federal P&amp;L'!T115</f>
        <v>150000</v>
      </c>
      <c r="V90" s="113">
        <f>'Federal P&amp;L'!U115</f>
        <v>1506000</v>
      </c>
      <c r="W90" s="113">
        <f>'Federal P&amp;L'!V115</f>
        <v>-3289000</v>
      </c>
      <c r="X90" s="113">
        <f>'Federal P&amp;L'!W115</f>
        <v>-1121000</v>
      </c>
      <c r="Y90" s="113">
        <f>'Federal P&amp;L'!X115</f>
        <v>-6963000</v>
      </c>
      <c r="Z90" s="113">
        <f>'Federal P&amp;L'!Y115</f>
        <v>-3292000</v>
      </c>
      <c r="AA90" s="113">
        <f>'Federal P&amp;L'!Z115</f>
        <v>1615000</v>
      </c>
      <c r="AB90" s="113">
        <f>'Federal P&amp;L'!AA115</f>
        <v>-1678000</v>
      </c>
      <c r="AC90" s="113">
        <f>'Federal P&amp;L'!AB115</f>
        <v>-1040000</v>
      </c>
      <c r="AD90" s="113">
        <f>'Federal P&amp;L'!AC115</f>
        <v>-5487000</v>
      </c>
      <c r="AE90" s="113">
        <f>'Federal P&amp;L'!AD115</f>
        <v>-681000</v>
      </c>
      <c r="AF90" s="113">
        <f>'Federal P&amp;L'!AE115</f>
        <v>99222000</v>
      </c>
      <c r="AG90" s="113">
        <f>'Federal P&amp;L'!AF115</f>
        <v>35186000</v>
      </c>
      <c r="AH90" s="113">
        <f>'Federal P&amp;L'!AG115</f>
        <v>13853000</v>
      </c>
      <c r="AI90" s="113">
        <f>'Federal P&amp;L'!AH115</f>
        <v>-8213000</v>
      </c>
      <c r="AJ90" s="113">
        <f>'Federal P&amp;L'!AI115</f>
        <v>-88201000</v>
      </c>
      <c r="AK90" s="113">
        <f>'Federal P&amp;L'!AJ115</f>
        <v>-84349000</v>
      </c>
    </row>
    <row r="91" spans="1:37" outlineLevel="3">
      <c r="A91" s="22" t="str">
        <f>B90</f>
        <v>Housing Support</v>
      </c>
      <c r="B91" s="29" t="s">
        <v>296</v>
      </c>
      <c r="C91" s="113">
        <f>'Federal P&amp;L'!B117</f>
        <v>0</v>
      </c>
      <c r="D91" s="113">
        <f>'Federal P&amp;L'!C117</f>
        <v>0</v>
      </c>
      <c r="E91" s="113">
        <f>'Federal P&amp;L'!D117</f>
        <v>0</v>
      </c>
      <c r="F91" s="113">
        <f>'Federal P&amp;L'!E117</f>
        <v>0</v>
      </c>
      <c r="G91" s="113">
        <f>'Federal P&amp;L'!F117</f>
        <v>0</v>
      </c>
      <c r="H91" s="113">
        <f>'Federal P&amp;L'!G117</f>
        <v>0</v>
      </c>
      <c r="I91" s="113">
        <f>'Federal P&amp;L'!H117</f>
        <v>0</v>
      </c>
      <c r="J91" s="113">
        <f>'Federal P&amp;L'!I117</f>
        <v>0</v>
      </c>
      <c r="K91" s="113">
        <f>'Federal P&amp;L'!J117</f>
        <v>0</v>
      </c>
      <c r="L91" s="113">
        <f>'Federal P&amp;L'!K117</f>
        <v>0</v>
      </c>
      <c r="M91" s="113">
        <f>'Federal P&amp;L'!L117</f>
        <v>0</v>
      </c>
      <c r="N91" s="113">
        <f>'Federal P&amp;L'!M117</f>
        <v>0</v>
      </c>
      <c r="O91" s="113">
        <f>'Federal P&amp;L'!N117</f>
        <v>0</v>
      </c>
      <c r="P91" s="113">
        <f>'Federal P&amp;L'!O117</f>
        <v>0</v>
      </c>
      <c r="Q91" s="113">
        <f>'Federal P&amp;L'!P117</f>
        <v>0</v>
      </c>
      <c r="R91" s="113">
        <f>'Federal P&amp;L'!Q117</f>
        <v>0</v>
      </c>
      <c r="S91" s="113">
        <f>'Federal P&amp;L'!R117</f>
        <v>0</v>
      </c>
      <c r="T91" s="113">
        <f>'Federal P&amp;L'!S117</f>
        <v>0</v>
      </c>
      <c r="U91" s="113">
        <f>'Federal P&amp;L'!T117</f>
        <v>0</v>
      </c>
      <c r="V91" s="113">
        <f>'Federal P&amp;L'!U117</f>
        <v>0</v>
      </c>
      <c r="W91" s="113">
        <f>'Federal P&amp;L'!V117</f>
        <v>0</v>
      </c>
      <c r="X91" s="113">
        <f>'Federal P&amp;L'!W117</f>
        <v>0</v>
      </c>
      <c r="Y91" s="113">
        <f>'Federal P&amp;L'!X117</f>
        <v>0</v>
      </c>
      <c r="Z91" s="113">
        <f>'Federal P&amp;L'!Y117</f>
        <v>0</v>
      </c>
      <c r="AA91" s="113">
        <f>'Federal P&amp;L'!Z117</f>
        <v>0</v>
      </c>
      <c r="AB91" s="113">
        <f>'Federal P&amp;L'!AA117</f>
        <v>0</v>
      </c>
      <c r="AC91" s="113">
        <f>'Federal P&amp;L'!AB117</f>
        <v>0</v>
      </c>
      <c r="AD91" s="113">
        <f>'Federal P&amp;L'!AC117</f>
        <v>0</v>
      </c>
      <c r="AE91" s="113">
        <f>'Federal P&amp;L'!AD117</f>
        <v>-54000</v>
      </c>
      <c r="AF91" s="113">
        <f>'Federal P&amp;L'!AE117</f>
        <v>86776000</v>
      </c>
      <c r="AG91" s="113">
        <f>'Federal P&amp;L'!AF117</f>
        <v>30876000</v>
      </c>
      <c r="AH91" s="113">
        <f>'Federal P&amp;L'!AG117</f>
        <v>12633000</v>
      </c>
      <c r="AI91" s="113">
        <f>'Federal P&amp;L'!AH117</f>
        <v>-7527000</v>
      </c>
      <c r="AJ91" s="113">
        <f>'Federal P&amp;L'!AI117</f>
        <v>-96888000</v>
      </c>
      <c r="AK91" s="113">
        <f>'Federal P&amp;L'!AJ117</f>
        <v>-74463000</v>
      </c>
    </row>
    <row r="92" spans="1:37" outlineLevel="3">
      <c r="A92" s="22" t="str">
        <f>B83</f>
        <v>Wealth and Savings</v>
      </c>
      <c r="B92" s="28" t="s">
        <v>41</v>
      </c>
      <c r="C92" s="113">
        <f>'Federal P&amp;L'!B119+'State and Local P&amp;L'!B75</f>
        <v>87153190</v>
      </c>
      <c r="D92" s="113">
        <f>'Federal P&amp;L'!C119+'State and Local P&amp;L'!C75</f>
        <v>109748595</v>
      </c>
      <c r="E92" s="113">
        <f>'Federal P&amp;L'!D119+'State and Local P&amp;L'!D75</f>
        <v>130764562</v>
      </c>
      <c r="F92" s="113">
        <f>'Federal P&amp;L'!E119+'State and Local P&amp;L'!E75</f>
        <v>144624707</v>
      </c>
      <c r="G92" s="113">
        <f>'Federal P&amp;L'!F119+'State and Local P&amp;L'!F75</f>
        <v>177540824</v>
      </c>
      <c r="H92" s="113">
        <f>'Federal P&amp;L'!G119+'State and Local P&amp;L'!G75</f>
        <v>199279956</v>
      </c>
      <c r="I92" s="113">
        <f>'Federal P&amp;L'!H119+'State and Local P&amp;L'!H75</f>
        <v>215721426</v>
      </c>
      <c r="J92" s="113">
        <f>'Federal P&amp;L'!I119+'State and Local P&amp;L'!I75</f>
        <v>231686319</v>
      </c>
      <c r="K92" s="113">
        <f>'Federal P&amp;L'!J119+'State and Local P&amp;L'!J75</f>
        <v>242204479</v>
      </c>
      <c r="L92" s="113">
        <f>'Federal P&amp;L'!K119+'State and Local P&amp;L'!K75</f>
        <v>260969373</v>
      </c>
      <c r="M92" s="113">
        <f>'Federal P&amp;L'!L119+'State and Local P&amp;L'!L75</f>
        <v>285535262</v>
      </c>
      <c r="N92" s="113">
        <f>'Federal P&amp;L'!M119+'State and Local P&amp;L'!M75</f>
        <v>305069384</v>
      </c>
      <c r="O92" s="113">
        <f>'Federal P&amp;L'!N119+'State and Local P&amp;L'!N75</f>
        <v>270253479</v>
      </c>
      <c r="P92" s="113">
        <f>'Federal P&amp;L'!O119+'State and Local P&amp;L'!O75</f>
        <v>283654511</v>
      </c>
      <c r="Q92" s="113">
        <f>'Federal P&amp;L'!P119+'State and Local P&amp;L'!P75</f>
        <v>294216259</v>
      </c>
      <c r="R92" s="113">
        <f>'Federal P&amp;L'!Q119+'State and Local P&amp;L'!Q75</f>
        <v>329375032</v>
      </c>
      <c r="S92" s="113">
        <f>'Federal P&amp;L'!R119+'State and Local P&amp;L'!R75</f>
        <v>346456864</v>
      </c>
      <c r="T92" s="113">
        <f>'Federal P&amp;L'!S119+'State and Local P&amp;L'!S75</f>
        <v>356558769</v>
      </c>
      <c r="U92" s="113">
        <f>'Federal P&amp;L'!T119+'State and Local P&amp;L'!T75</f>
        <v>361960987</v>
      </c>
      <c r="V92" s="113">
        <f>'Federal P&amp;L'!U119+'State and Local P&amp;L'!U75</f>
        <v>358225024</v>
      </c>
      <c r="W92" s="113">
        <f>'Federal P&amp;L'!V119+'State and Local P&amp;L'!V75</f>
        <v>360265865</v>
      </c>
      <c r="X92" s="113">
        <f>'Federal P&amp;L'!W119+'State and Local P&amp;L'!W75</f>
        <v>346168509</v>
      </c>
      <c r="Y92" s="113">
        <f>'Federal P&amp;L'!X119+'State and Local P&amp;L'!X75</f>
        <v>335733092</v>
      </c>
      <c r="Z92" s="113">
        <f>'Federal P&amp;L'!Y119+'State and Local P&amp;L'!Y75</f>
        <v>338071008</v>
      </c>
      <c r="AA92" s="113">
        <f>'Federal P&amp;L'!Z119+'State and Local P&amp;L'!Z75</f>
        <v>360419854</v>
      </c>
      <c r="AB92" s="113">
        <f>'Federal P&amp;L'!AA119+'State and Local P&amp;L'!AA75</f>
        <v>386198963</v>
      </c>
      <c r="AC92" s="113">
        <f>'Federal P&amp;L'!AB119+'State and Local P&amp;L'!AB75</f>
        <v>436449914</v>
      </c>
      <c r="AD92" s="113">
        <f>'Federal P&amp;L'!AC119+'State and Local P&amp;L'!AC75</f>
        <v>443212349</v>
      </c>
      <c r="AE92" s="113">
        <f>'Federal P&amp;L'!AD119+'State and Local P&amp;L'!AD75</f>
        <v>487024207</v>
      </c>
      <c r="AF92" s="113">
        <f>'Federal P&amp;L'!AE119+'State and Local P&amp;L'!AE75</f>
        <v>466302317</v>
      </c>
      <c r="AG92" s="113">
        <f>'Federal P&amp;L'!AF119+'State and Local P&amp;L'!AF75</f>
        <v>495944893</v>
      </c>
      <c r="AH92" s="113">
        <f>'Federal P&amp;L'!AG119+'State and Local P&amp;L'!AG75</f>
        <v>557993727</v>
      </c>
      <c r="AI92" s="113">
        <f>'Federal P&amp;L'!AH119+'State and Local P&amp;L'!AH75</f>
        <v>558375131</v>
      </c>
      <c r="AJ92" s="113">
        <f>'Federal P&amp;L'!AI119+'State and Local P&amp;L'!AI75</f>
        <v>585146101</v>
      </c>
      <c r="AK92" s="113">
        <f>'Federal P&amp;L'!AJ119+'State and Local P&amp;L'!AJ75</f>
        <v>610556054</v>
      </c>
    </row>
    <row r="93" spans="1:37" outlineLevel="3">
      <c r="A93" s="22" t="str">
        <f>B92</f>
        <v>Obligations</v>
      </c>
      <c r="B93" s="29" t="s">
        <v>42</v>
      </c>
      <c r="C93" s="113">
        <f>'Federal P&amp;L'!B120+'State and Local P&amp;L'!B76</f>
        <v>44017543</v>
      </c>
      <c r="D93" s="113">
        <f>'Federal P&amp;L'!C120+'State and Local P&amp;L'!C76</f>
        <v>50833905</v>
      </c>
      <c r="E93" s="113">
        <f>'Federal P&amp;L'!D120+'State and Local P&amp;L'!D76</f>
        <v>56690349</v>
      </c>
      <c r="F93" s="113">
        <f>'Federal P&amp;L'!E120+'State and Local P&amp;L'!E76</f>
        <v>60785745</v>
      </c>
      <c r="G93" s="113">
        <f>'Federal P&amp;L'!F120+'State and Local P&amp;L'!F76</f>
        <v>65587410</v>
      </c>
      <c r="H93" s="113">
        <f>'Federal P&amp;L'!G120+'State and Local P&amp;L'!G76</f>
        <v>69107593</v>
      </c>
      <c r="I93" s="113">
        <f>'Federal P&amp;L'!H120+'State and Local P&amp;L'!H76</f>
        <v>73761179</v>
      </c>
      <c r="J93" s="113">
        <f>'Federal P&amp;L'!I120+'State and Local P&amp;L'!I76</f>
        <v>81219296</v>
      </c>
      <c r="K93" s="113">
        <f>'Federal P&amp;L'!J120+'State and Local P&amp;L'!J76</f>
        <v>87551725</v>
      </c>
      <c r="L93" s="113">
        <f>'Federal P&amp;L'!K120+'State and Local P&amp;L'!K76</f>
        <v>92060624</v>
      </c>
      <c r="M93" s="113">
        <f>'Federal P&amp;L'!L120+'State and Local P&amp;L'!L76</f>
        <v>100606359</v>
      </c>
      <c r="N93" s="113">
        <f>'Federal P&amp;L'!M120+'State and Local P&amp;L'!M76</f>
        <v>110601376</v>
      </c>
      <c r="O93" s="113">
        <f>'Federal P&amp;L'!N120+'State and Local P&amp;L'!N76</f>
        <v>118052959</v>
      </c>
      <c r="P93" s="113">
        <f>'Federal P&amp;L'!O120+'State and Local P&amp;L'!O76</f>
        <v>126502848</v>
      </c>
      <c r="Q93" s="113">
        <f>'Federal P&amp;L'!P120+'State and Local P&amp;L'!P76</f>
        <v>132778647</v>
      </c>
      <c r="R93" s="113">
        <f>'Federal P&amp;L'!Q120+'State and Local P&amp;L'!Q76</f>
        <v>141863714</v>
      </c>
      <c r="S93" s="113">
        <f>'Federal P&amp;L'!R120+'State and Local P&amp;L'!R76</f>
        <v>151636399</v>
      </c>
      <c r="T93" s="113">
        <f>'Federal P&amp;L'!S120+'State and Local P&amp;L'!S76</f>
        <v>159563583</v>
      </c>
      <c r="U93" s="113">
        <f>'Federal P&amp;L'!T120+'State and Local P&amp;L'!T76</f>
        <v>168826254</v>
      </c>
      <c r="V93" s="113">
        <f>'Federal P&amp;L'!U120+'State and Local P&amp;L'!U76</f>
        <v>176168025</v>
      </c>
      <c r="W93" s="113">
        <f>'Federal P&amp;L'!V120+'State and Local P&amp;L'!V76</f>
        <v>188790171</v>
      </c>
      <c r="X93" s="113">
        <f>'Federal P&amp;L'!W120+'State and Local P&amp;L'!W76</f>
        <v>202511397</v>
      </c>
      <c r="Y93" s="113">
        <f>'Federal P&amp;L'!X120+'State and Local P&amp;L'!X76</f>
        <v>217322440</v>
      </c>
      <c r="Z93" s="113">
        <f>'Federal P&amp;L'!Y120+'State and Local P&amp;L'!Y76</f>
        <v>236612972</v>
      </c>
      <c r="AA93" s="113">
        <f>'Federal P&amp;L'!Z120+'State and Local P&amp;L'!Z76</f>
        <v>254336283</v>
      </c>
      <c r="AB93" s="113">
        <f>'Federal P&amp;L'!AA120+'State and Local P&amp;L'!AA76</f>
        <v>271922533</v>
      </c>
      <c r="AC93" s="113">
        <f>'Federal P&amp;L'!AB120+'State and Local P&amp;L'!AB76</f>
        <v>287762997</v>
      </c>
      <c r="AD93" s="113">
        <f>'Federal P&amp;L'!AC120+'State and Local P&amp;L'!AC76</f>
        <v>304328909</v>
      </c>
      <c r="AE93" s="113">
        <f>'Federal P&amp;L'!AD120+'State and Local P&amp;L'!AD76</f>
        <v>325986225</v>
      </c>
      <c r="AF93" s="113">
        <f>'Federal P&amp;L'!AE120+'State and Local P&amp;L'!AE76</f>
        <v>347060021</v>
      </c>
      <c r="AG93" s="113">
        <f>'Federal P&amp;L'!AF120+'State and Local P&amp;L'!AF76</f>
        <v>360996874</v>
      </c>
      <c r="AH93" s="113">
        <f>'Federal P&amp;L'!AG120+'State and Local P&amp;L'!AG76</f>
        <v>379766752</v>
      </c>
      <c r="AI93" s="113">
        <f>'Federal P&amp;L'!AH120+'State and Local P&amp;L'!AH76</f>
        <v>389690210</v>
      </c>
      <c r="AJ93" s="113">
        <f>'Federal P&amp;L'!AI120+'State and Local P&amp;L'!AI76</f>
        <v>412875303</v>
      </c>
      <c r="AK93" s="113">
        <f>'Federal P&amp;L'!AJ120+'State and Local P&amp;L'!AJ76</f>
        <v>432082940</v>
      </c>
    </row>
    <row r="94" spans="1:37" outlineLevel="3">
      <c r="A94" s="22" t="str">
        <f>B92</f>
        <v>Obligations</v>
      </c>
      <c r="B94" s="29" t="s">
        <v>314</v>
      </c>
      <c r="C94" s="113">
        <f>'Federal P&amp;L'!B121+'State and Local P&amp;L'!B77</f>
        <v>-10335303</v>
      </c>
      <c r="D94" s="113">
        <f>'Federal P&amp;L'!C121+'State and Local P&amp;L'!C77</f>
        <v>-10894517</v>
      </c>
      <c r="E94" s="113">
        <f>'Federal P&amp;L'!D121+'State and Local P&amp;L'!D77</f>
        <v>-11887489</v>
      </c>
      <c r="F94" s="113">
        <f>'Federal P&amp;L'!E121+'State and Local P&amp;L'!E77</f>
        <v>-12528720</v>
      </c>
      <c r="G94" s="113">
        <f>'Federal P&amp;L'!F121+'State and Local P&amp;L'!F77</f>
        <v>-12913795</v>
      </c>
      <c r="H94" s="113">
        <f>'Federal P&amp;L'!G121+'State and Local P&amp;L'!G77</f>
        <v>-14047155</v>
      </c>
      <c r="I94" s="113">
        <f>'Federal P&amp;L'!H121+'State and Local P&amp;L'!H77</f>
        <v>-15758488</v>
      </c>
      <c r="J94" s="113">
        <f>'Federal P&amp;L'!I121+'State and Local P&amp;L'!I77</f>
        <v>-17725324</v>
      </c>
      <c r="K94" s="113">
        <f>'Federal P&amp;L'!J121+'State and Local P&amp;L'!J77</f>
        <v>-19420311</v>
      </c>
      <c r="L94" s="113">
        <f>'Federal P&amp;L'!K121+'State and Local P&amp;L'!K77</f>
        <v>-21251402</v>
      </c>
      <c r="M94" s="113">
        <f>'Federal P&amp;L'!L121+'State and Local P&amp;L'!L77</f>
        <v>-22848992</v>
      </c>
      <c r="N94" s="113">
        <f>'Federal P&amp;L'!M121+'State and Local P&amp;L'!M77</f>
        <v>-26481732</v>
      </c>
      <c r="O94" s="113">
        <f>'Federal P&amp;L'!N121+'State and Local P&amp;L'!N77</f>
        <v>-27760841</v>
      </c>
      <c r="P94" s="113">
        <f>'Federal P&amp;L'!O121+'State and Local P&amp;L'!O77</f>
        <v>-29326048</v>
      </c>
      <c r="Q94" s="113">
        <f>'Federal P&amp;L'!P121+'State and Local P&amp;L'!P77</f>
        <v>-30964392</v>
      </c>
      <c r="R94" s="113">
        <f>'Federal P&amp;L'!Q121+'State and Local P&amp;L'!Q77</f>
        <v>-31723411</v>
      </c>
      <c r="S94" s="113">
        <f>'Federal P&amp;L'!R121+'State and Local P&amp;L'!R77</f>
        <v>-32123809</v>
      </c>
      <c r="T94" s="113">
        <f>'Federal P&amp;L'!S121+'State and Local P&amp;L'!S77</f>
        <v>-31795676</v>
      </c>
      <c r="U94" s="113">
        <f>'Federal P&amp;L'!T121+'State and Local P&amp;L'!T77</f>
        <v>-31493901</v>
      </c>
      <c r="V94" s="113">
        <f>'Federal P&amp;L'!U121+'State and Local P&amp;L'!U77</f>
        <v>-33299480</v>
      </c>
      <c r="W94" s="113">
        <f>'Federal P&amp;L'!V121+'State and Local P&amp;L'!V77</f>
        <v>-33887563</v>
      </c>
      <c r="X94" s="113">
        <f>'Federal P&amp;L'!W121+'State and Local P&amp;L'!W77</f>
        <v>-38771656</v>
      </c>
      <c r="Y94" s="113">
        <f>'Federal P&amp;L'!X121+'State and Local P&amp;L'!X77</f>
        <v>-41734573</v>
      </c>
      <c r="Z94" s="113">
        <f>'Federal P&amp;L'!Y121+'State and Local P&amp;L'!Y77</f>
        <v>-45536446</v>
      </c>
      <c r="AA94" s="113">
        <f>'Federal P&amp;L'!Z121+'State and Local P&amp;L'!Z77</f>
        <v>-54665833</v>
      </c>
      <c r="AB94" s="113">
        <f>'Federal P&amp;L'!AA121+'State and Local P&amp;L'!AA77</f>
        <v>-57439174</v>
      </c>
      <c r="AC94" s="113">
        <f>'Federal P&amp;L'!AB121+'State and Local P&amp;L'!AB77</f>
        <v>-57688305</v>
      </c>
      <c r="AD94" s="113">
        <f>'Federal P&amp;L'!AC121+'State and Local P&amp;L'!AC77</f>
        <v>-58153090</v>
      </c>
      <c r="AE94" s="113">
        <f>'Federal P&amp;L'!AD121+'State and Local P&amp;L'!AD77</f>
        <v>-56337574</v>
      </c>
      <c r="AF94" s="113">
        <f>'Federal P&amp;L'!AE121+'State and Local P&amp;L'!AE77</f>
        <v>-59356093</v>
      </c>
      <c r="AG94" s="113">
        <f>'Federal P&amp;L'!AF121+'State and Local P&amp;L'!AF77</f>
        <v>-57799064</v>
      </c>
      <c r="AH94" s="113">
        <f>'Federal P&amp;L'!AG121+'State and Local P&amp;L'!AG77</f>
        <v>-58372058</v>
      </c>
      <c r="AI94" s="113">
        <f>'Federal P&amp;L'!AH121+'State and Local P&amp;L'!AH77</f>
        <v>-61699123</v>
      </c>
      <c r="AJ94" s="113">
        <f>'Federal P&amp;L'!AI121+'State and Local P&amp;L'!AI77</f>
        <v>-62272034</v>
      </c>
      <c r="AK94" s="113">
        <f>'Federal P&amp;L'!AJ121+'State and Local P&amp;L'!AJ77</f>
        <v>-64260027</v>
      </c>
    </row>
    <row r="95" spans="1:37" outlineLevel="3">
      <c r="A95" s="22" t="str">
        <f>B92</f>
        <v>Obligations</v>
      </c>
      <c r="B95" s="29" t="s">
        <v>309</v>
      </c>
      <c r="C95" s="113">
        <f>'Federal P&amp;L'!B122</f>
        <v>-14388585</v>
      </c>
      <c r="D95" s="113">
        <f>'Federal P&amp;L'!C122</f>
        <v>-16141176</v>
      </c>
      <c r="E95" s="113">
        <f>'Federal P&amp;L'!D122</f>
        <v>-17806303</v>
      </c>
      <c r="F95" s="113">
        <f>'Federal P&amp;L'!E122</f>
        <v>-20652280</v>
      </c>
      <c r="G95" s="113">
        <f>'Federal P&amp;L'!F122</f>
        <v>-21913457</v>
      </c>
      <c r="H95" s="113">
        <f>'Federal P&amp;L'!G122</f>
        <v>-23198583</v>
      </c>
      <c r="I95" s="113">
        <f>'Federal P&amp;L'!H122</f>
        <v>-23830209</v>
      </c>
      <c r="J95" s="113">
        <f>'Federal P&amp;L'!I122</f>
        <v>-25559200</v>
      </c>
      <c r="K95" s="113">
        <f>'Federal P&amp;L'!J122</f>
        <v>-27543842</v>
      </c>
      <c r="L95" s="113">
        <f>'Federal P&amp;L'!K122</f>
        <v>-27838466</v>
      </c>
      <c r="M95" s="113">
        <f>'Federal P&amp;L'!L122</f>
        <v>-26498406</v>
      </c>
      <c r="N95" s="113">
        <f>'Federal P&amp;L'!M122</f>
        <v>-28679189</v>
      </c>
      <c r="O95" s="113">
        <f>'Federal P&amp;L'!N122</f>
        <v>-28804719</v>
      </c>
      <c r="P95" s="113">
        <f>'Federal P&amp;L'!O122</f>
        <v>-26231465</v>
      </c>
      <c r="Q95" s="113">
        <f>'Federal P&amp;L'!P122</f>
        <v>-26337981</v>
      </c>
      <c r="R95" s="113">
        <f>'Federal P&amp;L'!Q122</f>
        <v>-25865000</v>
      </c>
      <c r="S95" s="113">
        <f>'Federal P&amp;L'!R122</f>
        <v>-25260000</v>
      </c>
      <c r="T95" s="113">
        <f>'Federal P&amp;L'!S122</f>
        <v>-25678000</v>
      </c>
      <c r="U95" s="113">
        <f>'Federal P&amp;L'!T122</f>
        <v>-25670000</v>
      </c>
      <c r="V95" s="113">
        <f>'Federal P&amp;L'!U122</f>
        <v>-25968000</v>
      </c>
      <c r="W95" s="113">
        <f>'Federal P&amp;L'!V122</f>
        <v>-27595000</v>
      </c>
      <c r="X95" s="113">
        <f>'Federal P&amp;L'!W122</f>
        <v>-28190000</v>
      </c>
      <c r="Y95" s="113">
        <f>'Federal P&amp;L'!X122</f>
        <v>-30576000</v>
      </c>
      <c r="Z95" s="113">
        <f>'Federal P&amp;L'!Y122</f>
        <v>-36702000</v>
      </c>
      <c r="AA95" s="113">
        <f>'Federal P&amp;L'!Z122</f>
        <v>-39580000</v>
      </c>
      <c r="AB95" s="113">
        <f>'Federal P&amp;L'!AA122</f>
        <v>-44675000</v>
      </c>
      <c r="AC95" s="113">
        <f>'Federal P&amp;L'!AB122</f>
        <v>-45827000</v>
      </c>
      <c r="AD95" s="113">
        <f>'Federal P&amp;L'!AC122</f>
        <v>-54296000</v>
      </c>
      <c r="AE95" s="113">
        <f>'Federal P&amp;L'!AD122</f>
        <v>-54931000</v>
      </c>
      <c r="AF95" s="113">
        <f>'Federal P&amp;L'!AE122</f>
        <v>-53896000</v>
      </c>
      <c r="AG95" s="113">
        <f>'Federal P&amp;L'!AF122</f>
        <v>-63558000</v>
      </c>
      <c r="AH95" s="113">
        <f>'Federal P&amp;L'!AG122</f>
        <v>-60556000</v>
      </c>
      <c r="AI95" s="113">
        <f>'Federal P&amp;L'!AH122</f>
        <v>-64254000</v>
      </c>
      <c r="AJ95" s="113">
        <f>'Federal P&amp;L'!AI122</f>
        <v>-60977000</v>
      </c>
      <c r="AK95" s="113">
        <f>'Federal P&amp;L'!AJ122</f>
        <v>-59560000</v>
      </c>
    </row>
    <row r="96" spans="1:37" outlineLevel="3">
      <c r="A96" s="22" t="str">
        <f>B92</f>
        <v>Obligations</v>
      </c>
      <c r="B96" s="29" t="s">
        <v>310</v>
      </c>
      <c r="C96" s="113">
        <f>'Federal P&amp;L'!B123+'State and Local P&amp;L'!B78</f>
        <v>67859535</v>
      </c>
      <c r="D96" s="113">
        <f>'Federal P&amp;L'!C123+'State and Local P&amp;L'!C78</f>
        <v>85950383</v>
      </c>
      <c r="E96" s="113">
        <f>'Federal P&amp;L'!D123+'State and Local P&amp;L'!D78</f>
        <v>103768005</v>
      </c>
      <c r="F96" s="113">
        <f>'Federal P&amp;L'!E123+'State and Local P&amp;L'!E78</f>
        <v>117019962</v>
      </c>
      <c r="G96" s="113">
        <f>'Federal P&amp;L'!F123+'State and Local P&amp;L'!F78</f>
        <v>146780666</v>
      </c>
      <c r="H96" s="113">
        <f>'Federal P&amp;L'!G123+'State and Local P&amp;L'!G78</f>
        <v>167418101</v>
      </c>
      <c r="I96" s="113">
        <f>'Federal P&amp;L'!H123+'State and Local P&amp;L'!H78</f>
        <v>181548944</v>
      </c>
      <c r="J96" s="113">
        <f>'Federal P&amp;L'!I123+'State and Local P&amp;L'!I78</f>
        <v>193751547</v>
      </c>
      <c r="K96" s="113">
        <f>'Federal P&amp;L'!J123+'State and Local P&amp;L'!J78</f>
        <v>201616907</v>
      </c>
      <c r="L96" s="113">
        <f>'Federal P&amp;L'!K123+'State and Local P&amp;L'!K78</f>
        <v>217998617</v>
      </c>
      <c r="M96" s="113">
        <f>'Federal P&amp;L'!L123+'State and Local P&amp;L'!L78</f>
        <v>234276301</v>
      </c>
      <c r="N96" s="113">
        <f>'Federal P&amp;L'!M123+'State and Local P&amp;L'!M78</f>
        <v>249628929</v>
      </c>
      <c r="O96" s="113">
        <f>'Federal P&amp;L'!N123+'State and Local P&amp;L'!N78</f>
        <v>208766080</v>
      </c>
      <c r="P96" s="113">
        <f>'Federal P&amp;L'!O123+'State and Local P&amp;L'!O78</f>
        <v>212709176</v>
      </c>
      <c r="Q96" s="113">
        <f>'Federal P&amp;L'!P123+'State and Local P&amp;L'!P78</f>
        <v>218739985</v>
      </c>
      <c r="R96" s="113">
        <f>'Federal P&amp;L'!Q123+'State and Local P&amp;L'!Q78</f>
        <v>245099729</v>
      </c>
      <c r="S96" s="113">
        <f>'Federal P&amp;L'!R123+'State and Local P&amp;L'!R78</f>
        <v>252204274</v>
      </c>
      <c r="T96" s="113">
        <f>'Federal P&amp;L'!S123+'State and Local P&amp;L'!S78</f>
        <v>254468862</v>
      </c>
      <c r="U96" s="113">
        <f>'Federal P&amp;L'!T123+'State and Local P&amp;L'!T78</f>
        <v>250298634</v>
      </c>
      <c r="V96" s="113">
        <f>'Federal P&amp;L'!U123+'State and Local P&amp;L'!U78</f>
        <v>241324479</v>
      </c>
      <c r="W96" s="113">
        <f>'Federal P&amp;L'!V123+'State and Local P&amp;L'!V78</f>
        <v>232958257</v>
      </c>
      <c r="X96" s="113">
        <f>'Federal P&amp;L'!W123+'State and Local P&amp;L'!W78</f>
        <v>210618768</v>
      </c>
      <c r="Y96" s="113">
        <f>'Federal P&amp;L'!X123+'State and Local P&amp;L'!X78</f>
        <v>190721225</v>
      </c>
      <c r="Z96" s="113">
        <f>'Federal P&amp;L'!Y123+'State and Local P&amp;L'!Y78</f>
        <v>183696482</v>
      </c>
      <c r="AA96" s="113">
        <f>'Federal P&amp;L'!Z123+'State and Local P&amp;L'!Z78</f>
        <v>200329404</v>
      </c>
      <c r="AB96" s="113">
        <f>'Federal P&amp;L'!AA123+'State and Local P&amp;L'!AA78</f>
        <v>216390604</v>
      </c>
      <c r="AC96" s="113">
        <f>'Federal P&amp;L'!AB123+'State and Local P&amp;L'!AB78</f>
        <v>252202222</v>
      </c>
      <c r="AD96" s="113">
        <f>'Federal P&amp;L'!AC123+'State and Local P&amp;L'!AC78</f>
        <v>251332530</v>
      </c>
      <c r="AE96" s="113">
        <f>'Federal P&amp;L'!AD123+'State and Local P&amp;L'!AD78</f>
        <v>272306556</v>
      </c>
      <c r="AF96" s="113">
        <f>'Federal P&amp;L'!AE123+'State and Local P&amp;L'!AE78</f>
        <v>232494389</v>
      </c>
      <c r="AG96" s="113">
        <f>'Federal P&amp;L'!AF123+'State and Local P&amp;L'!AF78</f>
        <v>256305083</v>
      </c>
      <c r="AH96" s="113">
        <f>'Federal P&amp;L'!AG123+'State and Local P&amp;L'!AG78</f>
        <v>297155033</v>
      </c>
      <c r="AI96" s="113">
        <f>'Federal P&amp;L'!AH123+'State and Local P&amp;L'!AH78</f>
        <v>294638044</v>
      </c>
      <c r="AJ96" s="113">
        <f>'Federal P&amp;L'!AI123+'State and Local P&amp;L'!AI78</f>
        <v>295519832</v>
      </c>
      <c r="AK96" s="113">
        <f>'Federal P&amp;L'!AJ123+'State and Local P&amp;L'!AJ78</f>
        <v>302293141</v>
      </c>
    </row>
    <row r="97" spans="1:37" outlineLevel="2">
      <c r="A97" s="22" t="str">
        <f>B71</f>
        <v>Secure the Blessings of Liberty to Ourselves and Our Posterity</v>
      </c>
      <c r="B97" s="27" t="s">
        <v>495</v>
      </c>
      <c r="C97" s="113">
        <f>'Federal P&amp;L (detailed)'!C129</f>
        <v>537979</v>
      </c>
      <c r="D97" s="113">
        <f>'Federal P&amp;L (detailed)'!D129</f>
        <v>431681</v>
      </c>
      <c r="E97" s="113">
        <f>'Federal P&amp;L (detailed)'!E129</f>
        <v>394369</v>
      </c>
      <c r="F97" s="113">
        <f>'Federal P&amp;L (detailed)'!F129</f>
        <v>409163</v>
      </c>
      <c r="G97" s="113">
        <f>'Federal P&amp;L (detailed)'!G129</f>
        <v>525761</v>
      </c>
      <c r="H97" s="113">
        <f>'Federal P&amp;L (detailed)'!H129</f>
        <v>416300</v>
      </c>
      <c r="I97" s="113">
        <f>'Federal P&amp;L (detailed)'!I129</f>
        <v>428984</v>
      </c>
      <c r="J97" s="113">
        <f>'Federal P&amp;L (detailed)'!J129</f>
        <v>442474</v>
      </c>
      <c r="K97" s="113">
        <f>'Federal P&amp;L (detailed)'!K129</f>
        <v>592384</v>
      </c>
      <c r="L97" s="113">
        <f>'Federal P&amp;L (detailed)'!L129</f>
        <v>459928</v>
      </c>
      <c r="M97" s="113">
        <f>'Federal P&amp;L (detailed)'!M129</f>
        <v>457800</v>
      </c>
      <c r="N97" s="113">
        <f>'Federal P&amp;L (detailed)'!N129</f>
        <v>527544</v>
      </c>
      <c r="O97" s="113">
        <f>'Federal P&amp;L (detailed)'!O129</f>
        <v>688709</v>
      </c>
      <c r="P97" s="113">
        <f>'Federal P&amp;L (detailed)'!P129</f>
        <v>579614</v>
      </c>
      <c r="Q97" s="113">
        <f>'Federal P&amp;L (detailed)'!Q129</f>
        <v>664856</v>
      </c>
      <c r="R97" s="113">
        <f>'Federal P&amp;L (detailed)'!R129</f>
        <v>869000</v>
      </c>
      <c r="S97" s="113">
        <f>'Federal P&amp;L (detailed)'!S129</f>
        <v>1097000</v>
      </c>
      <c r="T97" s="113">
        <f>'Federal P&amp;L (detailed)'!T129</f>
        <v>954000</v>
      </c>
      <c r="U97" s="113">
        <f>'Federal P&amp;L (detailed)'!U129</f>
        <v>978000</v>
      </c>
      <c r="V97" s="113">
        <f>'Federal P&amp;L (detailed)'!V129</f>
        <v>1063000</v>
      </c>
      <c r="W97" s="113">
        <f>'Federal P&amp;L (detailed)'!W129</f>
        <v>1375000</v>
      </c>
      <c r="X97" s="113">
        <f>'Federal P&amp;L (detailed)'!X129</f>
        <v>1248000</v>
      </c>
      <c r="Y97" s="113">
        <f>'Federal P&amp;L (detailed)'!Y129</f>
        <v>1327000</v>
      </c>
      <c r="Z97" s="113">
        <f>'Federal P&amp;L (detailed)'!Z129</f>
        <v>2073000</v>
      </c>
      <c r="AA97" s="113">
        <f>'Federal P&amp;L (detailed)'!AA129</f>
        <v>2797000</v>
      </c>
      <c r="AB97" s="113">
        <f>'Federal P&amp;L (detailed)'!AB129</f>
        <v>2354000</v>
      </c>
      <c r="AC97" s="113">
        <f>'Federal P&amp;L (detailed)'!AC129</f>
        <v>1488000</v>
      </c>
      <c r="AD97" s="113">
        <f>'Federal P&amp;L (detailed)'!AD129</f>
        <v>1545000</v>
      </c>
      <c r="AE97" s="113">
        <f>'Federal P&amp;L (detailed)'!AE129</f>
        <v>1689000</v>
      </c>
      <c r="AF97" s="113">
        <f>'Federal P&amp;L (detailed)'!AF129</f>
        <v>1707000</v>
      </c>
      <c r="AG97" s="113">
        <f>'Federal P&amp;L (detailed)'!AG129</f>
        <v>1861000</v>
      </c>
      <c r="AH97" s="113">
        <f>'Federal P&amp;L (detailed)'!AH129</f>
        <v>1957000</v>
      </c>
      <c r="AI97" s="113">
        <f>'Federal P&amp;L (detailed)'!AI129</f>
        <v>1762000</v>
      </c>
      <c r="AJ97" s="113">
        <f>'Federal P&amp;L (detailed)'!AJ129</f>
        <v>1737000</v>
      </c>
      <c r="AK97" s="113">
        <f>'Federal P&amp;L (detailed)'!AK129</f>
        <v>1745000</v>
      </c>
    </row>
    <row r="98" spans="1:37" outlineLevel="3">
      <c r="A98" s="22" t="str">
        <f>B97</f>
        <v>Note: The American Dream (Federal)</v>
      </c>
      <c r="B98" s="106" t="str">
        <f>'Federal P&amp;L (detailed)'!B130</f>
        <v>Civil Rights Expenditures</v>
      </c>
      <c r="C98" s="113">
        <f>'Federal P&amp;L (detailed)'!C130</f>
        <v>242650</v>
      </c>
      <c r="D98" s="113">
        <f>'Federal P&amp;L (detailed)'!D130</f>
        <v>240347</v>
      </c>
      <c r="E98" s="113">
        <f>'Federal P&amp;L (detailed)'!E130</f>
        <v>243321</v>
      </c>
      <c r="F98" s="113">
        <f>'Federal P&amp;L (detailed)'!F130</f>
        <v>261640</v>
      </c>
      <c r="G98" s="113">
        <f>'Federal P&amp;L (detailed)'!G130</f>
        <v>264308</v>
      </c>
      <c r="H98" s="113">
        <f>'Federal P&amp;L (detailed)'!H130</f>
        <v>272555</v>
      </c>
      <c r="I98" s="113">
        <f>'Federal P&amp;L (detailed)'!I130</f>
        <v>261907</v>
      </c>
      <c r="J98" s="113">
        <f>'Federal P&amp;L (detailed)'!J130</f>
        <v>253838</v>
      </c>
      <c r="K98" s="113">
        <f>'Federal P&amp;L (detailed)'!K130</f>
        <v>268175</v>
      </c>
      <c r="L98" s="113">
        <f>'Federal P&amp;L (detailed)'!L130</f>
        <v>278093</v>
      </c>
      <c r="M98" s="113">
        <f>'Federal P&amp;L (detailed)'!M130</f>
        <v>273169</v>
      </c>
      <c r="N98" s="113">
        <f>'Federal P&amp;L (detailed)'!N130</f>
        <v>293276</v>
      </c>
      <c r="O98" s="113">
        <f>'Federal P&amp;L (detailed)'!O130</f>
        <v>320003</v>
      </c>
      <c r="P98" s="113">
        <f>'Federal P&amp;L (detailed)'!P130</f>
        <v>329288</v>
      </c>
      <c r="Q98" s="113">
        <f>'Federal P&amp;L (detailed)'!Q130</f>
        <v>342820</v>
      </c>
      <c r="R98" s="113">
        <f>'Federal P&amp;L (detailed)'!R130</f>
        <v>368000</v>
      </c>
      <c r="S98" s="113">
        <f>'Federal P&amp;L (detailed)'!S130</f>
        <v>380000</v>
      </c>
      <c r="T98" s="113">
        <f>'Federal P&amp;L (detailed)'!T130</f>
        <v>361000</v>
      </c>
      <c r="U98" s="113">
        <f>'Federal P&amp;L (detailed)'!U130</f>
        <v>357000</v>
      </c>
      <c r="V98" s="113">
        <f>'Federal P&amp;L (detailed)'!V130</f>
        <v>395000</v>
      </c>
      <c r="W98" s="113">
        <f>'Federal P&amp;L (detailed)'!W130</f>
        <v>437000</v>
      </c>
      <c r="X98" s="113">
        <f>'Federal P&amp;L (detailed)'!X130</f>
        <v>449000</v>
      </c>
      <c r="Y98" s="113">
        <f>'Federal P&amp;L (detailed)'!Y130</f>
        <v>492000</v>
      </c>
      <c r="Z98" s="113">
        <f>'Federal P&amp;L (detailed)'!Z130</f>
        <v>494000</v>
      </c>
      <c r="AA98" s="113">
        <f>'Federal P&amp;L (detailed)'!AA130</f>
        <v>518000</v>
      </c>
      <c r="AB98" s="113">
        <f>'Federal P&amp;L (detailed)'!AB130</f>
        <v>516000</v>
      </c>
      <c r="AC98" s="113">
        <f>'Federal P&amp;L (detailed)'!AC130</f>
        <v>521000</v>
      </c>
      <c r="AD98" s="113">
        <f>'Federal P&amp;L (detailed)'!AD130</f>
        <v>548000</v>
      </c>
      <c r="AE98" s="113">
        <f>'Federal P&amp;L (detailed)'!AE130</f>
        <v>618000</v>
      </c>
      <c r="AF98" s="113">
        <f>'Federal P&amp;L (detailed)'!AF130</f>
        <v>633000</v>
      </c>
      <c r="AG98" s="113">
        <f>'Federal P&amp;L (detailed)'!AG130</f>
        <v>659000</v>
      </c>
      <c r="AH98" s="113">
        <f>'Federal P&amp;L (detailed)'!AH130</f>
        <v>708000</v>
      </c>
      <c r="AI98" s="113">
        <f>'Federal P&amp;L (detailed)'!AI130</f>
        <v>708000</v>
      </c>
      <c r="AJ98" s="113">
        <f>'Federal P&amp;L (detailed)'!AJ130</f>
        <v>682000</v>
      </c>
      <c r="AK98" s="113">
        <f>'Federal P&amp;L (detailed)'!AK130</f>
        <v>673000</v>
      </c>
    </row>
    <row r="99" spans="1:37" outlineLevel="3">
      <c r="A99" s="22" t="str">
        <f>B97</f>
        <v>Note: The American Dream (Federal)</v>
      </c>
      <c r="B99" s="106" t="str">
        <f>'Federal P&amp;L (detailed)'!B131</f>
        <v>Elections</v>
      </c>
      <c r="C99" s="113">
        <f>'Federal P&amp;L (detailed)'!C131</f>
        <v>106586</v>
      </c>
      <c r="D99" s="113">
        <f>'Federal P&amp;L (detailed)'!D131</f>
        <v>13330</v>
      </c>
      <c r="E99" s="113">
        <f>'Federal P&amp;L (detailed)'!E131</f>
        <v>9174</v>
      </c>
      <c r="F99" s="113">
        <f>'Federal P&amp;L (detailed)'!F131</f>
        <v>21167</v>
      </c>
      <c r="G99" s="113">
        <f>'Federal P&amp;L (detailed)'!G131</f>
        <v>128296</v>
      </c>
      <c r="H99" s="113">
        <f>'Federal P&amp;L (detailed)'!H131</f>
        <v>14952</v>
      </c>
      <c r="I99" s="113">
        <f>'Federal P&amp;L (detailed)'!I131</f>
        <v>12670</v>
      </c>
      <c r="J99" s="113">
        <f>'Federal P&amp;L (detailed)'!J131</f>
        <v>30106</v>
      </c>
      <c r="K99" s="113">
        <f>'Federal P&amp;L (detailed)'!K131</f>
        <v>170864</v>
      </c>
      <c r="L99" s="113">
        <f>'Federal P&amp;L (detailed)'!L131</f>
        <v>18931</v>
      </c>
      <c r="M99" s="113">
        <f>'Federal P&amp;L (detailed)'!M131</f>
        <v>15194</v>
      </c>
      <c r="N99" s="113">
        <f>'Federal P&amp;L (detailed)'!N131</f>
        <v>37391</v>
      </c>
      <c r="O99" s="113">
        <f>'Federal P&amp;L (detailed)'!O131</f>
        <v>167048</v>
      </c>
      <c r="P99" s="113">
        <f>'Federal P&amp;L (detailed)'!P131</f>
        <v>26028</v>
      </c>
      <c r="Q99" s="113">
        <f>'Federal P&amp;L (detailed)'!Q131</f>
        <v>23661</v>
      </c>
      <c r="R99" s="113">
        <f>'Federal P&amp;L (detailed)'!R131</f>
        <v>48000</v>
      </c>
      <c r="S99" s="113">
        <f>'Federal P&amp;L (detailed)'!S131</f>
        <v>235000</v>
      </c>
      <c r="T99" s="113">
        <f>'Federal P&amp;L (detailed)'!T131</f>
        <v>28000</v>
      </c>
      <c r="U99" s="113">
        <f>'Federal P&amp;L (detailed)'!U131</f>
        <v>30000</v>
      </c>
      <c r="V99" s="113">
        <f>'Federal P&amp;L (detailed)'!V131</f>
        <v>59000</v>
      </c>
      <c r="W99" s="113">
        <f>'Federal P&amp;L (detailed)'!W131</f>
        <v>249000</v>
      </c>
      <c r="X99" s="113">
        <f>'Federal P&amp;L (detailed)'!X131</f>
        <v>43000</v>
      </c>
      <c r="Y99" s="113">
        <f>'Federal P&amp;L (detailed)'!Y131</f>
        <v>43000</v>
      </c>
      <c r="Z99" s="113">
        <f>'Federal P&amp;L (detailed)'!Z131</f>
        <v>740000</v>
      </c>
      <c r="AA99" s="113">
        <f>'Federal P&amp;L (detailed)'!AA131</f>
        <v>1515000</v>
      </c>
      <c r="AB99" s="113">
        <f>'Federal P&amp;L (detailed)'!AB131</f>
        <v>1042000</v>
      </c>
      <c r="AC99" s="113">
        <f>'Federal P&amp;L (detailed)'!AC131</f>
        <v>124000</v>
      </c>
      <c r="AD99" s="113">
        <f>'Federal P&amp;L (detailed)'!AD131</f>
        <v>97000</v>
      </c>
      <c r="AE99" s="113">
        <f>'Federal P&amp;L (detailed)'!AE131</f>
        <v>180000</v>
      </c>
      <c r="AF99" s="113">
        <f>'Federal P&amp;L (detailed)'!AF131</f>
        <v>158000</v>
      </c>
      <c r="AG99" s="113">
        <f>'Federal P&amp;L (detailed)'!AG131</f>
        <v>169000</v>
      </c>
      <c r="AH99" s="113">
        <f>'Federal P&amp;L (detailed)'!AH131</f>
        <v>205000</v>
      </c>
      <c r="AI99" s="113">
        <f>'Federal P&amp;L (detailed)'!AI131</f>
        <v>80000</v>
      </c>
      <c r="AJ99" s="113">
        <f>'Federal P&amp;L (detailed)'!AJ131</f>
        <v>80000</v>
      </c>
      <c r="AK99" s="113">
        <f>'Federal P&amp;L (detailed)'!AK131</f>
        <v>115000</v>
      </c>
    </row>
    <row r="100" spans="1:37" outlineLevel="3">
      <c r="A100" s="22" t="str">
        <f>B97</f>
        <v>Note: The American Dream (Federal)</v>
      </c>
      <c r="B100" s="106" t="str">
        <f>'Federal P&amp;L (detailed)'!B132</f>
        <v>Civic Participation</v>
      </c>
      <c r="C100" s="113">
        <f>'Federal P&amp;L (detailed)'!C132</f>
        <v>188743</v>
      </c>
      <c r="D100" s="113">
        <f>'Federal P&amp;L (detailed)'!D132</f>
        <v>178004</v>
      </c>
      <c r="E100" s="113">
        <f>'Federal P&amp;L (detailed)'!E132</f>
        <v>141874</v>
      </c>
      <c r="F100" s="113">
        <f>'Federal P&amp;L (detailed)'!F132</f>
        <v>126356</v>
      </c>
      <c r="G100" s="113">
        <f>'Federal P&amp;L (detailed)'!G132</f>
        <v>133157</v>
      </c>
      <c r="H100" s="113">
        <f>'Federal P&amp;L (detailed)'!H132</f>
        <v>128793</v>
      </c>
      <c r="I100" s="113">
        <f>'Federal P&amp;L (detailed)'!I132</f>
        <v>154407</v>
      </c>
      <c r="J100" s="113">
        <f>'Federal P&amp;L (detailed)'!J132</f>
        <v>158530</v>
      </c>
      <c r="K100" s="113">
        <f>'Federal P&amp;L (detailed)'!K132</f>
        <v>153345</v>
      </c>
      <c r="L100" s="113">
        <f>'Federal P&amp;L (detailed)'!L132</f>
        <v>162904</v>
      </c>
      <c r="M100" s="113">
        <f>'Federal P&amp;L (detailed)'!M132</f>
        <v>169437</v>
      </c>
      <c r="N100" s="113">
        <f>'Federal P&amp;L (detailed)'!N132</f>
        <v>196877</v>
      </c>
      <c r="O100" s="113">
        <f>'Federal P&amp;L (detailed)'!O132</f>
        <v>201658</v>
      </c>
      <c r="P100" s="113">
        <f>'Federal P&amp;L (detailed)'!P132</f>
        <v>224298</v>
      </c>
      <c r="Q100" s="113">
        <f>'Federal P&amp;L (detailed)'!Q132</f>
        <v>298375</v>
      </c>
      <c r="R100" s="113">
        <f>'Federal P&amp;L (detailed)'!R132</f>
        <v>453000</v>
      </c>
      <c r="S100" s="113">
        <f>'Federal P&amp;L (detailed)'!S132</f>
        <v>482000</v>
      </c>
      <c r="T100" s="113">
        <f>'Federal P&amp;L (detailed)'!T132</f>
        <v>565000</v>
      </c>
      <c r="U100" s="113">
        <f>'Federal P&amp;L (detailed)'!U132</f>
        <v>591000</v>
      </c>
      <c r="V100" s="113">
        <f>'Federal P&amp;L (detailed)'!V132</f>
        <v>609000</v>
      </c>
      <c r="W100" s="113">
        <f>'Federal P&amp;L (detailed)'!W132</f>
        <v>689000</v>
      </c>
      <c r="X100" s="113">
        <f>'Federal P&amp;L (detailed)'!X132</f>
        <v>756000</v>
      </c>
      <c r="Y100" s="113">
        <f>'Federal P&amp;L (detailed)'!Y132</f>
        <v>792000</v>
      </c>
      <c r="Z100" s="113">
        <f>'Federal P&amp;L (detailed)'!Z132</f>
        <v>839000</v>
      </c>
      <c r="AA100" s="113">
        <f>'Federal P&amp;L (detailed)'!AA132</f>
        <v>764000</v>
      </c>
      <c r="AB100" s="113">
        <f>'Federal P&amp;L (detailed)'!AB132</f>
        <v>796000</v>
      </c>
      <c r="AC100" s="113">
        <f>'Federal P&amp;L (detailed)'!AC132</f>
        <v>843000</v>
      </c>
      <c r="AD100" s="113">
        <f>'Federal P&amp;L (detailed)'!AD132</f>
        <v>900000</v>
      </c>
      <c r="AE100" s="113">
        <f>'Federal P&amp;L (detailed)'!AE132</f>
        <v>891000</v>
      </c>
      <c r="AF100" s="113">
        <f>'Federal P&amp;L (detailed)'!AF132</f>
        <v>916000</v>
      </c>
      <c r="AG100" s="113">
        <f>'Federal P&amp;L (detailed)'!AG132</f>
        <v>1033000</v>
      </c>
      <c r="AH100" s="113">
        <f>'Federal P&amp;L (detailed)'!AH132</f>
        <v>1044000</v>
      </c>
      <c r="AI100" s="113">
        <f>'Federal P&amp;L (detailed)'!AI132</f>
        <v>974000</v>
      </c>
      <c r="AJ100" s="113">
        <f>'Federal P&amp;L (detailed)'!AJ132</f>
        <v>975000</v>
      </c>
      <c r="AK100" s="113">
        <f>'Federal P&amp;L (detailed)'!AK132</f>
        <v>957000</v>
      </c>
    </row>
    <row r="101" spans="1:37" outlineLevel="1">
      <c r="A101" s="22" t="str">
        <f>B30</f>
        <v>Spending By Mission</v>
      </c>
      <c r="B101" s="43" t="s">
        <v>40</v>
      </c>
      <c r="C101" s="112">
        <f>'Federal P&amp;L'!B124+'State and Local P&amp;L'!B79</f>
        <v>37835719</v>
      </c>
      <c r="D101" s="112">
        <f>'Federal P&amp;L'!C124+'State and Local P&amp;L'!C79</f>
        <v>40486315</v>
      </c>
      <c r="E101" s="112">
        <f>'Federal P&amp;L'!D124+'State and Local P&amp;L'!D79</f>
        <v>40694725</v>
      </c>
      <c r="F101" s="112">
        <f>'Federal P&amp;L'!E124+'State and Local P&amp;L'!E79</f>
        <v>40793974</v>
      </c>
      <c r="G101" s="112">
        <f>'Federal P&amp;L'!F124+'State and Local P&amp;L'!F79</f>
        <v>43927348</v>
      </c>
      <c r="H101" s="112">
        <f>'Federal P&amp;L'!G124+'State and Local P&amp;L'!G79</f>
        <v>48170283</v>
      </c>
      <c r="I101" s="112">
        <f>'Federal P&amp;L'!H124+'State and Local P&amp;L'!H79</f>
        <v>52950244</v>
      </c>
      <c r="J101" s="112">
        <f>'Federal P&amp;L'!I124+'State and Local P&amp;L'!I79</f>
        <v>56987093</v>
      </c>
      <c r="K101" s="112">
        <f>'Federal P&amp;L'!J124+'State and Local P&amp;L'!J79</f>
        <v>60634747</v>
      </c>
      <c r="L101" s="112">
        <f>'Federal P&amp;L'!K124+'State and Local P&amp;L'!K79</f>
        <v>63626917</v>
      </c>
      <c r="M101" s="112">
        <f>'Federal P&amp;L'!L124+'State and Local P&amp;L'!L79</f>
        <v>69027100</v>
      </c>
      <c r="N101" s="112">
        <f>'Federal P&amp;L'!M124+'State and Local P&amp;L'!M79</f>
        <v>74480238</v>
      </c>
      <c r="O101" s="112">
        <f>'Federal P&amp;L'!N124+'State and Local P&amp;L'!N79</f>
        <v>77503189</v>
      </c>
      <c r="P101" s="112">
        <f>'Federal P&amp;L'!O124+'State and Local P&amp;L'!O79</f>
        <v>79679190</v>
      </c>
      <c r="Q101" s="112">
        <f>'Federal P&amp;L'!P124+'State and Local P&amp;L'!P79</f>
        <v>79630781</v>
      </c>
      <c r="R101" s="112">
        <f>'Federal P&amp;L'!Q124+'State and Local P&amp;L'!Q79</f>
        <v>86667320</v>
      </c>
      <c r="S101" s="112">
        <f>'Federal P&amp;L'!R124+'State and Local P&amp;L'!R79</f>
        <v>84681274</v>
      </c>
      <c r="T101" s="112">
        <f>'Federal P&amp;L'!S124+'State and Local P&amp;L'!S79</f>
        <v>92248509</v>
      </c>
      <c r="U101" s="112">
        <f>'Federal P&amp;L'!T124+'State and Local P&amp;L'!T79</f>
        <v>95230967</v>
      </c>
      <c r="V101" s="112">
        <f>'Federal P&amp;L'!U124+'State and Local P&amp;L'!U79</f>
        <v>106517013</v>
      </c>
      <c r="W101" s="112">
        <f>'Federal P&amp;L'!V124+'State and Local P&amp;L'!V79</f>
        <v>113441222</v>
      </c>
      <c r="X101" s="112">
        <f>'Federal P&amp;L'!W124+'State and Local P&amp;L'!W79</f>
        <v>124309167</v>
      </c>
      <c r="Y101" s="112">
        <f>'Federal P&amp;L'!X124+'State and Local P&amp;L'!X79</f>
        <v>135119962</v>
      </c>
      <c r="Z101" s="112">
        <f>'Federal P&amp;L'!Y124+'State and Local P&amp;L'!Y79</f>
        <v>132402247</v>
      </c>
      <c r="AA101" s="112">
        <f>'Federal P&amp;L'!Z124+'State and Local P&amp;L'!Z79</f>
        <v>133262366</v>
      </c>
      <c r="AB101" s="112">
        <f>'Federal P&amp;L'!AA124+'State and Local P&amp;L'!AA79</f>
        <v>135827628</v>
      </c>
      <c r="AC101" s="112">
        <f>'Federal P&amp;L'!AB124+'State and Local P&amp;L'!AB79</f>
        <v>146283808</v>
      </c>
      <c r="AD101" s="112">
        <f>'Federal P&amp;L'!AC124+'State and Local P&amp;L'!AC79</f>
        <v>162693531</v>
      </c>
      <c r="AE101" s="112">
        <f>'Federal P&amp;L'!AD124+'State and Local P&amp;L'!AD79</f>
        <v>168577372</v>
      </c>
      <c r="AF101" s="112">
        <f>'Federal P&amp;L'!AE124+'State and Local P&amp;L'!AE79</f>
        <v>174845765</v>
      </c>
      <c r="AG101" s="112">
        <f>'Federal P&amp;L'!AF124+'State and Local P&amp;L'!AF79</f>
        <v>176240258</v>
      </c>
      <c r="AH101" s="112">
        <f>'Federal P&amp;L'!AG124+'State and Local P&amp;L'!AG79</f>
        <v>174744816</v>
      </c>
      <c r="AI101" s="112">
        <f>'Federal P&amp;L'!AH124+'State and Local P&amp;L'!AH79</f>
        <v>168698663</v>
      </c>
      <c r="AJ101" s="112">
        <f>'Federal P&amp;L'!AI124+'State and Local P&amp;L'!AI79</f>
        <v>165215828</v>
      </c>
      <c r="AK101" s="112">
        <f>'Federal P&amp;L'!AJ124+'State and Local P&amp;L'!AJ79</f>
        <v>173261431</v>
      </c>
    </row>
    <row r="102" spans="1:37" outlineLevel="1">
      <c r="B102" s="79"/>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row>
    <row r="103" spans="1:37" outlineLevel="1">
      <c r="A103" s="22" t="str">
        <f>B30</f>
        <v>Spending By Mission</v>
      </c>
      <c r="B103" s="43" t="s">
        <v>311</v>
      </c>
      <c r="C103" s="112">
        <f>'Federal P&amp;L'!B125</f>
        <v>118974</v>
      </c>
      <c r="D103" s="112">
        <f>'Federal P&amp;L'!C125</f>
        <v>149607</v>
      </c>
      <c r="E103" s="112">
        <f>'Federal P&amp;L'!D125</f>
        <v>48052</v>
      </c>
      <c r="F103" s="112">
        <f>'Federal P&amp;L'!E125</f>
        <v>126411</v>
      </c>
      <c r="G103" s="112">
        <f>'Federal P&amp;L'!F125</f>
        <v>93758</v>
      </c>
      <c r="H103" s="112">
        <f>'Federal P&amp;L'!G125</f>
        <v>-299294</v>
      </c>
      <c r="I103" s="112">
        <f>'Federal P&amp;L'!H125</f>
        <v>-544517</v>
      </c>
      <c r="J103" s="112">
        <f>'Federal P&amp;L'!I125</f>
        <v>9874</v>
      </c>
      <c r="K103" s="112">
        <f>'Federal P&amp;L'!J125</f>
        <v>138796</v>
      </c>
      <c r="L103" s="112">
        <f>'Federal P&amp;L'!K125</f>
        <v>126523</v>
      </c>
      <c r="M103" s="112">
        <f>'Federal P&amp;L'!L125</f>
        <v>150136</v>
      </c>
      <c r="N103" s="112">
        <f>'Federal P&amp;L'!M125</f>
        <v>147307</v>
      </c>
      <c r="O103" s="112">
        <f>'Federal P&amp;L'!N125</f>
        <v>-136237</v>
      </c>
      <c r="P103" s="112">
        <f>'Federal P&amp;L'!O125</f>
        <v>32633</v>
      </c>
      <c r="Q103" s="112">
        <f>'Federal P&amp;L'!P125</f>
        <v>131500</v>
      </c>
      <c r="R103" s="112">
        <f>'Federal P&amp;L'!Q125</f>
        <v>324000</v>
      </c>
      <c r="S103" s="112">
        <f>'Federal P&amp;L'!R125</f>
        <v>161000</v>
      </c>
      <c r="T103" s="112">
        <f>'Federal P&amp;L'!S125</f>
        <v>168000</v>
      </c>
      <c r="U103" s="112">
        <f>'Federal P&amp;L'!T125</f>
        <v>103000</v>
      </c>
      <c r="V103" s="112">
        <f>'Federal P&amp;L'!U125</f>
        <v>169000</v>
      </c>
      <c r="W103" s="112">
        <f>'Federal P&amp;L'!V125</f>
        <v>178000</v>
      </c>
      <c r="X103" s="112">
        <f>'Federal P&amp;L'!W125</f>
        <v>180000</v>
      </c>
      <c r="Y103" s="112">
        <f>'Federal P&amp;L'!X125</f>
        <v>197000</v>
      </c>
      <c r="Z103" s="112">
        <f>'Federal P&amp;L'!Y125</f>
        <v>199000</v>
      </c>
      <c r="AA103" s="112">
        <f>'Federal P&amp;L'!Z125</f>
        <v>174000</v>
      </c>
      <c r="AB103" s="112">
        <f>'Federal P&amp;L'!AA125</f>
        <v>227000</v>
      </c>
      <c r="AC103" s="112">
        <f>'Federal P&amp;L'!AB125</f>
        <v>192000</v>
      </c>
      <c r="AD103" s="112">
        <f>'Federal P&amp;L'!AC125</f>
        <v>233000</v>
      </c>
      <c r="AE103" s="112">
        <f>'Federal P&amp;L'!AD125</f>
        <v>208000</v>
      </c>
      <c r="AF103" s="112">
        <f>'Federal P&amp;L'!AE125</f>
        <v>275000</v>
      </c>
      <c r="AG103" s="112">
        <f>'Federal P&amp;L'!AF125</f>
        <v>227000</v>
      </c>
      <c r="AH103" s="112">
        <f>'Federal P&amp;L'!AG125</f>
        <v>245000</v>
      </c>
      <c r="AI103" s="112">
        <f>'Federal P&amp;L'!AH125</f>
        <v>4005000</v>
      </c>
      <c r="AJ103" s="112">
        <f>'Federal P&amp;L'!AI125</f>
        <v>4135000</v>
      </c>
      <c r="AK103" s="112">
        <f>'Federal P&amp;L'!AJ125</f>
        <v>3821000</v>
      </c>
    </row>
    <row r="104" spans="1:37" outlineLevel="1">
      <c r="B104" s="26"/>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row>
    <row r="105" spans="1:37" outlineLevel="1">
      <c r="A105" s="22" t="str">
        <f>B30</f>
        <v>Spending By Mission</v>
      </c>
      <c r="B105" s="43" t="s">
        <v>312</v>
      </c>
      <c r="C105" s="112">
        <f>'Federal P&amp;L'!B126-'State and Local P&amp;L'!B23</f>
        <v>10092574</v>
      </c>
      <c r="D105" s="112">
        <f>'Federal P&amp;L'!C126-'State and Local P&amp;L'!C23</f>
        <v>6266346</v>
      </c>
      <c r="E105" s="112">
        <f>'Federal P&amp;L'!D126-'State and Local P&amp;L'!D23</f>
        <v>2631541</v>
      </c>
      <c r="F105" s="112">
        <f>'Federal P&amp;L'!E126-'State and Local P&amp;L'!E23</f>
        <v>4189646</v>
      </c>
      <c r="G105" s="112">
        <f>'Federal P&amp;L'!F126-'State and Local P&amp;L'!F23</f>
        <v>2321348</v>
      </c>
      <c r="H105" s="112">
        <f>'Federal P&amp;L'!G126-'State and Local P&amp;L'!G23</f>
        <v>1649707</v>
      </c>
      <c r="I105" s="112">
        <f>'Federal P&amp;L'!H126-'State and Local P&amp;L'!H23</f>
        <v>1315804</v>
      </c>
      <c r="J105" s="112">
        <f>'Federal P&amp;L'!I126-'State and Local P&amp;L'!I23</f>
        <v>-4027219</v>
      </c>
      <c r="K105" s="112">
        <f>'Federal P&amp;L'!J126-'State and Local P&amp;L'!J23</f>
        <v>372084</v>
      </c>
      <c r="L105" s="112">
        <f>'Federal P&amp;L'!K126-'State and Local P&amp;L'!K23</f>
        <v>-979062</v>
      </c>
      <c r="M105" s="112">
        <f>'Federal P&amp;L'!L126-'State and Local P&amp;L'!L23</f>
        <v>1754888</v>
      </c>
      <c r="N105" s="112">
        <f>'Federal P&amp;L'!M126-'State and Local P&amp;L'!M23</f>
        <v>3857551</v>
      </c>
      <c r="O105" s="112">
        <f>'Federal P&amp;L'!N126-'State and Local P&amp;L'!N23</f>
        <v>2593297</v>
      </c>
      <c r="P105" s="112">
        <f>'Federal P&amp;L'!O126-'State and Local P&amp;L'!O23</f>
        <v>-1423691</v>
      </c>
      <c r="Q105" s="112">
        <f>'Federal P&amp;L'!P126-'State and Local P&amp;L'!P23</f>
        <v>-1248580</v>
      </c>
      <c r="R105" s="112">
        <f>'Federal P&amp;L'!Q126-'State and Local P&amp;L'!Q23</f>
        <v>-105515</v>
      </c>
      <c r="S105" s="112">
        <f>'Federal P&amp;L'!R126-'State and Local P&amp;L'!R23</f>
        <v>-3159501</v>
      </c>
      <c r="T105" s="112">
        <f>'Federal P&amp;L'!S126-'State and Local P&amp;L'!S23</f>
        <v>-6583728</v>
      </c>
      <c r="U105" s="112">
        <f>'Federal P&amp;L'!T126-'State and Local P&amp;L'!T23</f>
        <v>-5374204</v>
      </c>
      <c r="V105" s="112">
        <f>'Federal P&amp;L'!U126-'State and Local P&amp;L'!U23</f>
        <v>1093998</v>
      </c>
      <c r="W105" s="112">
        <f>'Federal P&amp;L'!V126-'State and Local P&amp;L'!V23</f>
        <v>-2046677</v>
      </c>
      <c r="X105" s="112">
        <f>'Federal P&amp;L'!W126-'State and Local P&amp;L'!W23</f>
        <v>-1185453</v>
      </c>
      <c r="Y105" s="112">
        <f>'Federal P&amp;L'!X126-'State and Local P&amp;L'!X23</f>
        <v>-3263735</v>
      </c>
      <c r="Z105" s="112">
        <f>'Federal P&amp;L'!Y126-'State and Local P&amp;L'!Y23</f>
        <v>4563792</v>
      </c>
      <c r="AA105" s="112">
        <f>'Federal P&amp;L'!Z126-'State and Local P&amp;L'!Z23</f>
        <v>-10972351</v>
      </c>
      <c r="AB105" s="112">
        <f>'Federal P&amp;L'!AA126-'State and Local P&amp;L'!AA23</f>
        <v>-5919947</v>
      </c>
      <c r="AC105" s="112">
        <f>'Federal P&amp;L'!AB126-'State and Local P&amp;L'!AB23</f>
        <v>-11975798</v>
      </c>
      <c r="AD105" s="112">
        <f>'Federal P&amp;L'!AC126-'State and Local P&amp;L'!AC23</f>
        <v>-9392367</v>
      </c>
      <c r="AE105" s="112">
        <f>'Federal P&amp;L'!AD126-'State and Local P&amp;L'!AD23</f>
        <v>-4448779</v>
      </c>
      <c r="AF105" s="112">
        <f>'Federal P&amp;L'!AE126-'State and Local P&amp;L'!AE23</f>
        <v>12301410</v>
      </c>
      <c r="AG105" s="112">
        <f>'Federal P&amp;L'!AF126-'State and Local P&amp;L'!AF23</f>
        <v>-6034632</v>
      </c>
      <c r="AH105" s="112">
        <f>'Federal P&amp;L'!AG126-'State and Local P&amp;L'!AG23</f>
        <v>-30624141</v>
      </c>
      <c r="AI105" s="112">
        <f>'Federal P&amp;L'!AH126-'State and Local P&amp;L'!AH23</f>
        <v>-36401673</v>
      </c>
      <c r="AJ105" s="112">
        <f>'Federal P&amp;L'!AI126-'State and Local P&amp;L'!AI23</f>
        <v>-33406772</v>
      </c>
      <c r="AK105" s="112">
        <f>'Federal P&amp;L'!AJ126-'State and Local P&amp;L'!AJ23</f>
        <v>-21873824</v>
      </c>
    </row>
    <row r="106" spans="1:37" outlineLevel="1">
      <c r="B106" s="75"/>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row>
    <row r="107" spans="1:37">
      <c r="B107" s="21" t="s">
        <v>320</v>
      </c>
      <c r="C107" s="111">
        <f t="shared" ref="C107:AJ107" si="1">C5-C31</f>
        <v>-76616126</v>
      </c>
      <c r="D107" s="111">
        <f t="shared" si="1"/>
        <v>-81044605</v>
      </c>
      <c r="E107" s="111">
        <f t="shared" si="1"/>
        <v>-128015261</v>
      </c>
      <c r="F107" s="111">
        <f t="shared" si="1"/>
        <v>-208825414</v>
      </c>
      <c r="G107" s="111">
        <f t="shared" si="1"/>
        <v>-171348034</v>
      </c>
      <c r="H107" s="111">
        <f t="shared" si="1"/>
        <v>-192626855</v>
      </c>
      <c r="I107" s="111">
        <f t="shared" si="1"/>
        <v>-203247239</v>
      </c>
      <c r="J107" s="111">
        <f t="shared" si="1"/>
        <v>-135997016</v>
      </c>
      <c r="K107" s="111">
        <f t="shared" si="1"/>
        <v>-154558760</v>
      </c>
      <c r="L107" s="111">
        <f t="shared" si="1"/>
        <v>-151110574</v>
      </c>
      <c r="M107" s="111">
        <f t="shared" si="1"/>
        <v>-224724891</v>
      </c>
      <c r="N107" s="111">
        <f t="shared" si="1"/>
        <v>-306232534</v>
      </c>
      <c r="O107" s="111">
        <f t="shared" si="1"/>
        <v>-267810808</v>
      </c>
      <c r="P107" s="111">
        <f t="shared" si="1"/>
        <v>-215130983</v>
      </c>
      <c r="Q107" s="111">
        <f t="shared" si="1"/>
        <v>-155834155</v>
      </c>
      <c r="R107" s="111">
        <f t="shared" si="1"/>
        <v>-119791648</v>
      </c>
      <c r="S107" s="111">
        <f t="shared" si="1"/>
        <v>-16797611</v>
      </c>
      <c r="T107" s="111">
        <f t="shared" si="1"/>
        <v>102903020</v>
      </c>
      <c r="U107" s="111">
        <f t="shared" si="1"/>
        <v>234659857</v>
      </c>
      <c r="V107" s="111">
        <f t="shared" si="1"/>
        <v>270767473</v>
      </c>
      <c r="W107" s="111">
        <f t="shared" si="1"/>
        <v>405126566</v>
      </c>
      <c r="X107" s="111">
        <f t="shared" si="1"/>
        <v>99114795</v>
      </c>
      <c r="Y107" s="111">
        <f t="shared" si="1"/>
        <v>-408302182</v>
      </c>
      <c r="Z107" s="111">
        <f t="shared" si="1"/>
        <v>-491180279</v>
      </c>
      <c r="AA107" s="111">
        <f t="shared" si="1"/>
        <v>-263875479</v>
      </c>
      <c r="AB107" s="111">
        <f t="shared" si="1"/>
        <v>-191014095</v>
      </c>
      <c r="AC107" s="111">
        <f t="shared" si="1"/>
        <v>-34380926</v>
      </c>
      <c r="AD107" s="111">
        <f t="shared" si="1"/>
        <v>203690664</v>
      </c>
      <c r="AE107" s="111">
        <f t="shared" si="1"/>
        <v>-709120022</v>
      </c>
      <c r="AF107" s="111">
        <f t="shared" si="1"/>
        <v>-2317493708</v>
      </c>
      <c r="AG107" s="111">
        <f t="shared" si="1"/>
        <v>-1203168399</v>
      </c>
      <c r="AH107" s="111">
        <f t="shared" si="1"/>
        <v>-1021542720</v>
      </c>
      <c r="AI107" s="111">
        <f t="shared" si="1"/>
        <v>-1229883831</v>
      </c>
      <c r="AJ107" s="111">
        <f t="shared" si="1"/>
        <v>-495991635</v>
      </c>
      <c r="AK107" s="111">
        <f>AK5-AK31</f>
        <v>-171842220</v>
      </c>
    </row>
    <row r="108" spans="1:37">
      <c r="B108" s="75"/>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row>
    <row r="109" spans="1:37">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row>
    <row r="110" spans="1:37">
      <c r="B110" s="33" t="s">
        <v>135</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row>
    <row r="111" spans="1:37">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row>
    <row r="112" spans="1:37">
      <c r="B112" s="30" t="s">
        <v>141</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row>
    <row r="113" spans="2:37">
      <c r="B113" s="28"/>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row>
    <row r="114" spans="2:37">
      <c r="B114" s="27" t="s">
        <v>139</v>
      </c>
      <c r="C114" s="113">
        <f>'Federal P&amp;L'!B181+'State and Local P&amp;L'!B149</f>
        <v>96141449</v>
      </c>
      <c r="D114" s="113">
        <f>'Federal P&amp;L'!C181+'State and Local P&amp;L'!C149</f>
        <v>165112317</v>
      </c>
      <c r="E114" s="113">
        <f>'Federal P&amp;L'!D181+'State and Local P&amp;L'!D149</f>
        <v>179858210</v>
      </c>
      <c r="F114" s="113">
        <f>'Federal P&amp;L'!E181+'State and Local P&amp;L'!E149</f>
        <v>193226865</v>
      </c>
      <c r="G114" s="113">
        <f>'Federal P&amp;L'!F181+'State and Local P&amp;L'!F149</f>
        <v>206109751</v>
      </c>
      <c r="H114" s="113">
        <f>'Federal P&amp;L'!G181+'State and Local P&amp;L'!G149</f>
        <v>225635292</v>
      </c>
      <c r="I114" s="113">
        <f>'Federal P&amp;L'!H181+'State and Local P&amp;L'!H149</f>
        <v>240428125</v>
      </c>
      <c r="J114" s="113">
        <f>'Federal P&amp;L'!I181+'State and Local P&amp;L'!I149</f>
        <v>256909841</v>
      </c>
      <c r="K114" s="113">
        <f>'Federal P&amp;L'!J181+'State and Local P&amp;L'!J149</f>
        <v>279273232</v>
      </c>
      <c r="L114" s="113">
        <f>'Federal P&amp;L'!K181+'State and Local P&amp;L'!K149</f>
        <v>301805598</v>
      </c>
      <c r="M114" s="113">
        <f>'Federal P&amp;L'!L181+'State and Local P&amp;L'!L149</f>
        <v>343153751</v>
      </c>
      <c r="N114" s="113">
        <f>'Federal P&amp;L'!M181+'State and Local P&amp;L'!M149</f>
        <v>384234615</v>
      </c>
      <c r="O114" s="113">
        <f>'Federal P&amp;L'!N181+'State and Local P&amp;L'!N149</f>
        <v>462307974</v>
      </c>
      <c r="P114" s="113">
        <f>'Federal P&amp;L'!O181+'State and Local P&amp;L'!O149</f>
        <v>500894935</v>
      </c>
      <c r="Q114" s="113">
        <f>'Federal P&amp;L'!P181+'State and Local P&amp;L'!P149</f>
        <v>541612274</v>
      </c>
      <c r="R114" s="113">
        <f>'Federal P&amp;L'!Q181+'State and Local P&amp;L'!Q149</f>
        <v>582577182</v>
      </c>
      <c r="S114" s="113">
        <f>'Federal P&amp;L'!R181+'State and Local P&amp;L'!R149</f>
        <v>603393546</v>
      </c>
      <c r="T114" s="113">
        <f>'Federal P&amp;L'!S181+'State and Local P&amp;L'!S149</f>
        <v>638626028</v>
      </c>
      <c r="U114" s="113">
        <f>'Federal P&amp;L'!T181+'State and Local P&amp;L'!T149</f>
        <v>657341693</v>
      </c>
      <c r="V114" s="113">
        <f>'Federal P&amp;L'!U181+'State and Local P&amp;L'!U149</f>
        <v>678707426</v>
      </c>
      <c r="W114" s="113">
        <f>'Federal P&amp;L'!V181+'State and Local P&amp;L'!V149</f>
        <v>729620209</v>
      </c>
      <c r="X114" s="113">
        <f>'Federal P&amp;L'!W181+'State and Local P&amp;L'!W149</f>
        <v>802673191</v>
      </c>
      <c r="Y114" s="113">
        <f>'Federal P&amp;L'!X181+'State and Local P&amp;L'!X149</f>
        <v>878935941</v>
      </c>
      <c r="Z114" s="113">
        <f>'Federal P&amp;L'!Y181+'State and Local P&amp;L'!Y149</f>
        <v>961460190</v>
      </c>
      <c r="AA114" s="113">
        <f>'Federal P&amp;L'!Z181+'State and Local P&amp;L'!Z149</f>
        <v>1047038793</v>
      </c>
      <c r="AB114" s="113">
        <f>'Federal P&amp;L'!AA181+'State and Local P&amp;L'!AA149</f>
        <v>1128400857</v>
      </c>
      <c r="AC114" s="113">
        <f>'Federal P&amp;L'!AB181+'State and Local P&amp;L'!AB149</f>
        <v>1201934777</v>
      </c>
      <c r="AD114" s="113">
        <f>'Federal P&amp;L'!AC181+'State and Local P&amp;L'!AC149</f>
        <v>1262591374</v>
      </c>
      <c r="AE114" s="113">
        <f>'Federal P&amp;L'!AD181+'State and Local P&amp;L'!AD149</f>
        <v>1328519129</v>
      </c>
      <c r="AF114" s="113">
        <f>'Federal P&amp;L'!AE181+'State and Local P&amp;L'!AE149</f>
        <v>1476545925</v>
      </c>
      <c r="AG114" s="113">
        <f>'Federal P&amp;L'!AF181+'State and Local P&amp;L'!AF149</f>
        <v>1571797402</v>
      </c>
      <c r="AH114" s="113">
        <f>'Federal P&amp;L'!AG181+'State and Local P&amp;L'!AG149</f>
        <v>1651340391</v>
      </c>
      <c r="AI114" s="113">
        <f>'Federal P&amp;L'!AH181+'State and Local P&amp;L'!AH149</f>
        <v>1614636970</v>
      </c>
      <c r="AJ114" s="113">
        <f>'Federal P&amp;L'!AI181+'State and Local P&amp;L'!AI149</f>
        <v>1703836233</v>
      </c>
      <c r="AK114" s="113">
        <f>'Federal P&amp;L'!AJ181+'State and Local P&amp;L'!AJ149</f>
        <v>1805769527</v>
      </c>
    </row>
    <row r="115" spans="2:37">
      <c r="B115" s="27" t="s">
        <v>153</v>
      </c>
      <c r="C115" s="113">
        <f>'Federal P&amp;L'!B183+'State and Local P&amp;L'!B61+'Federal P&amp;L'!B98-'Federal P&amp;L'!B101</f>
        <v>124126907</v>
      </c>
      <c r="D115" s="113">
        <f>'Federal P&amp;L'!C183+'State and Local P&amp;L'!C61+'Federal P&amp;L'!C98-'Federal P&amp;L'!C101</f>
        <v>211496835</v>
      </c>
      <c r="E115" s="113">
        <f>'Federal P&amp;L'!D183+'State and Local P&amp;L'!D61+'Federal P&amp;L'!D98-'Federal P&amp;L'!D101</f>
        <v>220582871</v>
      </c>
      <c r="F115" s="113">
        <f>'Federal P&amp;L'!E183+'State and Local P&amp;L'!E61+'Federal P&amp;L'!E98-'Federal P&amp;L'!E101</f>
        <v>229787802</v>
      </c>
      <c r="G115" s="113">
        <f>'Federal P&amp;L'!F183+'State and Local P&amp;L'!F61+'Federal P&amp;L'!F98-'Federal P&amp;L'!F101</f>
        <v>231360355</v>
      </c>
      <c r="H115" s="113">
        <f>'Federal P&amp;L'!G183+'State and Local P&amp;L'!G61+'Federal P&amp;L'!G98-'Federal P&amp;L'!G101</f>
        <v>271866457</v>
      </c>
      <c r="I115" s="113">
        <f>'Federal P&amp;L'!H183+'State and Local P&amp;L'!H61+'Federal P&amp;L'!H98-'Federal P&amp;L'!H101</f>
        <v>279567064</v>
      </c>
      <c r="J115" s="113">
        <f>'Federal P&amp;L'!I183+'State and Local P&amp;L'!I61+'Federal P&amp;L'!I98-'Federal P&amp;L'!I101</f>
        <v>288859952</v>
      </c>
      <c r="K115" s="113">
        <f>'Federal P&amp;L'!J183+'State and Local P&amp;L'!J61+'Federal P&amp;L'!J98-'Federal P&amp;L'!J101</f>
        <v>303459037</v>
      </c>
      <c r="L115" s="113">
        <f>'Federal P&amp;L'!K183+'State and Local P&amp;L'!K61+'Federal P&amp;L'!K98-'Federal P&amp;L'!K101</f>
        <v>329263524</v>
      </c>
      <c r="M115" s="113">
        <f>'Federal P&amp;L'!L183+'State and Local P&amp;L'!L61+'Federal P&amp;L'!L98-'Federal P&amp;L'!L101</f>
        <v>352205742</v>
      </c>
      <c r="N115" s="113">
        <f>'Federal P&amp;L'!M183+'State and Local P&amp;L'!M61+'Federal P&amp;L'!M98-'Federal P&amp;L'!M101</f>
        <v>382584398</v>
      </c>
      <c r="O115" s="113">
        <f>'Federal P&amp;L'!N183+'State and Local P&amp;L'!N61+'Federal P&amp;L'!N98-'Federal P&amp;L'!N101</f>
        <v>405915704</v>
      </c>
      <c r="P115" s="113">
        <f>'Federal P&amp;L'!O183+'State and Local P&amp;L'!O61+'Federal P&amp;L'!O98-'Federal P&amp;L'!O101</f>
        <v>433214139</v>
      </c>
      <c r="Q115" s="113">
        <f>'Federal P&amp;L'!P183+'State and Local P&amp;L'!P61+'Federal P&amp;L'!P98-'Federal P&amp;L'!P101</f>
        <v>432055115</v>
      </c>
      <c r="R115" s="113">
        <f>'Federal P&amp;L'!Q183+'State and Local P&amp;L'!Q61+'Federal P&amp;L'!Q98-'Federal P&amp;L'!Q101</f>
        <v>463623895</v>
      </c>
      <c r="S115" s="113">
        <f>'Federal P&amp;L'!R183+'State and Local P&amp;L'!R61+'Federal P&amp;L'!R98-'Federal P&amp;L'!R101</f>
        <v>472503286</v>
      </c>
      <c r="T115" s="113">
        <f>'Federal P&amp;L'!S183+'State and Local P&amp;L'!S61+'Federal P&amp;L'!S98-'Federal P&amp;L'!S101</f>
        <v>494377204</v>
      </c>
      <c r="U115" s="113">
        <f>'Federal P&amp;L'!T183+'State and Local P&amp;L'!T61+'Federal P&amp;L'!T98-'Federal P&amp;L'!T101</f>
        <v>535409205</v>
      </c>
      <c r="V115" s="113">
        <f>'Federal P&amp;L'!U183+'State and Local P&amp;L'!U61+'Federal P&amp;L'!U98-'Federal P&amp;L'!U101</f>
        <v>579976947</v>
      </c>
      <c r="W115" s="113">
        <f>'Federal P&amp;L'!V183+'State and Local P&amp;L'!V61+'Federal P&amp;L'!V98-'Federal P&amp;L'!V101</f>
        <v>627810679</v>
      </c>
      <c r="X115" s="113">
        <f>'Federal P&amp;L'!W183+'State and Local P&amp;L'!W61+'Federal P&amp;L'!W98-'Federal P&amp;L'!W101</f>
        <v>664325420</v>
      </c>
      <c r="Y115" s="113">
        <f>'Federal P&amp;L'!X183+'State and Local P&amp;L'!X61+'Federal P&amp;L'!X98-'Federal P&amp;L'!X101</f>
        <v>710992565</v>
      </c>
      <c r="Z115" s="113">
        <f>'Federal P&amp;L'!Y183+'State and Local P&amp;L'!Y61+'Federal P&amp;L'!Y98-'Federal P&amp;L'!Y101</f>
        <v>751746095</v>
      </c>
      <c r="AA115" s="113">
        <f>'Federal P&amp;L'!Z183+'State and Local P&amp;L'!Z61+'Federal P&amp;L'!Z98-'Federal P&amp;L'!Z101</f>
        <v>796581204</v>
      </c>
      <c r="AB115" s="113">
        <f>'Federal P&amp;L'!AA183+'State and Local P&amp;L'!AA61+'Federal P&amp;L'!AA98-'Federal P&amp;L'!AA101</f>
        <v>837705525</v>
      </c>
      <c r="AC115" s="113">
        <f>'Federal P&amp;L'!AB183+'State and Local P&amp;L'!AB61+'Federal P&amp;L'!AB98-'Federal P&amp;L'!AB101</f>
        <v>896920656</v>
      </c>
      <c r="AD115" s="113">
        <f>'Federal P&amp;L'!AC183+'State and Local P&amp;L'!AC61+'Federal P&amp;L'!AC98-'Federal P&amp;L'!AC101</f>
        <v>904158146</v>
      </c>
      <c r="AE115" s="113">
        <f>'Federal P&amp;L'!AD183+'State and Local P&amp;L'!AD61+'Federal P&amp;L'!AD98-'Federal P&amp;L'!AD101</f>
        <v>963340677</v>
      </c>
      <c r="AF115" s="113">
        <f>'Federal P&amp;L'!AE183+'State and Local P&amp;L'!AE61+'Federal P&amp;L'!AE98-'Federal P&amp;L'!AE101</f>
        <v>1002721083</v>
      </c>
      <c r="AG115" s="113">
        <f>'Federal P&amp;L'!AF183+'State and Local P&amp;L'!AF61+'Federal P&amp;L'!AF98-'Federal P&amp;L'!AF101</f>
        <v>1062924217</v>
      </c>
      <c r="AH115" s="113">
        <f>'Federal P&amp;L'!AG183+'State and Local P&amp;L'!AG61+'Federal P&amp;L'!AG98-'Federal P&amp;L'!AG101</f>
        <v>1023049381</v>
      </c>
      <c r="AI115" s="113">
        <f>'Federal P&amp;L'!AH183+'State and Local P&amp;L'!AH61+'Federal P&amp;L'!AH98-'Federal P&amp;L'!AH101</f>
        <v>1028910398</v>
      </c>
      <c r="AJ115" s="113">
        <f>'Federal P&amp;L'!AI183+'State and Local P&amp;L'!AI61+'Federal P&amp;L'!AI98-'Federal P&amp;L'!AI101</f>
        <v>1024316450</v>
      </c>
      <c r="AK115" s="113">
        <f>'Federal P&amp;L'!AJ183+'State and Local P&amp;L'!AJ61+'Federal P&amp;L'!AJ98-'Federal P&amp;L'!AJ101</f>
        <v>1049784005</v>
      </c>
    </row>
    <row r="116" spans="2:37">
      <c r="B116" s="27"/>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row>
    <row r="117" spans="2:37">
      <c r="B117" s="27"/>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row>
    <row r="118" spans="2:37">
      <c r="B118" s="30" t="s">
        <v>162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row>
    <row r="119" spans="2:37">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row>
    <row r="120" spans="2:37">
      <c r="B120" s="35" t="s">
        <v>161</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row>
    <row r="121" spans="2:37">
      <c r="B121" s="28" t="s">
        <v>154</v>
      </c>
      <c r="C121" s="113">
        <f>'Federal P&amp;L (detailed)'!C200+'State and Local P&amp;L (detailed)'!C142</f>
        <v>90389077</v>
      </c>
      <c r="D121" s="113">
        <f>'Federal P&amp;L (detailed)'!D200+'State and Local P&amp;L (detailed)'!D142</f>
        <v>106317609</v>
      </c>
      <c r="E121" s="113">
        <f>'Federal P&amp;L (detailed)'!E200+'State and Local P&amp;L (detailed)'!E142</f>
        <v>230677450</v>
      </c>
      <c r="F121" s="113">
        <f>'Federal P&amp;L (detailed)'!F200+'State and Local P&amp;L (detailed)'!F142</f>
        <v>139604759</v>
      </c>
      <c r="G121" s="113">
        <f>'Federal P&amp;L (detailed)'!G200+'State and Local P&amp;L (detailed)'!G142</f>
        <v>163931378</v>
      </c>
      <c r="H121" s="113">
        <f>'Federal P&amp;L (detailed)'!H200+'State and Local P&amp;L (detailed)'!H142</f>
        <v>159836547</v>
      </c>
      <c r="I121" s="113">
        <f>'Federal P&amp;L (detailed)'!I200+'State and Local P&amp;L (detailed)'!I142</f>
        <v>173220763</v>
      </c>
      <c r="J121" s="113">
        <f>'Federal P&amp;L (detailed)'!J200+'State and Local P&amp;L (detailed)'!J142</f>
        <v>187950917</v>
      </c>
      <c r="K121" s="113">
        <f>'Federal P&amp;L (detailed)'!K200+'State and Local P&amp;L (detailed)'!K142</f>
        <v>202421248</v>
      </c>
      <c r="L121" s="113">
        <f>'Federal P&amp;L (detailed)'!L200+'State and Local P&amp;L (detailed)'!L142</f>
        <v>206448876</v>
      </c>
      <c r="M121" s="113">
        <f>'Federal P&amp;L (detailed)'!M200+'State and Local P&amp;L (detailed)'!M142</f>
        <v>216176782</v>
      </c>
      <c r="N121" s="113">
        <f>'Federal P&amp;L (detailed)'!N200+'State and Local P&amp;L (detailed)'!N142</f>
        <v>252596720</v>
      </c>
      <c r="O121" s="113">
        <f>'Federal P&amp;L (detailed)'!O200+'State and Local P&amp;L (detailed)'!O142</f>
        <v>248834552</v>
      </c>
      <c r="P121" s="113">
        <f>'Federal P&amp;L (detailed)'!P200+'State and Local P&amp;L (detailed)'!P142</f>
        <v>257832594</v>
      </c>
      <c r="Q121" s="113">
        <f>'Federal P&amp;L (detailed)'!Q200+'State and Local P&amp;L (detailed)'!Q142</f>
        <v>265220703</v>
      </c>
      <c r="R121" s="113">
        <f>'Federal P&amp;L (detailed)'!R200+'State and Local P&amp;L (detailed)'!R142</f>
        <v>273583228</v>
      </c>
      <c r="S121" s="113">
        <f>'Federal P&amp;L (detailed)'!S200+'State and Local P&amp;L (detailed)'!S142</f>
        <v>279706426</v>
      </c>
      <c r="T121" s="113">
        <f>'Federal P&amp;L (detailed)'!T200+'State and Local P&amp;L (detailed)'!T142</f>
        <v>289723167</v>
      </c>
      <c r="U121" s="113">
        <f>'Federal P&amp;L (detailed)'!U200+'State and Local P&amp;L (detailed)'!U142</f>
        <v>287922920</v>
      </c>
      <c r="V121" s="113">
        <f>'Federal P&amp;L (detailed)'!V200+'State and Local P&amp;L (detailed)'!V142</f>
        <v>301563291</v>
      </c>
      <c r="W121" s="113">
        <f>'Federal P&amp;L (detailed)'!W200+'State and Local P&amp;L (detailed)'!W142</f>
        <v>311891904</v>
      </c>
      <c r="X121" s="113">
        <f>'Federal P&amp;L (detailed)'!X200+'State and Local P&amp;L (detailed)'!X142</f>
        <v>335451597</v>
      </c>
      <c r="Y121" s="113">
        <f>'Federal P&amp;L (detailed)'!Y200+'State and Local P&amp;L (detailed)'!Y142</f>
        <v>348503808</v>
      </c>
      <c r="Z121" s="113">
        <f>'Federal P&amp;L (detailed)'!Z200+'State and Local P&amp;L (detailed)'!Z142</f>
        <v>359877322</v>
      </c>
      <c r="AA121" s="113">
        <f>'Federal P&amp;L (detailed)'!AA200+'State and Local P&amp;L (detailed)'!AA142</f>
        <v>374290444</v>
      </c>
      <c r="AB121" s="113">
        <f>'Federal P&amp;L (detailed)'!AB200+'State and Local P&amp;L (detailed)'!AB142</f>
        <v>400048466</v>
      </c>
      <c r="AC121" s="113">
        <f>'Federal P&amp;L (detailed)'!AC200+'State and Local P&amp;L (detailed)'!AC142</f>
        <v>432192387</v>
      </c>
      <c r="AD121" s="113">
        <f>'Federal P&amp;L (detailed)'!AD200+'State and Local P&amp;L (detailed)'!AD142</f>
        <v>454134057</v>
      </c>
      <c r="AE121" s="113">
        <f>'Federal P&amp;L (detailed)'!AE200+'State and Local P&amp;L (detailed)'!AE142</f>
        <v>478109668</v>
      </c>
      <c r="AF121" s="113">
        <f>'Federal P&amp;L (detailed)'!AF200+'State and Local P&amp;L (detailed)'!AF142</f>
        <v>523297894</v>
      </c>
      <c r="AG121" s="113">
        <f>'Federal P&amp;L (detailed)'!AG200+'State and Local P&amp;L (detailed)'!AG142</f>
        <v>578986548</v>
      </c>
      <c r="AH121" s="113">
        <f>'Federal P&amp;L (detailed)'!AH200+'State and Local P&amp;L (detailed)'!AH142</f>
        <v>547931680</v>
      </c>
      <c r="AI121" s="113">
        <f>'Federal P&amp;L (detailed)'!AI200+'State and Local P&amp;L (detailed)'!AI142</f>
        <v>562815865</v>
      </c>
      <c r="AJ121" s="113">
        <f>'Federal P&amp;L (detailed)'!AJ200+'State and Local P&amp;L (detailed)'!AJ142</f>
        <v>604017262</v>
      </c>
      <c r="AK121" s="113">
        <f>'Federal P&amp;L (detailed)'!AK200+'State and Local P&amp;L (detailed)'!AK142</f>
        <v>599210281</v>
      </c>
    </row>
    <row r="122" spans="2:37">
      <c r="B122" s="28" t="s">
        <v>155</v>
      </c>
      <c r="C122" s="113">
        <f>'Federal P&amp;L (detailed)'!C201+'State and Local P&amp;L (detailed)'!C143</f>
        <v>121036250</v>
      </c>
      <c r="D122" s="113">
        <f>'Federal P&amp;L (detailed)'!D201+'State and Local P&amp;L (detailed)'!D143</f>
        <v>138999604</v>
      </c>
      <c r="E122" s="113">
        <f>'Federal P&amp;L (detailed)'!E201+'State and Local P&amp;L (detailed)'!E143</f>
        <v>268182208</v>
      </c>
      <c r="F122" s="113">
        <f>'Federal P&amp;L (detailed)'!F201+'State and Local P&amp;L (detailed)'!F143</f>
        <v>185221452</v>
      </c>
      <c r="G122" s="113">
        <f>'Federal P&amp;L (detailed)'!G201+'State and Local P&amp;L (detailed)'!G143</f>
        <v>195055491</v>
      </c>
      <c r="H122" s="113">
        <f>'Federal P&amp;L (detailed)'!H201+'State and Local P&amp;L (detailed)'!H143</f>
        <v>198142122</v>
      </c>
      <c r="I122" s="113">
        <f>'Federal P&amp;L (detailed)'!I201+'State and Local P&amp;L (detailed)'!I143</f>
        <v>223204381</v>
      </c>
      <c r="J122" s="113">
        <f>'Federal P&amp;L (detailed)'!J201+'State and Local P&amp;L (detailed)'!J143</f>
        <v>236554886</v>
      </c>
      <c r="K122" s="113">
        <f>'Federal P&amp;L (detailed)'!K201+'State and Local P&amp;L (detailed)'!K143</f>
        <v>251763028</v>
      </c>
      <c r="L122" s="113">
        <f>'Federal P&amp;L (detailed)'!L201+'State and Local P&amp;L (detailed)'!L143</f>
        <v>253324272</v>
      </c>
      <c r="M122" s="113">
        <f>'Federal P&amp;L (detailed)'!M201+'State and Local P&amp;L (detailed)'!M143</f>
        <v>260990330</v>
      </c>
      <c r="N122" s="113">
        <f>'Federal P&amp;L (detailed)'!N201+'State and Local P&amp;L (detailed)'!N143</f>
        <v>306183809</v>
      </c>
      <c r="O122" s="113">
        <f>'Federal P&amp;L (detailed)'!O201+'State and Local P&amp;L (detailed)'!O143</f>
        <v>296258695</v>
      </c>
      <c r="P122" s="113">
        <f>'Federal P&amp;L (detailed)'!P201+'State and Local P&amp;L (detailed)'!P143</f>
        <v>287031282</v>
      </c>
      <c r="Q122" s="113">
        <f>'Federal P&amp;L (detailed)'!Q201+'State and Local P&amp;L (detailed)'!Q143</f>
        <v>282537227</v>
      </c>
      <c r="R122" s="113">
        <f>'Federal P&amp;L (detailed)'!R201+'State and Local P&amp;L (detailed)'!R143</f>
        <v>286621579</v>
      </c>
      <c r="S122" s="113">
        <f>'Federal P&amp;L (detailed)'!S201+'State and Local P&amp;L (detailed)'!S143</f>
        <v>289365313</v>
      </c>
      <c r="T122" s="113">
        <f>'Federal P&amp;L (detailed)'!T201+'State and Local P&amp;L (detailed)'!T143</f>
        <v>292061612</v>
      </c>
      <c r="U122" s="113">
        <f>'Federal P&amp;L (detailed)'!U201+'State and Local P&amp;L (detailed)'!U143</f>
        <v>307430068</v>
      </c>
      <c r="V122" s="113">
        <f>'Federal P&amp;L (detailed)'!V201+'State and Local P&amp;L (detailed)'!V143</f>
        <v>332606586</v>
      </c>
      <c r="W122" s="113">
        <f>'Federal P&amp;L (detailed)'!W201+'State and Local P&amp;L (detailed)'!W143</f>
        <v>363719183</v>
      </c>
      <c r="X122" s="113">
        <f>'Federal P&amp;L (detailed)'!X201+'State and Local P&amp;L (detailed)'!X143</f>
        <v>387952333</v>
      </c>
      <c r="Y122" s="113">
        <f>'Federal P&amp;L (detailed)'!Y201+'State and Local P&amp;L (detailed)'!Y143</f>
        <v>398336783</v>
      </c>
      <c r="Z122" s="113">
        <f>'Federal P&amp;L (detailed)'!Z201+'State and Local P&amp;L (detailed)'!Z143</f>
        <v>408270334</v>
      </c>
      <c r="AA122" s="113">
        <f>'Federal P&amp;L (detailed)'!AA201+'State and Local P&amp;L (detailed)'!AA143</f>
        <v>420547412</v>
      </c>
      <c r="AB122" s="113">
        <f>'Federal P&amp;L (detailed)'!AB201+'State and Local P&amp;L (detailed)'!AB143</f>
        <v>455883577</v>
      </c>
      <c r="AC122" s="113">
        <f>'Federal P&amp;L (detailed)'!AC201+'State and Local P&amp;L (detailed)'!AC143</f>
        <v>481225148</v>
      </c>
      <c r="AD122" s="113">
        <f>'Federal P&amp;L (detailed)'!AD201+'State and Local P&amp;L (detailed)'!AD143</f>
        <v>515147779</v>
      </c>
      <c r="AE122" s="113">
        <f>'Federal P&amp;L (detailed)'!AE201+'State and Local P&amp;L (detailed)'!AE143</f>
        <v>567949483</v>
      </c>
      <c r="AF122" s="113">
        <f>'Federal P&amp;L (detailed)'!AF201+'State and Local P&amp;L (detailed)'!AF143</f>
        <v>615734347</v>
      </c>
      <c r="AG122" s="113">
        <f>'Federal P&amp;L (detailed)'!AG201+'State and Local P&amp;L (detailed)'!AG143</f>
        <v>637448364</v>
      </c>
      <c r="AH122" s="113">
        <f>'Federal P&amp;L (detailed)'!AH201+'State and Local P&amp;L (detailed)'!AH143</f>
        <v>618789506</v>
      </c>
      <c r="AI122" s="113">
        <f>'Federal P&amp;L (detailed)'!AI201+'State and Local P&amp;L (detailed)'!AI143</f>
        <v>626379919</v>
      </c>
      <c r="AJ122" s="113">
        <f>'Federal P&amp;L (detailed)'!AJ201+'State and Local P&amp;L (detailed)'!AJ143</f>
        <v>658109214</v>
      </c>
      <c r="AK122" s="113">
        <f>'Federal P&amp;L (detailed)'!AK201+'State and Local P&amp;L (detailed)'!AK143</f>
        <v>638245807</v>
      </c>
    </row>
    <row r="123" spans="2:37">
      <c r="B123" s="28" t="s">
        <v>156</v>
      </c>
      <c r="C123" s="113">
        <f>'Federal P&amp;L (detailed)'!C202+'State and Local P&amp;L (detailed)'!C144</f>
        <v>30647173</v>
      </c>
      <c r="D123" s="113">
        <f>'Federal P&amp;L (detailed)'!D202+'State and Local P&amp;L (detailed)'!D144</f>
        <v>32681995</v>
      </c>
      <c r="E123" s="113">
        <f>'Federal P&amp;L (detailed)'!E202+'State and Local P&amp;L (detailed)'!E144</f>
        <v>37504758</v>
      </c>
      <c r="F123" s="113">
        <f>'Federal P&amp;L (detailed)'!F202+'State and Local P&amp;L (detailed)'!F144</f>
        <v>45616693</v>
      </c>
      <c r="G123" s="113">
        <f>'Federal P&amp;L (detailed)'!G202+'State and Local P&amp;L (detailed)'!G144</f>
        <v>31124113</v>
      </c>
      <c r="H123" s="113">
        <f>'Federal P&amp;L (detailed)'!H202+'State and Local P&amp;L (detailed)'!H144</f>
        <v>38305575</v>
      </c>
      <c r="I123" s="113">
        <f>'Federal P&amp;L (detailed)'!I202+'State and Local P&amp;L (detailed)'!I144</f>
        <v>49983618</v>
      </c>
      <c r="J123" s="113">
        <f>'Federal P&amp;L (detailed)'!J202+'State and Local P&amp;L (detailed)'!J144</f>
        <v>48603969</v>
      </c>
      <c r="K123" s="113">
        <f>'Federal P&amp;L (detailed)'!K202+'State and Local P&amp;L (detailed)'!K144</f>
        <v>49341780</v>
      </c>
      <c r="L123" s="113">
        <f>'Federal P&amp;L (detailed)'!L202+'State and Local P&amp;L (detailed)'!L144</f>
        <v>46875396</v>
      </c>
      <c r="M123" s="113">
        <f>'Federal P&amp;L (detailed)'!M202+'State and Local P&amp;L (detailed)'!M144</f>
        <v>44813548</v>
      </c>
      <c r="N123" s="113">
        <f>'Federal P&amp;L (detailed)'!N202+'State and Local P&amp;L (detailed)'!N144</f>
        <v>53587089</v>
      </c>
      <c r="O123" s="113">
        <f>'Federal P&amp;L (detailed)'!O202+'State and Local P&amp;L (detailed)'!O144</f>
        <v>47424143</v>
      </c>
      <c r="P123" s="113">
        <f>'Federal P&amp;L (detailed)'!P202+'State and Local P&amp;L (detailed)'!P144</f>
        <v>29198688</v>
      </c>
      <c r="Q123" s="113">
        <f>'Federal P&amp;L (detailed)'!Q202+'State and Local P&amp;L (detailed)'!Q144</f>
        <v>17316524</v>
      </c>
      <c r="R123" s="113">
        <f>'Federal P&amp;L (detailed)'!R202+'State and Local P&amp;L (detailed)'!R144</f>
        <v>13038351</v>
      </c>
      <c r="S123" s="113">
        <f>'Federal P&amp;L (detailed)'!S202+'State and Local P&amp;L (detailed)'!S144</f>
        <v>9658887</v>
      </c>
      <c r="T123" s="113">
        <f>'Federal P&amp;L (detailed)'!T202+'State and Local P&amp;L (detailed)'!T144</f>
        <v>2338445</v>
      </c>
      <c r="U123" s="113">
        <f>'Federal P&amp;L (detailed)'!U202+'State and Local P&amp;L (detailed)'!U144</f>
        <v>19507148</v>
      </c>
      <c r="V123" s="113">
        <f>'Federal P&amp;L (detailed)'!V202+'State and Local P&amp;L (detailed)'!V144</f>
        <v>31043295</v>
      </c>
      <c r="W123" s="113">
        <f>'Federal P&amp;L (detailed)'!W202+'State and Local P&amp;L (detailed)'!W144</f>
        <v>51827279</v>
      </c>
      <c r="X123" s="113">
        <f>'Federal P&amp;L (detailed)'!X202+'State and Local P&amp;L (detailed)'!X144</f>
        <v>52500736</v>
      </c>
      <c r="Y123" s="113">
        <f>'Federal P&amp;L (detailed)'!Y202+'State and Local P&amp;L (detailed)'!Y144</f>
        <v>49832975</v>
      </c>
      <c r="Z123" s="113">
        <f>'Federal P&amp;L (detailed)'!Z202+'State and Local P&amp;L (detailed)'!Z144</f>
        <v>48393012</v>
      </c>
      <c r="AA123" s="113">
        <f>'Federal P&amp;L (detailed)'!AA202+'State and Local P&amp;L (detailed)'!AA144</f>
        <v>46256968</v>
      </c>
      <c r="AB123" s="113">
        <f>'Federal P&amp;L (detailed)'!AB202+'State and Local P&amp;L (detailed)'!AB144</f>
        <v>55835111</v>
      </c>
      <c r="AC123" s="113">
        <f>'Federal P&amp;L (detailed)'!AC202+'State and Local P&amp;L (detailed)'!AC144</f>
        <v>49032761</v>
      </c>
      <c r="AD123" s="113">
        <f>'Federal P&amp;L (detailed)'!AD202+'State and Local P&amp;L (detailed)'!AD144</f>
        <v>61013722</v>
      </c>
      <c r="AE123" s="113">
        <f>'Federal P&amp;L (detailed)'!AE202+'State and Local P&amp;L (detailed)'!AE144</f>
        <v>89839815</v>
      </c>
      <c r="AF123" s="113">
        <f>'Federal P&amp;L (detailed)'!AF202+'State and Local P&amp;L (detailed)'!AF144</f>
        <v>92436453</v>
      </c>
      <c r="AG123" s="113">
        <f>'Federal P&amp;L (detailed)'!AG202+'State and Local P&amp;L (detailed)'!AG144</f>
        <v>58461816</v>
      </c>
      <c r="AH123" s="113">
        <f>'Federal P&amp;L (detailed)'!AH202+'State and Local P&amp;L (detailed)'!AH144</f>
        <v>70857826</v>
      </c>
      <c r="AI123" s="113">
        <f>'Federal P&amp;L (detailed)'!AI202+'State and Local P&amp;L (detailed)'!AI144</f>
        <v>63564054</v>
      </c>
      <c r="AJ123" s="113">
        <f>'Federal P&amp;L (detailed)'!AJ202+'State and Local P&amp;L (detailed)'!AJ144</f>
        <v>54091952</v>
      </c>
      <c r="AK123" s="113">
        <f>'Federal P&amp;L (detailed)'!AK202+'State and Local P&amp;L (detailed)'!AK144</f>
        <v>39035526</v>
      </c>
    </row>
  </sheetData>
  <mergeCells count="1">
    <mergeCell ref="C2:AK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31"/>
  <sheetViews>
    <sheetView zoomScale="85" zoomScaleNormal="85" zoomScalePageLayoutView="85" workbookViewId="0">
      <pane xSplit="2" ySplit="3" topLeftCell="C92" activePane="bottomRight" state="frozen"/>
      <selection pane="topRight" activeCell="B1" sqref="B1"/>
      <selection pane="bottomLeft" activeCell="A2" sqref="A2"/>
      <selection pane="bottomRight" activeCell="B30" sqref="B30"/>
    </sheetView>
  </sheetViews>
  <sheetFormatPr baseColWidth="10" defaultColWidth="9.1640625" defaultRowHeight="13" outlineLevelRow="5" outlineLevelCol="1" x14ac:dyDescent="0"/>
  <cols>
    <col min="1" max="1" width="9.1640625" style="22"/>
    <col min="2" max="2" width="71.33203125" style="22" customWidth="1"/>
    <col min="3" max="3" width="9.1640625" style="22" customWidth="1"/>
    <col min="4" max="12" width="9.1640625" style="22" customWidth="1" outlineLevel="1"/>
    <col min="13" max="13" width="9.33203125" style="22" customWidth="1"/>
    <col min="14" max="22" width="9.1640625" style="22" customWidth="1" outlineLevel="1"/>
    <col min="23" max="23" width="9.33203125" style="22" customWidth="1"/>
    <col min="24" max="27" width="9.1640625" style="22" customWidth="1" outlineLevel="1"/>
    <col min="28" max="28" width="9.33203125" style="22" customWidth="1"/>
    <col min="29" max="32" width="9.1640625" style="22" customWidth="1" outlineLevel="1"/>
    <col min="33" max="36" width="9.33203125" style="22" customWidth="1"/>
    <col min="37" max="38" width="9.1640625" style="22" customWidth="1"/>
    <col min="39" max="16384" width="9.1640625" style="22"/>
  </cols>
  <sheetData>
    <row r="1" spans="1:38">
      <c r="A1" s="22" t="s">
        <v>500</v>
      </c>
      <c r="B1" s="23" t="s">
        <v>243</v>
      </c>
    </row>
    <row r="2" spans="1:38">
      <c r="C2" s="123" t="s">
        <v>329</v>
      </c>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row>
    <row r="3" spans="1:38">
      <c r="C3" s="24">
        <v>1980</v>
      </c>
      <c r="D3" s="24">
        <v>1981</v>
      </c>
      <c r="E3" s="24">
        <v>1982</v>
      </c>
      <c r="F3" s="24">
        <v>1983</v>
      </c>
      <c r="G3" s="24">
        <v>1984</v>
      </c>
      <c r="H3" s="24">
        <v>1985</v>
      </c>
      <c r="I3" s="24">
        <v>1986</v>
      </c>
      <c r="J3" s="24">
        <v>1987</v>
      </c>
      <c r="K3" s="24">
        <v>1988</v>
      </c>
      <c r="L3" s="24">
        <v>1989</v>
      </c>
      <c r="M3" s="24">
        <v>1990</v>
      </c>
      <c r="N3" s="24">
        <v>1991</v>
      </c>
      <c r="O3" s="24">
        <v>1992</v>
      </c>
      <c r="P3" s="24">
        <v>1993</v>
      </c>
      <c r="Q3" s="24">
        <v>1994</v>
      </c>
      <c r="R3" s="24">
        <v>1995</v>
      </c>
      <c r="S3" s="24">
        <v>1996</v>
      </c>
      <c r="T3" s="24">
        <v>1997</v>
      </c>
      <c r="U3" s="24">
        <v>1998</v>
      </c>
      <c r="V3" s="24">
        <v>1999</v>
      </c>
      <c r="W3" s="24">
        <v>2000</v>
      </c>
      <c r="X3" s="24">
        <v>2001</v>
      </c>
      <c r="Y3" s="24">
        <v>2002</v>
      </c>
      <c r="Z3" s="24">
        <v>2003</v>
      </c>
      <c r="AA3" s="24">
        <v>2004</v>
      </c>
      <c r="AB3" s="24">
        <v>2005</v>
      </c>
      <c r="AC3" s="24">
        <v>2006</v>
      </c>
      <c r="AD3" s="24">
        <v>2007</v>
      </c>
      <c r="AE3" s="24">
        <v>2008</v>
      </c>
      <c r="AF3" s="24">
        <v>2009</v>
      </c>
      <c r="AG3" s="24">
        <v>2010</v>
      </c>
      <c r="AH3" s="24">
        <v>2011</v>
      </c>
      <c r="AI3" s="24">
        <v>2012</v>
      </c>
      <c r="AJ3" s="24">
        <v>2013</v>
      </c>
      <c r="AK3" s="24">
        <v>2014</v>
      </c>
      <c r="AL3" s="24">
        <v>2015</v>
      </c>
    </row>
    <row r="4" spans="1:38">
      <c r="B4" s="22" t="s">
        <v>0</v>
      </c>
    </row>
    <row r="5" spans="1:38" s="24" customFormat="1">
      <c r="A5" s="24" t="str">
        <f>B4</f>
        <v>Revenue</v>
      </c>
      <c r="B5" s="25" t="s">
        <v>502</v>
      </c>
      <c r="C5" s="107">
        <f>SUMIFS('Federal Data'!M2:M501,'Federal Data'!$C2:$C501,"Revenue")</f>
        <v>518946872</v>
      </c>
      <c r="D5" s="107">
        <f>SUMIFS('Federal Data'!N2:N501,'Federal Data'!$C2:$C501,"Revenue")</f>
        <v>607188009</v>
      </c>
      <c r="E5" s="107">
        <f>SUMIFS('Federal Data'!O2:O501,'Federal Data'!$C2:$C501,"Revenue")</f>
        <v>621882747</v>
      </c>
      <c r="F5" s="107">
        <f>SUMIFS('Federal Data'!P2:P501,'Federal Data'!$C2:$C501,"Revenue")</f>
        <v>609704629</v>
      </c>
      <c r="G5" s="107">
        <f>SUMIFS('Federal Data'!Q2:Q501,'Federal Data'!$C2:$C501,"Revenue")</f>
        <v>672070418</v>
      </c>
      <c r="H5" s="107">
        <f>SUMIFS('Federal Data'!R2:R501,'Federal Data'!$C2:$C501,"Revenue")</f>
        <v>739119402</v>
      </c>
      <c r="I5" s="107">
        <f>SUMIFS('Federal Data'!S2:S501,'Federal Data'!$C2:$C501,"Revenue")</f>
        <v>773882284</v>
      </c>
      <c r="J5" s="107">
        <f>SUMIFS('Federal Data'!T2:T501,'Federal Data'!$C2:$C501,"Revenue")</f>
        <v>860753770</v>
      </c>
      <c r="K5" s="107">
        <f>SUMIFS('Federal Data'!U2:U501,'Federal Data'!$C2:$C501,"Revenue")</f>
        <v>914218578</v>
      </c>
      <c r="L5" s="107">
        <f>SUMIFS('Federal Data'!V2:V501,'Federal Data'!$C2:$C501,"Revenue")</f>
        <v>996174324</v>
      </c>
      <c r="M5" s="107">
        <f>SUMIFS('Federal Data'!W2:W501,'Federal Data'!$C2:$C501,"Revenue")</f>
        <v>1037870377</v>
      </c>
      <c r="N5" s="107">
        <f>SUMIFS('Federal Data'!X2:X501,'Federal Data'!$C2:$C501,"Revenue")</f>
        <v>1061436469</v>
      </c>
      <c r="O5" s="107">
        <f>SUMIFS('Federal Data'!Y2:Y501,'Federal Data'!$C2:$C501,"Revenue")</f>
        <v>1097640045</v>
      </c>
      <c r="P5" s="107">
        <f>SUMIFS('Federal Data'!Z2:Z501,'Federal Data'!$C2:$C501,"Revenue")</f>
        <v>1161648845</v>
      </c>
      <c r="Q5" s="107">
        <f>SUMIFS('Federal Data'!AA2:AA501,'Federal Data'!$C2:$C501,"Revenue")</f>
        <v>1266104830</v>
      </c>
      <c r="R5" s="107">
        <f>SUMIFS('Federal Data'!AB2:AB501,'Federal Data'!$C2:$C501,"Revenue")</f>
        <v>1366490000</v>
      </c>
      <c r="S5" s="107">
        <f>SUMIFS('Federal Data'!AC2:AC501,'Federal Data'!$C2:$C501,"Revenue")</f>
        <v>1461543000</v>
      </c>
      <c r="T5" s="107">
        <f>SUMIFS('Federal Data'!AD2:AD501,'Federal Data'!$C2:$C501,"Revenue")</f>
        <v>1599711000</v>
      </c>
      <c r="U5" s="107">
        <f>SUMIFS('Federal Data'!AE2:AE501,'Federal Data'!$C2:$C501,"Revenue")</f>
        <v>1739427000</v>
      </c>
      <c r="V5" s="107">
        <f>SUMIFS('Federal Data'!AF2:AF501,'Federal Data'!$C2:$C501,"Revenue")</f>
        <v>1837859000</v>
      </c>
      <c r="W5" s="107">
        <f>SUMIFS('Federal Data'!AG2:AG501,'Federal Data'!$C2:$C501,"Revenue")</f>
        <v>2035813000</v>
      </c>
      <c r="X5" s="107">
        <f>SUMIFS('Federal Data'!AH2:AH501,'Federal Data'!$C2:$C501,"Revenue")</f>
        <v>2005622000</v>
      </c>
      <c r="Y5" s="107">
        <f>SUMIFS('Federal Data'!AI2:AI501,'Federal Data'!$C2:$C501,"Revenue")</f>
        <v>1865806000</v>
      </c>
      <c r="Z5" s="107">
        <f>SUMIFS('Federal Data'!AJ2:AJ501,'Federal Data'!$C2:$C501,"Revenue")</f>
        <v>1795989000</v>
      </c>
      <c r="AA5" s="107">
        <f>SUMIFS('Federal Data'!AK2:AK501,'Federal Data'!$C2:$C501,"Revenue")</f>
        <v>1895221000</v>
      </c>
      <c r="AB5" s="107">
        <f>SUMIFS('Federal Data'!AL2:AL501,'Federal Data'!$C2:$C501,"Revenue")</f>
        <v>2170474000</v>
      </c>
      <c r="AC5" s="107">
        <f>SUMIFS('Federal Data'!AM2:AM501,'Federal Data'!$C2:$C501,"Revenue")</f>
        <v>2425762000</v>
      </c>
      <c r="AD5" s="107">
        <f>SUMIFS('Federal Data'!AN2:AN501,'Federal Data'!$C2:$C501,"Revenue")</f>
        <v>2600783000</v>
      </c>
      <c r="AE5" s="107">
        <f>SUMIFS('Federal Data'!AO2:AO501,'Federal Data'!$C2:$C501,"Revenue")</f>
        <v>2557455000</v>
      </c>
      <c r="AF5" s="107">
        <f>SUMIFS('Federal Data'!AP2:AP501,'Federal Data'!$C2:$C501,"Revenue")</f>
        <v>2142059000</v>
      </c>
      <c r="AG5" s="107">
        <f>SUMIFS('Federal Data'!AQ2:AQ501,'Federal Data'!$C2:$C501,"Revenue")</f>
        <v>2183895000</v>
      </c>
      <c r="AH5" s="107">
        <f>SUMIFS('Federal Data'!AR2:AR501,'Federal Data'!$C2:$C501,"Revenue")</f>
        <v>2328751000</v>
      </c>
      <c r="AI5" s="107">
        <f>SUMIFS('Federal Data'!AS2:AS501,'Federal Data'!$C2:$C501,"Revenue")</f>
        <v>2486917000</v>
      </c>
      <c r="AJ5" s="107">
        <f>SUMIFS('Federal Data'!AT2:AT501,'Federal Data'!$C2:$C501,"Revenue")</f>
        <v>2804500000</v>
      </c>
      <c r="AK5" s="107">
        <f>SUMIFS('Federal Data'!AU2:AU501,'Federal Data'!$C2:$C501,"Revenue")</f>
        <v>3047497000</v>
      </c>
      <c r="AL5" s="107">
        <f>SUMIFS('Federal Data'!AV2:AV501,'Federal Data'!$C2:$C501,"Revenue")</f>
        <v>3301773000</v>
      </c>
    </row>
    <row r="6" spans="1:38" outlineLevel="2">
      <c r="A6" s="22" t="str">
        <f>B4</f>
        <v>Revenue</v>
      </c>
      <c r="B6" s="38" t="s">
        <v>1</v>
      </c>
      <c r="C6" s="108">
        <f>SUMIFS('Federal Data'!M2:M501,'Federal Data'!$E2:$E501,"Tax Revenues")</f>
        <v>502098232</v>
      </c>
      <c r="D6" s="108">
        <f>SUMIFS('Federal Data'!N2:N501,'Federal Data'!$E2:$E501,"Tax Revenues")</f>
        <v>583260450</v>
      </c>
      <c r="E6" s="108">
        <f>SUMIFS('Federal Data'!O2:O501,'Federal Data'!$E2:$E501,"Tax Revenues")</f>
        <v>599471949</v>
      </c>
      <c r="F6" s="108">
        <f>SUMIFS('Federal Data'!P2:P501,'Federal Data'!$E2:$E501,"Tax Revenues")</f>
        <v>583612463</v>
      </c>
      <c r="G6" s="108">
        <f>SUMIFS('Federal Data'!Q2:Q501,'Federal Data'!$E2:$E501,"Tax Revenues")</f>
        <v>648581471</v>
      </c>
      <c r="H6" s="108">
        <f>SUMIFS('Federal Data'!R2:R501,'Federal Data'!$E2:$E501,"Tax Revenues")</f>
        <v>715373012</v>
      </c>
      <c r="I6" s="108">
        <f>SUMIFS('Federal Data'!S2:S501,'Federal Data'!$E2:$E501,"Tax Revenues")</f>
        <v>749499559</v>
      </c>
      <c r="J6" s="108">
        <f>SUMIFS('Federal Data'!T2:T501,'Federal Data'!$E2:$E501,"Tax Revenues")</f>
        <v>835781635</v>
      </c>
      <c r="K6" s="108">
        <f>SUMIFS('Federal Data'!U2:U501,'Federal Data'!$E2:$E501,"Tax Revenues")</f>
        <v>890962612</v>
      </c>
      <c r="L6" s="108">
        <f>SUMIFS('Federal Data'!V2:V501,'Federal Data'!$E2:$E501,"Tax Revenues")</f>
        <v>970633720</v>
      </c>
      <c r="M6" s="108">
        <f>SUMIFS('Federal Data'!W2:W501,'Federal Data'!$E2:$E501,"Tax Revenues")</f>
        <v>1007664832</v>
      </c>
      <c r="N6" s="108">
        <f>SUMIFS('Federal Data'!X2:X501,'Federal Data'!$E2:$E501,"Tax Revenues")</f>
        <v>1035658309</v>
      </c>
      <c r="O6" s="108">
        <f>SUMIFS('Federal Data'!Y2:Y501,'Federal Data'!$E2:$E501,"Tax Revenues")</f>
        <v>1068875036</v>
      </c>
      <c r="P6" s="108">
        <f>SUMIFS('Federal Data'!Z2:Z501,'Federal Data'!$E2:$E501,"Tax Revenues")</f>
        <v>1140461850</v>
      </c>
      <c r="Q6" s="108">
        <f>SUMIFS('Federal Data'!AA2:AA501,'Federal Data'!$E2:$E501,"Tax Revenues")</f>
        <v>1241053248</v>
      </c>
      <c r="R6" s="108">
        <f>SUMIFS('Federal Data'!AB2:AB501,'Federal Data'!$E2:$E501,"Tax Revenues")</f>
        <v>1328962000</v>
      </c>
      <c r="S6" s="108">
        <f>SUMIFS('Federal Data'!AC2:AC501,'Federal Data'!$E2:$E501,"Tax Revenues")</f>
        <v>1432989000</v>
      </c>
      <c r="T6" s="108">
        <f>SUMIFS('Federal Data'!AD2:AD501,'Federal Data'!$E2:$E501,"Tax Revenues")</f>
        <v>1559731000</v>
      </c>
      <c r="U6" s="108">
        <f>SUMIFS('Federal Data'!AE2:AE501,'Federal Data'!$E2:$E501,"Tax Revenues")</f>
        <v>1697388000</v>
      </c>
      <c r="V6" s="108">
        <f>SUMIFS('Federal Data'!AF2:AF501,'Federal Data'!$E2:$E501,"Tax Revenues")</f>
        <v>1801929000</v>
      </c>
      <c r="W6" s="108">
        <f>SUMIFS('Federal Data'!AG2:AG501,'Federal Data'!$E2:$E501,"Tax Revenues")</f>
        <v>1992921000</v>
      </c>
      <c r="X6" s="108">
        <f>SUMIFS('Federal Data'!AH2:AH501,'Federal Data'!$E2:$E501,"Tax Revenues")</f>
        <v>1965080000</v>
      </c>
      <c r="Y6" s="108">
        <f>SUMIFS('Federal Data'!AI2:AI501,'Federal Data'!$E2:$E501,"Tax Revenues")</f>
        <v>1832397000</v>
      </c>
      <c r="Z6" s="108">
        <f>SUMIFS('Federal Data'!AJ2:AJ501,'Federal Data'!$E2:$E501,"Tax Revenues")</f>
        <v>1762244000</v>
      </c>
      <c r="AA6" s="108">
        <f>SUMIFS('Federal Data'!AK2:AK501,'Federal Data'!$E2:$E501,"Tax Revenues")</f>
        <v>1864142000</v>
      </c>
      <c r="AB6" s="108">
        <f>SUMIFS('Federal Data'!AL2:AL501,'Federal Data'!$E2:$E501,"Tax Revenues")</f>
        <v>2138765000</v>
      </c>
      <c r="AC6" s="108">
        <f>SUMIFS('Federal Data'!AM2:AM501,'Federal Data'!$E2:$E501,"Tax Revenues")</f>
        <v>2381513000</v>
      </c>
      <c r="AD6" s="108">
        <f>SUMIFS('Federal Data'!AN2:AN501,'Federal Data'!$E2:$E501,"Tax Revenues")</f>
        <v>2540386000</v>
      </c>
      <c r="AE6" s="108">
        <f>SUMIFS('Federal Data'!AO2:AO501,'Federal Data'!$E2:$E501,"Tax Revenues")</f>
        <v>2495889000</v>
      </c>
      <c r="AF6" s="108">
        <f>SUMIFS('Federal Data'!AP2:AP501,'Federal Data'!$E2:$E501,"Tax Revenues")</f>
        <v>2076361000</v>
      </c>
      <c r="AG6" s="108">
        <f>SUMIFS('Federal Data'!AQ2:AQ501,'Federal Data'!$E2:$E501,"Tax Revenues")</f>
        <v>2091050000</v>
      </c>
      <c r="AH6" s="108">
        <f>SUMIFS('Federal Data'!AR2:AR501,'Federal Data'!$E2:$E501,"Tax Revenues")</f>
        <v>2225969000</v>
      </c>
      <c r="AI6" s="108">
        <f>SUMIFS('Federal Data'!AS2:AS501,'Federal Data'!$E2:$E501,"Tax Revenues")</f>
        <v>2370603000</v>
      </c>
      <c r="AJ6" s="108">
        <f>SUMIFS('Federal Data'!AT2:AT501,'Federal Data'!$E2:$E501,"Tax Revenues")</f>
        <v>2700463000</v>
      </c>
      <c r="AK6" s="108">
        <f>SUMIFS('Federal Data'!AU2:AU501,'Federal Data'!$E2:$E501,"Tax Revenues")</f>
        <v>2912615000</v>
      </c>
      <c r="AL6" s="108">
        <f>SUMIFS('Federal Data'!AV2:AV501,'Federal Data'!$E2:$E501,"Tax Revenues")</f>
        <v>3129258000</v>
      </c>
    </row>
    <row r="7" spans="1:38" outlineLevel="3">
      <c r="A7" s="22" t="str">
        <f>B6</f>
        <v>Tax Revenue</v>
      </c>
      <c r="B7" s="27" t="s">
        <v>3</v>
      </c>
      <c r="C7" s="109">
        <f>SUMIFS('Federal Data'!M2:M501,'Federal Data'!$F2:$F501,"Individual Income Taxes")</f>
        <v>244068898</v>
      </c>
      <c r="D7" s="109">
        <f>SUMIFS('Federal Data'!N2:N501,'Federal Data'!$F2:$F501,"Individual Income Taxes")</f>
        <v>285917100</v>
      </c>
      <c r="E7" s="109">
        <f>SUMIFS('Federal Data'!O2:O501,'Federal Data'!$F2:$F501,"Individual Income Taxes")</f>
        <v>297744492</v>
      </c>
      <c r="F7" s="109">
        <f>SUMIFS('Federal Data'!P2:P501,'Federal Data'!$F2:$F501,"Individual Income Taxes")</f>
        <v>288937814</v>
      </c>
      <c r="G7" s="109">
        <f>SUMIFS('Federal Data'!Q2:Q501,'Federal Data'!$F2:$F501,"Individual Income Taxes")</f>
        <v>298415430</v>
      </c>
      <c r="H7" s="109">
        <f>SUMIFS('Federal Data'!R2:R501,'Federal Data'!$F2:$F501,"Individual Income Taxes")</f>
        <v>334531018</v>
      </c>
      <c r="I7" s="109">
        <f>SUMIFS('Federal Data'!S2:S501,'Federal Data'!$F2:$F501,"Individual Income Taxes")</f>
        <v>348959411</v>
      </c>
      <c r="J7" s="109">
        <f>SUMIFS('Federal Data'!T2:T501,'Federal Data'!$F2:$F501,"Individual Income Taxes")</f>
        <v>392557016</v>
      </c>
      <c r="K7" s="109">
        <f>SUMIFS('Federal Data'!U2:U501,'Federal Data'!$F2:$F501,"Individual Income Taxes")</f>
        <v>401181069</v>
      </c>
      <c r="L7" s="109">
        <f>SUMIFS('Federal Data'!V2:V501,'Federal Data'!$F2:$F501,"Individual Income Taxes")</f>
        <v>445690230</v>
      </c>
      <c r="M7" s="109">
        <f>SUMIFS('Federal Data'!W2:W501,'Federal Data'!$F2:$F501,"Individual Income Taxes")</f>
        <v>466884287</v>
      </c>
      <c r="N7" s="109">
        <f>SUMIFS('Federal Data'!X2:X501,'Federal Data'!$F2:$F501,"Individual Income Taxes")</f>
        <v>467827443</v>
      </c>
      <c r="O7" s="109">
        <f>SUMIFS('Federal Data'!Y2:Y501,'Federal Data'!$F2:$F501,"Individual Income Taxes")</f>
        <v>475963502</v>
      </c>
      <c r="P7" s="109">
        <f>SUMIFS('Federal Data'!Z2:Z501,'Federal Data'!$F2:$F501,"Individual Income Taxes")</f>
        <v>509680116</v>
      </c>
      <c r="Q7" s="109">
        <f>SUMIFS('Federal Data'!AA2:AA501,'Federal Data'!$F2:$F501,"Individual Income Taxes")</f>
        <v>543054752</v>
      </c>
      <c r="R7" s="109">
        <f>SUMIFS('Federal Data'!AB2:AB501,'Federal Data'!$F2:$F501,"Individual Income Taxes")</f>
        <v>590244000</v>
      </c>
      <c r="S7" s="109">
        <f>SUMIFS('Federal Data'!AC2:AC501,'Federal Data'!$F2:$F501,"Individual Income Taxes")</f>
        <v>656417000</v>
      </c>
      <c r="T7" s="109">
        <f>SUMIFS('Federal Data'!AD2:AD501,'Federal Data'!$F2:$F501,"Individual Income Taxes")</f>
        <v>737466000</v>
      </c>
      <c r="U7" s="109">
        <f>SUMIFS('Federal Data'!AE2:AE501,'Federal Data'!$F2:$F501,"Individual Income Taxes")</f>
        <v>828586000</v>
      </c>
      <c r="V7" s="109">
        <f>SUMIFS('Federal Data'!AF2:AF501,'Federal Data'!$F2:$F501,"Individual Income Taxes")</f>
        <v>879480000</v>
      </c>
      <c r="W7" s="109">
        <f>SUMIFS('Federal Data'!AG2:AG501,'Federal Data'!$F2:$F501,"Individual Income Taxes")</f>
        <v>1004462000</v>
      </c>
      <c r="X7" s="109">
        <f>SUMIFS('Federal Data'!AH2:AH501,'Federal Data'!$F2:$F501,"Individual Income Taxes")</f>
        <v>994339000</v>
      </c>
      <c r="Y7" s="109">
        <f>SUMIFS('Federal Data'!AI2:AI501,'Federal Data'!$F2:$F501,"Individual Income Taxes")</f>
        <v>858345000</v>
      </c>
      <c r="Z7" s="109">
        <f>SUMIFS('Federal Data'!AJ2:AJ501,'Federal Data'!$F2:$F501,"Individual Income Taxes")</f>
        <v>793699000</v>
      </c>
      <c r="AA7" s="109">
        <f>SUMIFS('Federal Data'!AK2:AK501,'Federal Data'!$F2:$F501,"Individual Income Taxes")</f>
        <v>808959000</v>
      </c>
      <c r="AB7" s="109">
        <f>SUMIFS('Federal Data'!AL2:AL501,'Federal Data'!$F2:$F501,"Individual Income Taxes")</f>
        <v>927222000</v>
      </c>
      <c r="AC7" s="109">
        <f>SUMIFS('Federal Data'!AM2:AM501,'Federal Data'!$F2:$F501,"Individual Income Taxes")</f>
        <v>1043908000</v>
      </c>
      <c r="AD7" s="109">
        <f>SUMIFS('Federal Data'!AN2:AN501,'Federal Data'!$F2:$F501,"Individual Income Taxes")</f>
        <v>1163472000</v>
      </c>
      <c r="AE7" s="109">
        <f>SUMIFS('Federal Data'!AO2:AO501,'Federal Data'!$F2:$F501,"Individual Income Taxes")</f>
        <v>1145747000</v>
      </c>
      <c r="AF7" s="109">
        <f>SUMIFS('Federal Data'!AP2:AP501,'Federal Data'!$F2:$F501,"Individual Income Taxes")</f>
        <v>915308000</v>
      </c>
      <c r="AG7" s="109">
        <f>SUMIFS('Federal Data'!AQ2:AQ501,'Federal Data'!$F2:$F501,"Individual Income Taxes")</f>
        <v>898549000</v>
      </c>
      <c r="AH7" s="109">
        <f>SUMIFS('Federal Data'!AR2:AR501,'Federal Data'!$F2:$F501,"Individual Income Taxes")</f>
        <v>1091473000</v>
      </c>
      <c r="AI7" s="109">
        <f>SUMIFS('Federal Data'!AS2:AS501,'Federal Data'!$F2:$F501,"Individual Income Taxes")</f>
        <v>1132206000</v>
      </c>
      <c r="AJ7" s="109">
        <f>SUMIFS('Federal Data'!AT2:AT501,'Federal Data'!$F2:$F501,"Individual Income Taxes")</f>
        <v>1316405000</v>
      </c>
      <c r="AK7" s="109">
        <f>SUMIFS('Federal Data'!AU2:AU501,'Federal Data'!$F2:$F501,"Individual Income Taxes")</f>
        <v>1394568000</v>
      </c>
      <c r="AL7" s="109">
        <f>SUMIFS('Federal Data'!AV2:AV501,'Federal Data'!$F2:$F501,"Individual Income Taxes")</f>
        <v>1540802000</v>
      </c>
    </row>
    <row r="8" spans="1:38" outlineLevel="4">
      <c r="A8" s="22" t="str">
        <f>B7</f>
        <v>Individual Income Taxes</v>
      </c>
      <c r="B8" s="28" t="s">
        <v>271</v>
      </c>
      <c r="C8" s="109">
        <v>12106000</v>
      </c>
      <c r="D8" s="109">
        <v>12655500</v>
      </c>
      <c r="E8" s="109">
        <v>12876000</v>
      </c>
      <c r="F8" s="109">
        <v>15800000</v>
      </c>
      <c r="G8" s="109">
        <v>20076500</v>
      </c>
      <c r="H8" s="109">
        <v>23956500</v>
      </c>
      <c r="I8" s="109">
        <v>39687000</v>
      </c>
      <c r="J8" s="109">
        <v>43314000</v>
      </c>
      <c r="K8" s="109">
        <v>36290000</v>
      </c>
      <c r="L8" s="109">
        <v>37062000</v>
      </c>
      <c r="M8" s="109">
        <v>31543500</v>
      </c>
      <c r="N8" s="109">
        <v>26366000</v>
      </c>
      <c r="O8" s="109">
        <v>26943000</v>
      </c>
      <c r="P8" s="109">
        <v>32547500</v>
      </c>
      <c r="Q8" s="109">
        <v>36177500</v>
      </c>
      <c r="R8" s="109">
        <v>40248500</v>
      </c>
      <c r="S8" s="109">
        <v>55325000</v>
      </c>
      <c r="T8" s="109">
        <v>72850500</v>
      </c>
      <c r="U8" s="109">
        <v>84187000</v>
      </c>
      <c r="V8" s="109">
        <v>100445000</v>
      </c>
      <c r="W8" s="109">
        <v>119559000</v>
      </c>
      <c r="X8" s="109">
        <v>96482500</v>
      </c>
      <c r="Y8" s="109">
        <v>57395000</v>
      </c>
      <c r="Z8" s="109">
        <v>50231000</v>
      </c>
      <c r="AA8" s="109">
        <v>62276500</v>
      </c>
      <c r="AB8" s="109">
        <v>87693500</v>
      </c>
      <c r="AC8" s="109">
        <v>109983500</v>
      </c>
      <c r="AD8" s="109">
        <v>127467000</v>
      </c>
      <c r="AE8" s="109">
        <v>102966000</v>
      </c>
      <c r="AF8" s="109">
        <v>52738500</v>
      </c>
      <c r="AG8" s="109">
        <v>45851500</v>
      </c>
      <c r="AH8" s="109">
        <v>55849500</v>
      </c>
      <c r="AI8" s="109">
        <v>73930000</v>
      </c>
      <c r="AJ8" s="109">
        <v>94988000</v>
      </c>
      <c r="AK8" s="109">
        <v>118962500</v>
      </c>
      <c r="AL8" s="109"/>
    </row>
    <row r="9" spans="1:38" outlineLevel="3">
      <c r="A9" s="22" t="str">
        <f>B6</f>
        <v>Tax Revenue</v>
      </c>
      <c r="B9" s="27" t="s">
        <v>6</v>
      </c>
      <c r="C9" s="109">
        <f>SUMIFS('Federal Data'!M2:M501,'Federal Data'!$F2:$F501,"Payroll Taxes")</f>
        <v>155537189</v>
      </c>
      <c r="D9" s="109">
        <f>SUMIFS('Federal Data'!N2:N501,'Federal Data'!$F2:$F501,"Payroll Taxes")</f>
        <v>180497726</v>
      </c>
      <c r="E9" s="109">
        <f>SUMIFS('Federal Data'!O2:O501,'Federal Data'!$F2:$F501,"Payroll Taxes")</f>
        <v>199365036</v>
      </c>
      <c r="F9" s="109">
        <f>SUMIFS('Federal Data'!P2:P501,'Federal Data'!$F2:$F501,"Payroll Taxes")</f>
        <v>207644920</v>
      </c>
      <c r="G9" s="109">
        <f>SUMIFS('Federal Data'!Q2:Q501,'Federal Data'!$F2:$F501,"Payroll Taxes")</f>
        <v>238314793</v>
      </c>
      <c r="H9" s="109">
        <f>SUMIFS('Federal Data'!R2:R501,'Federal Data'!$F2:$F501,"Payroll Taxes")</f>
        <v>264703685</v>
      </c>
      <c r="I9" s="109">
        <f>SUMIFS('Federal Data'!S2:S501,'Federal Data'!$F2:$F501,"Payroll Taxes")</f>
        <v>283912398</v>
      </c>
      <c r="J9" s="109">
        <f>SUMIFS('Federal Data'!T2:T501,'Federal Data'!$F2:$F501,"Payroll Taxes")</f>
        <v>303887951</v>
      </c>
      <c r="K9" s="109">
        <f>SUMIFS('Federal Data'!U2:U501,'Federal Data'!$F2:$F501,"Payroll Taxes")</f>
        <v>335768060</v>
      </c>
      <c r="L9" s="109">
        <f>SUMIFS('Federal Data'!V2:V501,'Federal Data'!$F2:$F501,"Payroll Taxes")</f>
        <v>361556549</v>
      </c>
      <c r="M9" s="109">
        <f>SUMIFS('Federal Data'!W2:W501,'Federal Data'!$F2:$F501,"Payroll Taxes")</f>
        <v>382955992</v>
      </c>
      <c r="N9" s="109">
        <f>SUMIFS('Federal Data'!X2:X501,'Federal Data'!$F2:$F501,"Payroll Taxes")</f>
        <v>399313772</v>
      </c>
      <c r="O9" s="109">
        <f>SUMIFS('Federal Data'!Y2:Y501,'Federal Data'!$F2:$F501,"Payroll Taxes")</f>
        <v>417621876</v>
      </c>
      <c r="P9" s="109">
        <f>SUMIFS('Federal Data'!Z2:Z501,'Federal Data'!$F2:$F501,"Payroll Taxes")</f>
        <v>432829147</v>
      </c>
      <c r="Q9" s="109">
        <f>SUMIFS('Federal Data'!AA2:AA501,'Federal Data'!$F2:$F501,"Payroll Taxes")</f>
        <v>466012437</v>
      </c>
      <c r="R9" s="109">
        <f>SUMIFS('Federal Data'!AB2:AB501,'Federal Data'!$F2:$F501,"Payroll Taxes")</f>
        <v>489111000</v>
      </c>
      <c r="S9" s="109">
        <f>SUMIFS('Federal Data'!AC2:AC501,'Federal Data'!$F2:$F501,"Payroll Taxes")</f>
        <v>513821000</v>
      </c>
      <c r="T9" s="109">
        <f>SUMIFS('Federal Data'!AD2:AD501,'Federal Data'!$F2:$F501,"Payroll Taxes")</f>
        <v>544133000</v>
      </c>
      <c r="U9" s="109">
        <f>SUMIFS('Federal Data'!AE2:AE501,'Federal Data'!$F2:$F501,"Payroll Taxes")</f>
        <v>577208000</v>
      </c>
      <c r="V9" s="109">
        <f>SUMIFS('Federal Data'!AF2:AF501,'Federal Data'!$F2:$F501,"Payroll Taxes")</f>
        <v>617389000</v>
      </c>
      <c r="W9" s="109">
        <f>SUMIFS('Federal Data'!AG2:AG501,'Federal Data'!$F2:$F501,"Payroll Taxes")</f>
        <v>658744000</v>
      </c>
      <c r="X9" s="109">
        <f>SUMIFS('Federal Data'!AH2:AH501,'Federal Data'!$F2:$F501,"Payroll Taxes")</f>
        <v>700289000</v>
      </c>
      <c r="Y9" s="109">
        <f>SUMIFS('Federal Data'!AI2:AI501,'Federal Data'!$F2:$F501,"Payroll Taxes")</f>
        <v>708405000</v>
      </c>
      <c r="Z9" s="109">
        <f>SUMIFS('Federal Data'!AJ2:AJ501,'Federal Data'!$F2:$F501,"Payroll Taxes")</f>
        <v>721624000</v>
      </c>
      <c r="AA9" s="109">
        <f>SUMIFS('Federal Data'!AK2:AK501,'Federal Data'!$F2:$F501,"Payroll Taxes")</f>
        <v>743408000</v>
      </c>
      <c r="AB9" s="109">
        <f>SUMIFS('Federal Data'!AL2:AL501,'Federal Data'!$F2:$F501,"Payroll Taxes")</f>
        <v>804682000</v>
      </c>
      <c r="AC9" s="109">
        <f>SUMIFS('Federal Data'!AM2:AM501,'Federal Data'!$F2:$F501,"Payroll Taxes")</f>
        <v>849320000</v>
      </c>
      <c r="AD9" s="109">
        <f>SUMIFS('Federal Data'!AN2:AN501,'Federal Data'!$F2:$F501,"Payroll Taxes")</f>
        <v>881942000</v>
      </c>
      <c r="AE9" s="109">
        <f>SUMIFS('Federal Data'!AO2:AO501,'Federal Data'!$F2:$F501,"Payroll Taxes")</f>
        <v>913555000</v>
      </c>
      <c r="AF9" s="109">
        <f>SUMIFS('Federal Data'!AP2:AP501,'Federal Data'!$F2:$F501,"Payroll Taxes")</f>
        <v>906005000</v>
      </c>
      <c r="AG9" s="109">
        <f>SUMIFS('Federal Data'!AQ2:AQ501,'Federal Data'!$F2:$F501,"Payroll Taxes")</f>
        <v>880923000</v>
      </c>
      <c r="AH9" s="109">
        <f>SUMIFS('Federal Data'!AR2:AR501,'Federal Data'!$F2:$F501,"Payroll Taxes")</f>
        <v>835290000</v>
      </c>
      <c r="AI9" s="109">
        <f>SUMIFS('Federal Data'!AS2:AS501,'Federal Data'!$F2:$F501,"Payroll Taxes")</f>
        <v>862646000</v>
      </c>
      <c r="AJ9" s="109">
        <f>SUMIFS('Federal Data'!AT2:AT501,'Federal Data'!$F2:$F501,"Payroll Taxes")</f>
        <v>965755000</v>
      </c>
      <c r="AK9" s="109">
        <f>SUMIFS('Federal Data'!AU2:AU501,'Federal Data'!$F2:$F501,"Payroll Taxes")</f>
        <v>1040773000</v>
      </c>
      <c r="AL9" s="109">
        <f>SUMIFS('Federal Data'!AV2:AV501,'Federal Data'!$F2:$F501,"Payroll Taxes")</f>
        <v>1082461000</v>
      </c>
    </row>
    <row r="10" spans="1:38" outlineLevel="4">
      <c r="A10" s="22" t="str">
        <f>B9</f>
        <v>Payroll Taxes</v>
      </c>
      <c r="B10" s="28" t="s">
        <v>54</v>
      </c>
      <c r="C10" s="109">
        <f>SUMIFS('Federal Data'!M2:M501,'Federal Data'!$G2:$G501,"Social Security Taxes")</f>
        <v>114412955</v>
      </c>
      <c r="D10" s="109">
        <f>SUMIFS('Federal Data'!N2:N501,'Federal Data'!$G2:$G501,"Social Security Taxes")</f>
        <v>131605620</v>
      </c>
      <c r="E10" s="109">
        <f>SUMIFS('Federal Data'!O2:O501,'Federal Data'!$G2:$G501,"Social Security Taxes")</f>
        <v>145112894</v>
      </c>
      <c r="F10" s="109">
        <f>SUMIFS('Federal Data'!P2:P501,'Federal Data'!$G2:$G501,"Social Security Taxes")</f>
        <v>149098287</v>
      </c>
      <c r="G10" s="109">
        <f>SUMIFS('Federal Data'!Q2:Q501,'Federal Data'!$G2:$G501,"Social Security Taxes")</f>
        <v>168118948</v>
      </c>
      <c r="H10" s="109">
        <f>SUMIFS('Federal Data'!R2:R501,'Federal Data'!$G2:$G501,"Social Security Taxes")</f>
        <v>188679481</v>
      </c>
      <c r="I10" s="109">
        <f>SUMIFS('Federal Data'!S2:S501,'Federal Data'!$G2:$G501,"Social Security Taxes")</f>
        <v>203085310</v>
      </c>
      <c r="J10" s="109">
        <f>SUMIFS('Federal Data'!T2:T501,'Federal Data'!$G2:$G501,"Social Security Taxes")</f>
        <v>216701396</v>
      </c>
      <c r="K10" s="109">
        <f>SUMIFS('Federal Data'!U2:U501,'Federal Data'!$G2:$G501,"Social Security Taxes")</f>
        <v>245561890</v>
      </c>
      <c r="L10" s="109">
        <f>SUMIFS('Federal Data'!V2:V501,'Federal Data'!$G2:$G501,"Social Security Taxes")</f>
        <v>268188263</v>
      </c>
      <c r="M10" s="109">
        <f>SUMIFS('Federal Data'!W2:W501,'Federal Data'!$G2:$G501,"Social Security Taxes")</f>
        <v>286722389</v>
      </c>
      <c r="N10" s="109">
        <f>SUMIFS('Federal Data'!X2:X501,'Federal Data'!$G2:$G501,"Social Security Taxes")</f>
        <v>299295400</v>
      </c>
      <c r="O10" s="109">
        <f>SUMIFS('Federal Data'!Y2:Y501,'Federal Data'!$G2:$G501,"Social Security Taxes")</f>
        <v>308164762</v>
      </c>
      <c r="P10" s="109">
        <f>SUMIFS('Federal Data'!Z2:Z501,'Federal Data'!$G2:$G501,"Social Security Taxes")</f>
        <v>318009717</v>
      </c>
      <c r="Q10" s="109">
        <f>SUMIFS('Federal Data'!AA2:AA501,'Federal Data'!$G2:$G501,"Social Security Taxes")</f>
        <v>341098090</v>
      </c>
      <c r="R10" s="109">
        <f>SUMIFS('Federal Data'!AB2:AB501,'Federal Data'!$G2:$G501,"Social Security Taxes")</f>
        <v>357219000</v>
      </c>
      <c r="S10" s="109">
        <f>SUMIFS('Federal Data'!AC2:AC501,'Federal Data'!$G2:$G501,"Social Security Taxes")</f>
        <v>373460000</v>
      </c>
      <c r="T10" s="109">
        <f>SUMIFS('Federal Data'!AD2:AD501,'Federal Data'!$G2:$G501,"Social Security Taxes")</f>
        <v>398173000</v>
      </c>
      <c r="U10" s="109">
        <f>SUMIFS('Federal Data'!AE2:AE501,'Federal Data'!$G2:$G501,"Social Security Taxes")</f>
        <v>422569000</v>
      </c>
      <c r="V10" s="109">
        <f>SUMIFS('Federal Data'!AF2:AF501,'Federal Data'!$G2:$G501,"Social Security Taxes")</f>
        <v>451589000</v>
      </c>
      <c r="W10" s="109">
        <f>SUMIFS('Federal Data'!AG2:AG501,'Federal Data'!$G2:$G501,"Social Security Taxes")</f>
        <v>488212000</v>
      </c>
      <c r="X10" s="109">
        <f>SUMIFS('Federal Data'!AH2:AH501,'Federal Data'!$G2:$G501,"Social Security Taxes")</f>
        <v>515420000</v>
      </c>
      <c r="Y10" s="109">
        <f>SUMIFS('Federal Data'!AI2:AI501,'Federal Data'!$G2:$G501,"Social Security Taxes")</f>
        <v>524199000</v>
      </c>
      <c r="Z10" s="109">
        <f>SUMIFS('Federal Data'!AJ2:AJ501,'Federal Data'!$G2:$G501,"Social Security Taxes")</f>
        <v>533444000</v>
      </c>
      <c r="AA10" s="109">
        <f>SUMIFS('Federal Data'!AK2:AK501,'Federal Data'!$G2:$G501,"Social Security Taxes")</f>
        <v>545346000</v>
      </c>
      <c r="AB10" s="109">
        <f>SUMIFS('Federal Data'!AL2:AL501,'Federal Data'!$G2:$G501,"Social Security Taxes")</f>
        <v>588417000</v>
      </c>
      <c r="AC10" s="109">
        <f>SUMIFS('Federal Data'!AM2:AM501,'Federal Data'!$G2:$G501,"Social Security Taxes")</f>
        <v>620007000</v>
      </c>
      <c r="AD10" s="109">
        <f>SUMIFS('Federal Data'!AN2:AN501,'Federal Data'!$G2:$G501,"Social Security Taxes")</f>
        <v>647388000</v>
      </c>
      <c r="AE10" s="109">
        <f>SUMIFS('Federal Data'!AO2:AO501,'Federal Data'!$G2:$G501,"Social Security Taxes")</f>
        <v>671183000</v>
      </c>
      <c r="AF10" s="109">
        <f>SUMIFS('Federal Data'!AP2:AP501,'Federal Data'!$G2:$G501,"Social Security Taxes")</f>
        <v>668235000</v>
      </c>
      <c r="AG10" s="109">
        <f>SUMIFS('Federal Data'!AQ2:AQ501,'Federal Data'!$G2:$G501,"Social Security Taxes")</f>
        <v>646623000</v>
      </c>
      <c r="AH10" s="109">
        <f>SUMIFS('Federal Data'!AR2:AR501,'Federal Data'!$G2:$G501,"Social Security Taxes")</f>
        <v>580887000</v>
      </c>
      <c r="AI10" s="109">
        <f>SUMIFS('Federal Data'!AS2:AS501,'Federal Data'!$G2:$G501,"Social Security Taxes")</f>
        <v>585093000</v>
      </c>
      <c r="AJ10" s="109">
        <f>SUMIFS('Federal Data'!AT2:AT501,'Federal Data'!$G2:$G501,"Social Security Taxes")</f>
        <v>689442000</v>
      </c>
      <c r="AK10" s="109">
        <f>SUMIFS('Federal Data'!AU2:AU501,'Federal Data'!$G2:$G501,"Social Security Taxes")</f>
        <v>751302000</v>
      </c>
      <c r="AL10" s="109">
        <f>SUMIFS('Federal Data'!AV2:AV501,'Federal Data'!$G2:$G501,"Social Security Taxes")</f>
        <v>786380000</v>
      </c>
    </row>
    <row r="11" spans="1:38" outlineLevel="5">
      <c r="A11" s="22" t="str">
        <f>B10</f>
        <v>Social Security</v>
      </c>
      <c r="B11" s="29" t="s">
        <v>72</v>
      </c>
      <c r="C11" s="109">
        <f>SUMIFS('Federal Data'!M2:M501,'Federal Data'!$G2:$G501,"Social Security Taxes",'Federal Data'!$H2:$H501,"Retirement")</f>
        <v>97607697</v>
      </c>
      <c r="D11" s="109">
        <f>SUMIFS('Federal Data'!N2:N501,'Federal Data'!$G2:$G501,"Social Security Taxes",'Federal Data'!$H2:$H501,"Retirement")</f>
        <v>119016123</v>
      </c>
      <c r="E11" s="109">
        <f>SUMIFS('Federal Data'!O2:O501,'Federal Data'!$G2:$G501,"Social Security Taxes",'Federal Data'!$H2:$H501,"Retirement")</f>
        <v>124246445</v>
      </c>
      <c r="F11" s="109">
        <f>SUMIFS('Federal Data'!P2:P501,'Federal Data'!$G2:$G501,"Social Security Taxes",'Federal Data'!$H2:$H501,"Retirement")</f>
        <v>130506498</v>
      </c>
      <c r="G11" s="109">
        <f>SUMIFS('Federal Data'!Q2:Q501,'Federal Data'!$G2:$G501,"Social Security Taxes",'Federal Data'!$H2:$H501,"Retirement")</f>
        <v>152163541</v>
      </c>
      <c r="H11" s="109">
        <f>SUMIFS('Federal Data'!R2:R501,'Federal Data'!$G2:$G501,"Social Security Taxes",'Federal Data'!$H2:$H501,"Retirement")</f>
        <v>172110010</v>
      </c>
      <c r="I11" s="109">
        <f>SUMIFS('Federal Data'!S2:S501,'Federal Data'!$G2:$G501,"Social Security Taxes",'Federal Data'!$H2:$H501,"Retirement")</f>
        <v>185125526</v>
      </c>
      <c r="J11" s="109">
        <f>SUMIFS('Federal Data'!T2:T501,'Federal Data'!$G2:$G501,"Social Security Taxes",'Federal Data'!$H2:$H501,"Retirement")</f>
        <v>197552022</v>
      </c>
      <c r="K11" s="109">
        <f>SUMIFS('Federal Data'!U2:U501,'Federal Data'!$G2:$G501,"Social Security Taxes",'Federal Data'!$H2:$H501,"Retirement")</f>
        <v>224052691</v>
      </c>
      <c r="L11" s="109">
        <f>SUMIFS('Federal Data'!V2:V501,'Federal Data'!$G2:$G501,"Social Security Taxes",'Federal Data'!$H2:$H501,"Retirement")</f>
        <v>244721652</v>
      </c>
      <c r="M11" s="109">
        <f>SUMIFS('Federal Data'!W2:W501,'Federal Data'!$G2:$G501,"Social Security Taxes",'Federal Data'!$H2:$H501,"Retirement")</f>
        <v>259617763</v>
      </c>
      <c r="N11" s="109">
        <f>SUMIFS('Federal Data'!X2:X501,'Federal Data'!$G2:$G501,"Social Security Taxes",'Federal Data'!$H2:$H501,"Retirement")</f>
        <v>270388319</v>
      </c>
      <c r="O11" s="109">
        <f>SUMIFS('Federal Data'!Y2:Y501,'Federal Data'!$G2:$G501,"Social Security Taxes",'Federal Data'!$H2:$H501,"Retirement")</f>
        <v>278317434</v>
      </c>
      <c r="P11" s="109">
        <f>SUMIFS('Federal Data'!Z2:Z501,'Federal Data'!$G2:$G501,"Social Security Taxes",'Federal Data'!$H2:$H501,"Retirement")</f>
        <v>287224064</v>
      </c>
      <c r="Q11" s="109">
        <f>SUMIFS('Federal Data'!AA2:AA501,'Federal Data'!$G2:$G501,"Social Security Taxes",'Federal Data'!$H2:$H501,"Retirement")</f>
        <v>308089951</v>
      </c>
      <c r="R11" s="109">
        <f>SUMIFS('Federal Data'!AB2:AB501,'Federal Data'!$G2:$G501,"Social Security Taxes",'Federal Data'!$H2:$H501,"Retirement")</f>
        <v>289300000</v>
      </c>
      <c r="S11" s="109">
        <f>SUMIFS('Federal Data'!AC2:AC501,'Federal Data'!$G2:$G501,"Social Security Taxes",'Federal Data'!$H2:$H501,"Retirement")</f>
        <v>316932000</v>
      </c>
      <c r="T11" s="109">
        <f>SUMIFS('Federal Data'!AD2:AD501,'Federal Data'!$G2:$G501,"Social Security Taxes",'Federal Data'!$H2:$H501,"Retirement")</f>
        <v>342044000</v>
      </c>
      <c r="U11" s="109">
        <f>SUMIFS('Federal Data'!AE2:AE501,'Federal Data'!$G2:$G501,"Social Security Taxes",'Federal Data'!$H2:$H501,"Retirement")</f>
        <v>364627000</v>
      </c>
      <c r="V11" s="109">
        <f>SUMIFS('Federal Data'!AF2:AF501,'Federal Data'!$G2:$G501,"Social Security Taxes",'Federal Data'!$H2:$H501,"Retirement")</f>
        <v>389705000</v>
      </c>
      <c r="W11" s="109">
        <f>SUMIFS('Federal Data'!AG2:AG501,'Federal Data'!$G2:$G501,"Social Security Taxes",'Federal Data'!$H2:$H501,"Retirement")</f>
        <v>418212000</v>
      </c>
      <c r="X11" s="109">
        <f>SUMIFS('Federal Data'!AH2:AH501,'Federal Data'!$G2:$G501,"Social Security Taxes",'Federal Data'!$H2:$H501,"Retirement")</f>
        <v>440811000</v>
      </c>
      <c r="Y11" s="109">
        <f>SUMIFS('Federal Data'!AI2:AI501,'Federal Data'!$G2:$G501,"Social Security Taxes",'Federal Data'!$H2:$H501,"Retirement")</f>
        <v>448132000</v>
      </c>
      <c r="Z11" s="109">
        <f>SUMIFS('Federal Data'!AJ2:AJ501,'Federal Data'!$G2:$G501,"Social Security Taxes",'Federal Data'!$H2:$H501,"Retirement")</f>
        <v>456013000</v>
      </c>
      <c r="AA11" s="109">
        <f>SUMIFS('Federal Data'!AK2:AK501,'Federal Data'!$G2:$G501,"Social Security Taxes",'Federal Data'!$H2:$H501,"Retirement")</f>
        <v>466181000</v>
      </c>
      <c r="AB11" s="109">
        <f>SUMIFS('Federal Data'!AL2:AL501,'Federal Data'!$G2:$G501,"Social Security Taxes",'Federal Data'!$H2:$H501,"Retirement")</f>
        <v>502998000</v>
      </c>
      <c r="AC11" s="109">
        <f>SUMIFS('Federal Data'!AM2:AM501,'Federal Data'!$G2:$G501,"Social Security Taxes",'Federal Data'!$H2:$H501,"Retirement")</f>
        <v>530006000</v>
      </c>
      <c r="AD11" s="109">
        <f>SUMIFS('Federal Data'!AN2:AN501,'Federal Data'!$G2:$G501,"Social Security Taxes",'Federal Data'!$H2:$H501,"Retirement")</f>
        <v>553415000</v>
      </c>
      <c r="AE11" s="109">
        <f>SUMIFS('Federal Data'!AO2:AO501,'Federal Data'!$G2:$G501,"Social Security Taxes",'Federal Data'!$H2:$H501,"Retirement")</f>
        <v>573750000</v>
      </c>
      <c r="AF11" s="109">
        <f>SUMIFS('Federal Data'!AP2:AP501,'Federal Data'!$G2:$G501,"Social Security Taxes",'Federal Data'!$H2:$H501,"Retirement")</f>
        <v>571228000</v>
      </c>
      <c r="AG11" s="109">
        <f>SUMIFS('Federal Data'!AQ2:AQ501,'Federal Data'!$G2:$G501,"Social Security Taxes",'Federal Data'!$H2:$H501,"Retirement")</f>
        <v>552761000</v>
      </c>
      <c r="AH11" s="109">
        <f>SUMIFS('Federal Data'!AR2:AR501,'Federal Data'!$G2:$G501,"Social Security Taxes",'Federal Data'!$H2:$H501,"Retirement")</f>
        <v>496591000</v>
      </c>
      <c r="AI11" s="109">
        <f>SUMIFS('Federal Data'!AS2:AS501,'Federal Data'!$G2:$G501,"Social Security Taxes",'Federal Data'!$H2:$H501,"Retirement")</f>
        <v>500114000</v>
      </c>
      <c r="AJ11" s="109">
        <f>SUMIFS('Federal Data'!AT2:AT501,'Federal Data'!$G2:$G501,"Social Security Taxes",'Federal Data'!$H2:$H501,"Retirement")</f>
        <v>589375000</v>
      </c>
      <c r="AK11" s="109">
        <f>SUMIFS('Federal Data'!AU2:AU501,'Federal Data'!$G2:$G501,"Social Security Taxes",'Federal Data'!$H2:$H501,"Retirement")</f>
        <v>642244000</v>
      </c>
      <c r="AL11" s="109">
        <f>SUMIFS('Federal Data'!AV2:AV501,'Federal Data'!$G2:$G501,"Social Security Taxes",'Federal Data'!$H2:$H501,"Retirement")</f>
        <v>672227000</v>
      </c>
    </row>
    <row r="12" spans="1:38" outlineLevel="5">
      <c r="A12" s="22" t="str">
        <f>B10</f>
        <v>Social Security</v>
      </c>
      <c r="B12" s="29" t="s">
        <v>73</v>
      </c>
      <c r="C12" s="109">
        <f>SUMIFS('Federal Data'!M2:M501,'Federal Data'!$G2:$G501,"Social Security Taxes",'Federal Data'!$H2:$H501,"Disability")</f>
        <v>16805258</v>
      </c>
      <c r="D12" s="109">
        <f>SUMIFS('Federal Data'!N2:N501,'Federal Data'!$G2:$G501,"Social Security Taxes",'Federal Data'!$H2:$H501,"Disability")</f>
        <v>12589497</v>
      </c>
      <c r="E12" s="109">
        <f>SUMIFS('Federal Data'!O2:O501,'Federal Data'!$G2:$G501,"Social Security Taxes",'Federal Data'!$H2:$H501,"Disability")</f>
        <v>20866449</v>
      </c>
      <c r="F12" s="109">
        <f>SUMIFS('Federal Data'!P2:P501,'Federal Data'!$G2:$G501,"Social Security Taxes",'Federal Data'!$H2:$H501,"Disability")</f>
        <v>18591789</v>
      </c>
      <c r="G12" s="109">
        <f>SUMIFS('Federal Data'!Q2:Q501,'Federal Data'!$G2:$G501,"Social Security Taxes",'Federal Data'!$H2:$H501,"Disability")</f>
        <v>15955407</v>
      </c>
      <c r="H12" s="109">
        <f>SUMIFS('Federal Data'!R2:R501,'Federal Data'!$G2:$G501,"Social Security Taxes",'Federal Data'!$H2:$H501,"Disability")</f>
        <v>16569471</v>
      </c>
      <c r="I12" s="109">
        <f>SUMIFS('Federal Data'!S2:S501,'Federal Data'!$G2:$G501,"Social Security Taxes",'Federal Data'!$H2:$H501,"Disability")</f>
        <v>17959784</v>
      </c>
      <c r="J12" s="109">
        <f>SUMIFS('Federal Data'!T2:T501,'Federal Data'!$G2:$G501,"Social Security Taxes",'Federal Data'!$H2:$H501,"Disability")</f>
        <v>19149374</v>
      </c>
      <c r="K12" s="109">
        <f>SUMIFS('Federal Data'!U2:U501,'Federal Data'!$G2:$G501,"Social Security Taxes",'Federal Data'!$H2:$H501,"Disability")</f>
        <v>21509199</v>
      </c>
      <c r="L12" s="109">
        <f>SUMIFS('Federal Data'!V2:V501,'Federal Data'!$G2:$G501,"Social Security Taxes",'Federal Data'!$H2:$H501,"Disability")</f>
        <v>23466611</v>
      </c>
      <c r="M12" s="109">
        <f>SUMIFS('Federal Data'!W2:W501,'Federal Data'!$G2:$G501,"Social Security Taxes",'Federal Data'!$H2:$H501,"Disability")</f>
        <v>27104626</v>
      </c>
      <c r="N12" s="109">
        <f>SUMIFS('Federal Data'!X2:X501,'Federal Data'!$G2:$G501,"Social Security Taxes",'Federal Data'!$H2:$H501,"Disability")</f>
        <v>28907081</v>
      </c>
      <c r="O12" s="109">
        <f>SUMIFS('Federal Data'!Y2:Y501,'Federal Data'!$G2:$G501,"Social Security Taxes",'Federal Data'!$H2:$H501,"Disability")</f>
        <v>29847328</v>
      </c>
      <c r="P12" s="109">
        <f>SUMIFS('Federal Data'!Z2:Z501,'Federal Data'!$G2:$G501,"Social Security Taxes",'Federal Data'!$H2:$H501,"Disability")</f>
        <v>30785653</v>
      </c>
      <c r="Q12" s="109">
        <f>SUMIFS('Federal Data'!AA2:AA501,'Federal Data'!$G2:$G501,"Social Security Taxes",'Federal Data'!$H2:$H501,"Disability")</f>
        <v>33008139</v>
      </c>
      <c r="R12" s="109">
        <f>SUMIFS('Federal Data'!AB2:AB501,'Federal Data'!$G2:$G501,"Social Security Taxes",'Federal Data'!$H2:$H501,"Disability")</f>
        <v>67919000</v>
      </c>
      <c r="S12" s="109">
        <f>SUMIFS('Federal Data'!AC2:AC501,'Federal Data'!$G2:$G501,"Social Security Taxes",'Federal Data'!$H2:$H501,"Disability")</f>
        <v>56528000</v>
      </c>
      <c r="T12" s="109">
        <f>SUMIFS('Federal Data'!AD2:AD501,'Federal Data'!$G2:$G501,"Social Security Taxes",'Federal Data'!$H2:$H501,"Disability")</f>
        <v>56129000</v>
      </c>
      <c r="U12" s="109">
        <f>SUMIFS('Federal Data'!AE2:AE501,'Federal Data'!$G2:$G501,"Social Security Taxes",'Federal Data'!$H2:$H501,"Disability")</f>
        <v>57942000</v>
      </c>
      <c r="V12" s="109">
        <f>SUMIFS('Federal Data'!AF2:AF501,'Federal Data'!$G2:$G501,"Social Security Taxes",'Federal Data'!$H2:$H501,"Disability")</f>
        <v>61884000</v>
      </c>
      <c r="W12" s="109">
        <f>SUMIFS('Federal Data'!AG2:AG501,'Federal Data'!$G2:$G501,"Social Security Taxes",'Federal Data'!$H2:$H501,"Disability")</f>
        <v>70000000</v>
      </c>
      <c r="X12" s="109">
        <f>SUMIFS('Federal Data'!AH2:AH501,'Federal Data'!$G2:$G501,"Social Security Taxes",'Federal Data'!$H2:$H501,"Disability")</f>
        <v>74609000</v>
      </c>
      <c r="Y12" s="109">
        <f>SUMIFS('Federal Data'!AI2:AI501,'Federal Data'!$G2:$G501,"Social Security Taxes",'Federal Data'!$H2:$H501,"Disability")</f>
        <v>76067000</v>
      </c>
      <c r="Z12" s="109">
        <f>SUMIFS('Federal Data'!AJ2:AJ501,'Federal Data'!$G2:$G501,"Social Security Taxes",'Federal Data'!$H2:$H501,"Disability")</f>
        <v>77431000</v>
      </c>
      <c r="AA12" s="109">
        <f>SUMIFS('Federal Data'!AK2:AK501,'Federal Data'!$G2:$G501,"Social Security Taxes",'Federal Data'!$H2:$H501,"Disability")</f>
        <v>79165000</v>
      </c>
      <c r="AB12" s="109">
        <f>SUMIFS('Federal Data'!AL2:AL501,'Federal Data'!$G2:$G501,"Social Security Taxes",'Federal Data'!$H2:$H501,"Disability")</f>
        <v>85419000</v>
      </c>
      <c r="AC12" s="109">
        <f>SUMIFS('Federal Data'!AM2:AM501,'Federal Data'!$G2:$G501,"Social Security Taxes",'Federal Data'!$H2:$H501,"Disability")</f>
        <v>90001000</v>
      </c>
      <c r="AD12" s="109">
        <f>SUMIFS('Federal Data'!AN2:AN501,'Federal Data'!$G2:$G501,"Social Security Taxes",'Federal Data'!$H2:$H501,"Disability")</f>
        <v>93973000</v>
      </c>
      <c r="AE12" s="109">
        <f>SUMIFS('Federal Data'!AO2:AO501,'Federal Data'!$G2:$G501,"Social Security Taxes",'Federal Data'!$H2:$H501,"Disability")</f>
        <v>97433000</v>
      </c>
      <c r="AF12" s="109">
        <f>SUMIFS('Federal Data'!AP2:AP501,'Federal Data'!$G2:$G501,"Social Security Taxes",'Federal Data'!$H2:$H501,"Disability")</f>
        <v>97007000</v>
      </c>
      <c r="AG12" s="109">
        <f>SUMIFS('Federal Data'!AQ2:AQ501,'Federal Data'!$G2:$G501,"Social Security Taxes",'Federal Data'!$H2:$H501,"Disability")</f>
        <v>93862000</v>
      </c>
      <c r="AH12" s="109">
        <f>SUMIFS('Federal Data'!AR2:AR501,'Federal Data'!$G2:$G501,"Social Security Taxes",'Federal Data'!$H2:$H501,"Disability")</f>
        <v>84296000</v>
      </c>
      <c r="AI12" s="109">
        <f>SUMIFS('Federal Data'!AS2:AS501,'Federal Data'!$G2:$G501,"Social Security Taxes",'Federal Data'!$H2:$H501,"Disability")</f>
        <v>84979000</v>
      </c>
      <c r="AJ12" s="109">
        <f>SUMIFS('Federal Data'!AT2:AT501,'Federal Data'!$G2:$G501,"Social Security Taxes",'Federal Data'!$H2:$H501,"Disability")</f>
        <v>100067000</v>
      </c>
      <c r="AK12" s="109">
        <f>SUMIFS('Federal Data'!AU2:AU501,'Federal Data'!$G2:$G501,"Social Security Taxes",'Federal Data'!$H2:$H501,"Disability")</f>
        <v>109058000</v>
      </c>
      <c r="AL12" s="109">
        <f>SUMIFS('Federal Data'!AV2:AV501,'Federal Data'!$G2:$G501,"Social Security Taxes",'Federal Data'!$H2:$H501,"Disability")</f>
        <v>114153000</v>
      </c>
    </row>
    <row r="13" spans="1:38" outlineLevel="4">
      <c r="A13" s="22" t="str">
        <f>B9</f>
        <v>Payroll Taxes</v>
      </c>
      <c r="B13" s="28" t="s">
        <v>71</v>
      </c>
      <c r="C13" s="109">
        <f>SUMIFS('Federal Data'!M2:M501,'Federal Data'!$G2:$G501,"Railroad REtirement Taxes")</f>
        <v>2322877</v>
      </c>
      <c r="D13" s="109">
        <f>SUMIFS('Federal Data'!N2:N501,'Federal Data'!$G2:$G501,"Railroad REtirement Taxes")</f>
        <v>2457238</v>
      </c>
      <c r="E13" s="109">
        <f>SUMIFS('Federal Data'!O2:O501,'Federal Data'!$G2:$G501,"Railroad REtirement Taxes")</f>
        <v>2917475</v>
      </c>
      <c r="F13" s="109">
        <f>SUMIFS('Federal Data'!P2:P501,'Federal Data'!$G2:$G501,"Railroad REtirement Taxes")</f>
        <v>2804784</v>
      </c>
      <c r="G13" s="109">
        <f>SUMIFS('Federal Data'!Q2:Q501,'Federal Data'!$G2:$G501,"Railroad REtirement Taxes")</f>
        <v>3321050</v>
      </c>
      <c r="H13" s="109">
        <f>SUMIFS('Federal Data'!R2:R501,'Federal Data'!$G2:$G501,"Railroad REtirement Taxes")</f>
        <v>3604883</v>
      </c>
      <c r="I13" s="109">
        <f>SUMIFS('Federal Data'!S2:S501,'Federal Data'!$G2:$G501,"Railroad REtirement Taxes")</f>
        <v>3498038</v>
      </c>
      <c r="J13" s="109">
        <f>SUMIFS('Federal Data'!T2:T501,'Federal Data'!$G2:$G501,"Railroad REtirement Taxes")</f>
        <v>3633923</v>
      </c>
      <c r="K13" s="109">
        <f>SUMIFS('Federal Data'!U2:U501,'Federal Data'!$G2:$G501,"Railroad REtirement Taxes")</f>
        <v>3742809</v>
      </c>
      <c r="L13" s="109">
        <f>SUMIFS('Federal Data'!V2:V501,'Federal Data'!$G2:$G501,"Railroad REtirement Taxes")</f>
        <v>3797284</v>
      </c>
      <c r="M13" s="109">
        <f>SUMIFS('Federal Data'!W2:W501,'Federal Data'!$G2:$G501,"Railroad REtirement Taxes")</f>
        <v>3679227</v>
      </c>
      <c r="N13" s="109">
        <f>SUMIFS('Federal Data'!X2:X501,'Federal Data'!$G2:$G501,"Railroad REtirement Taxes")</f>
        <v>3798927</v>
      </c>
      <c r="O13" s="109">
        <f>SUMIFS('Federal Data'!Y2:Y501,'Federal Data'!$G2:$G501,"Railroad REtirement Taxes")</f>
        <v>3956741</v>
      </c>
      <c r="P13" s="109">
        <f>SUMIFS('Federal Data'!Z2:Z501,'Federal Data'!$G2:$G501,"Railroad REtirement Taxes")</f>
        <v>3781142</v>
      </c>
      <c r="Q13" s="109">
        <f>SUMIFS('Federal Data'!AA2:AA501,'Federal Data'!$G2:$G501,"Railroad REtirement Taxes")</f>
        <v>3722269</v>
      </c>
      <c r="R13" s="109">
        <f>SUMIFS('Federal Data'!AB2:AB501,'Federal Data'!$G2:$G501,"Railroad REtirement Taxes")</f>
        <v>3942000</v>
      </c>
      <c r="S13" s="109">
        <f>SUMIFS('Federal Data'!AC2:AC501,'Federal Data'!$G2:$G501,"Railroad REtirement Taxes")</f>
        <v>3872000</v>
      </c>
      <c r="T13" s="109">
        <f>SUMIFS('Federal Data'!AD2:AD501,'Federal Data'!$G2:$G501,"Railroad REtirement Taxes")</f>
        <v>4051000</v>
      </c>
      <c r="U13" s="109">
        <f>SUMIFS('Federal Data'!AE2:AE501,'Federal Data'!$G2:$G501,"Railroad REtirement Taxes")</f>
        <v>4352000</v>
      </c>
      <c r="V13" s="109">
        <f>SUMIFS('Federal Data'!AF2:AF501,'Federal Data'!$G2:$G501,"Railroad REtirement Taxes")</f>
        <v>4144000</v>
      </c>
      <c r="W13" s="109">
        <f>SUMIFS('Federal Data'!AG2:AG501,'Federal Data'!$G2:$G501,"Railroad REtirement Taxes")</f>
        <v>4338000</v>
      </c>
      <c r="X13" s="109">
        <f>SUMIFS('Federal Data'!AH2:AH501,'Federal Data'!$G2:$G501,"Railroad REtirement Taxes")</f>
        <v>4272000</v>
      </c>
      <c r="Y13" s="109">
        <f>SUMIFS('Federal Data'!AI2:AI501,'Federal Data'!$G2:$G501,"Railroad REtirement Taxes")</f>
        <v>4177000</v>
      </c>
      <c r="Z13" s="109">
        <f>SUMIFS('Federal Data'!AJ2:AJ501,'Federal Data'!$G2:$G501,"Railroad REtirement Taxes")</f>
        <v>3953000</v>
      </c>
      <c r="AA13" s="109">
        <f>SUMIFS('Federal Data'!AK2:AK501,'Federal Data'!$G2:$G501,"Railroad REtirement Taxes")</f>
        <v>4026000</v>
      </c>
      <c r="AB13" s="109">
        <f>SUMIFS('Federal Data'!AL2:AL501,'Federal Data'!$G2:$G501,"Railroad REtirement Taxes")</f>
        <v>4120000</v>
      </c>
      <c r="AC13" s="109">
        <f>SUMIFS('Federal Data'!AM2:AM501,'Federal Data'!$G2:$G501,"Railroad REtirement Taxes")</f>
        <v>4232000</v>
      </c>
      <c r="AD13" s="109">
        <f>SUMIFS('Federal Data'!AN2:AN501,'Federal Data'!$G2:$G501,"Railroad REtirement Taxes")</f>
        <v>4261000</v>
      </c>
      <c r="AE13" s="109">
        <f>SUMIFS('Federal Data'!AO2:AO501,'Federal Data'!$G2:$G501,"Railroad REtirement Taxes")</f>
        <v>4433000</v>
      </c>
      <c r="AF13" s="109">
        <f>SUMIFS('Federal Data'!AP2:AP501,'Federal Data'!$G2:$G501,"Railroad REtirement Taxes")</f>
        <v>4213000</v>
      </c>
      <c r="AG13" s="109">
        <f>SUMIFS('Federal Data'!AQ2:AQ501,'Federal Data'!$G2:$G501,"Railroad REtirement Taxes")</f>
        <v>4139000</v>
      </c>
      <c r="AH13" s="109">
        <f>SUMIFS('Federal Data'!AR2:AR501,'Federal Data'!$G2:$G501,"Railroad REtirement Taxes")</f>
        <v>4238000</v>
      </c>
      <c r="AI13" s="109">
        <f>SUMIFS('Federal Data'!AS2:AS501,'Federal Data'!$G2:$G501,"Railroad REtirement Taxes")</f>
        <v>4283000</v>
      </c>
      <c r="AJ13" s="109">
        <f>SUMIFS('Federal Data'!AT2:AT501,'Federal Data'!$G2:$G501,"Railroad REtirement Taxes")</f>
        <v>4901000</v>
      </c>
      <c r="AK13" s="109">
        <f>SUMIFS('Federal Data'!AU2:AU501,'Federal Data'!$G2:$G501,"Railroad REtirement Taxes")</f>
        <v>5357000</v>
      </c>
      <c r="AL13" s="109">
        <f>SUMIFS('Federal Data'!AV2:AV501,'Federal Data'!$G2:$G501,"Railroad REtirement Taxes")</f>
        <v>5866000</v>
      </c>
    </row>
    <row r="14" spans="1:38" outlineLevel="4">
      <c r="A14" s="22" t="str">
        <f>B9</f>
        <v>Payroll Taxes</v>
      </c>
      <c r="B14" s="28" t="s">
        <v>19</v>
      </c>
      <c r="C14" s="109">
        <f>SUMIFS('Federal Data'!M2:M501,'Federal Data'!$G2:$G501,"Medicare Taxes")</f>
        <v>23465569</v>
      </c>
      <c r="D14" s="109">
        <f>SUMIFS('Federal Data'!N2:N501,'Federal Data'!$G2:$G501,"Medicare Taxes")</f>
        <v>30671920</v>
      </c>
      <c r="E14" s="109">
        <f>SUMIFS('Federal Data'!O2:O501,'Federal Data'!$G2:$G501,"Medicare Taxes")</f>
        <v>34698279</v>
      </c>
      <c r="F14" s="109">
        <f>SUMIFS('Federal Data'!P2:P501,'Federal Data'!$G2:$G501,"Medicare Taxes")</f>
        <v>36695215</v>
      </c>
      <c r="G14" s="109">
        <f>SUMIFS('Federal Data'!Q2:Q501,'Federal Data'!$G2:$G501,"Medicare Taxes")</f>
        <v>41567575</v>
      </c>
      <c r="H14" s="109">
        <f>SUMIFS('Federal Data'!R2:R501,'Federal Data'!$G2:$G501,"Medicare Taxes")</f>
        <v>46319507</v>
      </c>
      <c r="I14" s="109">
        <f>SUMIFS('Federal Data'!S2:S501,'Federal Data'!$G2:$G501,"Medicare Taxes")</f>
        <v>52939476</v>
      </c>
      <c r="J14" s="109">
        <f>SUMIFS('Federal Data'!T2:T501,'Federal Data'!$G2:$G501,"Medicare Taxes")</f>
        <v>57692391</v>
      </c>
      <c r="K14" s="109">
        <f>SUMIFS('Federal Data'!U2:U501,'Federal Data'!$G2:$G501,"Medicare Taxes")</f>
        <v>61663468</v>
      </c>
      <c r="L14" s="109">
        <f>SUMIFS('Federal Data'!V2:V501,'Federal Data'!$G2:$G501,"Medicare Taxes")</f>
        <v>67316730</v>
      </c>
      <c r="M14" s="109">
        <f>SUMIFS('Federal Data'!W2:W501,'Federal Data'!$G2:$G501,"Medicare Taxes")</f>
        <v>70601937</v>
      </c>
      <c r="N14" s="109">
        <f>SUMIFS('Federal Data'!X2:X501,'Federal Data'!$G2:$G501,"Medicare Taxes")</f>
        <v>74958383</v>
      </c>
      <c r="O14" s="109">
        <f>SUMIFS('Federal Data'!Y2:Y501,'Federal Data'!$G2:$G501,"Medicare Taxes")</f>
        <v>81345902</v>
      </c>
      <c r="P14" s="109">
        <f>SUMIFS('Federal Data'!Z2:Z501,'Federal Data'!$G2:$G501,"Medicare Taxes")</f>
        <v>83517522</v>
      </c>
      <c r="Q14" s="109">
        <f>SUMIFS('Federal Data'!AA2:AA501,'Federal Data'!$G2:$G501,"Medicare Taxes")</f>
        <v>92421573</v>
      </c>
      <c r="R14" s="109">
        <f>SUMIFS('Federal Data'!AB2:AB501,'Federal Data'!$G2:$G501,"Medicare Taxes")</f>
        <v>98412000</v>
      </c>
      <c r="S14" s="109">
        <f>SUMIFS('Federal Data'!AC2:AC501,'Federal Data'!$G2:$G501,"Medicare Taxes")</f>
        <v>107306000</v>
      </c>
      <c r="T14" s="109">
        <f>SUMIFS('Federal Data'!AD2:AD501,'Federal Data'!$G2:$G501,"Medicare Taxes")</f>
        <v>113105000</v>
      </c>
      <c r="U14" s="109">
        <f>SUMIFS('Federal Data'!AE2:AE501,'Federal Data'!$G2:$G501,"Medicare Taxes")</f>
        <v>122295000</v>
      </c>
      <c r="V14" s="109">
        <f>SUMIFS('Federal Data'!AF2:AF501,'Federal Data'!$G2:$G501,"Medicare Taxes")</f>
        <v>134773000</v>
      </c>
      <c r="W14" s="109">
        <f>SUMIFS('Federal Data'!AG2:AG501,'Federal Data'!$G2:$G501,"Medicare Taxes")</f>
        <v>138157000</v>
      </c>
      <c r="X14" s="109">
        <f>SUMIFS('Federal Data'!AH2:AH501,'Federal Data'!$G2:$G501,"Medicare Taxes")</f>
        <v>152353000</v>
      </c>
      <c r="Y14" s="109">
        <f>SUMIFS('Federal Data'!AI2:AI501,'Federal Data'!$G2:$G501,"Medicare Taxes")</f>
        <v>151962000</v>
      </c>
      <c r="Z14" s="109">
        <f>SUMIFS('Federal Data'!AJ2:AJ501,'Federal Data'!$G2:$G501,"Medicare Taxes")</f>
        <v>150235000</v>
      </c>
      <c r="AA14" s="109">
        <f>SUMIFS('Federal Data'!AK2:AK501,'Federal Data'!$G2:$G501,"Medicare Taxes")</f>
        <v>153839000</v>
      </c>
      <c r="AB14" s="109">
        <f>SUMIFS('Federal Data'!AL2:AL501,'Federal Data'!$G2:$G501,"Medicare Taxes")</f>
        <v>169370000</v>
      </c>
      <c r="AC14" s="109">
        <f>SUMIFS('Federal Data'!AM2:AM501,'Federal Data'!$G2:$G501,"Medicare Taxes")</f>
        <v>180833000</v>
      </c>
      <c r="AD14" s="109">
        <f>SUMIFS('Federal Data'!AN2:AN501,'Federal Data'!$G2:$G501,"Medicare Taxes")</f>
        <v>188446000</v>
      </c>
      <c r="AE14" s="109">
        <f>SUMIFS('Federal Data'!AO2:AO501,'Federal Data'!$G2:$G501,"Medicare Taxes")</f>
        <v>197690000</v>
      </c>
      <c r="AF14" s="109">
        <f>SUMIFS('Federal Data'!AP2:AP501,'Federal Data'!$G2:$G501,"Medicare Taxes")</f>
        <v>194598000</v>
      </c>
      <c r="AG14" s="109">
        <f>SUMIFS('Federal Data'!AQ2:AQ501,'Federal Data'!$G2:$G501,"Medicare Taxes")</f>
        <v>184110000</v>
      </c>
      <c r="AH14" s="109">
        <f>SUMIFS('Federal Data'!AR2:AR501,'Federal Data'!$G2:$G501,"Medicare Taxes")</f>
        <v>192515000</v>
      </c>
      <c r="AI14" s="109">
        <f>SUMIFS('Federal Data'!AS2:AS501,'Federal Data'!$G2:$G501,"Medicare Taxes")</f>
        <v>205236000</v>
      </c>
      <c r="AJ14" s="109">
        <f>SUMIFS('Federal Data'!AT2:AT501,'Federal Data'!$G2:$G501,"Medicare Taxes")</f>
        <v>213448000</v>
      </c>
      <c r="AK14" s="109">
        <f>SUMIFS('Federal Data'!AU2:AU501,'Federal Data'!$G2:$G501,"Medicare Taxes")</f>
        <v>228159000</v>
      </c>
      <c r="AL14" s="109">
        <f>SUMIFS('Federal Data'!AV2:AV501,'Federal Data'!$G2:$G501,"Medicare Taxes")</f>
        <v>238262000</v>
      </c>
    </row>
    <row r="15" spans="1:38" outlineLevel="4">
      <c r="A15" s="22" t="str">
        <f>B9</f>
        <v>Payroll Taxes</v>
      </c>
      <c r="B15" s="28" t="s">
        <v>20</v>
      </c>
      <c r="C15" s="109">
        <f>SUMIFS('Federal Data'!M2:M501,'Federal Data'!$G2:$G501,"Unemployment Taxes")</f>
        <v>15335788</v>
      </c>
      <c r="D15" s="109">
        <f>SUMIFS('Federal Data'!N2:N501,'Federal Data'!$G2:$G501,"Unemployment Taxes")</f>
        <v>15762948</v>
      </c>
      <c r="E15" s="109">
        <f>SUMIFS('Federal Data'!O2:O501,'Federal Data'!$G2:$G501,"Unemployment Taxes")</f>
        <v>16636388</v>
      </c>
      <c r="F15" s="109">
        <f>SUMIFS('Federal Data'!P2:P501,'Federal Data'!$G2:$G501,"Unemployment Taxes")</f>
        <v>19046634</v>
      </c>
      <c r="G15" s="109">
        <f>SUMIFS('Federal Data'!Q2:Q501,'Federal Data'!$G2:$G501,"Unemployment Taxes")</f>
        <v>25307220</v>
      </c>
      <c r="H15" s="109">
        <f>SUMIFS('Federal Data'!R2:R501,'Federal Data'!$G2:$G501,"Unemployment Taxes")</f>
        <v>26099814</v>
      </c>
      <c r="I15" s="109">
        <f>SUMIFS('Federal Data'!S2:S501,'Federal Data'!$G2:$G501,"Unemployment Taxes")</f>
        <v>24389574</v>
      </c>
      <c r="J15" s="109">
        <f>SUMIFS('Federal Data'!T2:T501,'Federal Data'!$G2:$G501,"Unemployment Taxes")</f>
        <v>25860241</v>
      </c>
      <c r="K15" s="109">
        <f>SUMIFS('Federal Data'!U2:U501,'Federal Data'!$G2:$G501,"Unemployment Taxes")</f>
        <v>24799893</v>
      </c>
      <c r="L15" s="109">
        <f>SUMIFS('Federal Data'!V2:V501,'Federal Data'!$G2:$G501,"Unemployment Taxes")</f>
        <v>22254272</v>
      </c>
      <c r="M15" s="109">
        <f>SUMIFS('Federal Data'!W2:W501,'Federal Data'!$G2:$G501,"Unemployment Taxes")</f>
        <v>21952439</v>
      </c>
      <c r="N15" s="109">
        <f>SUMIFS('Federal Data'!X2:X501,'Federal Data'!$G2:$G501,"Unemployment Taxes")</f>
        <v>21261062</v>
      </c>
      <c r="O15" s="109">
        <f>SUMIFS('Federal Data'!Y2:Y501,'Federal Data'!$G2:$G501,"Unemployment Taxes")</f>
        <v>24154471</v>
      </c>
      <c r="P15" s="109">
        <f>SUMIFS('Federal Data'!Z2:Z501,'Federal Data'!$G2:$G501,"Unemployment Taxes")</f>
        <v>27520766</v>
      </c>
      <c r="Q15" s="109">
        <f>SUMIFS('Federal Data'!AA2:AA501,'Federal Data'!$G2:$G501,"Unemployment Taxes")</f>
        <v>28770505</v>
      </c>
      <c r="R15" s="109">
        <f>SUMIFS('Federal Data'!AB2:AB501,'Federal Data'!$G2:$G501,"Unemployment Taxes")</f>
        <v>29538000</v>
      </c>
      <c r="S15" s="109">
        <f>SUMIFS('Federal Data'!AC2:AC501,'Federal Data'!$G2:$G501,"Unemployment Taxes")</f>
        <v>29183000</v>
      </c>
      <c r="T15" s="109">
        <f>SUMIFS('Federal Data'!AD2:AD501,'Federal Data'!$G2:$G501,"Unemployment Taxes")</f>
        <v>28804000</v>
      </c>
      <c r="U15" s="109">
        <f>SUMIFS('Federal Data'!AE2:AE501,'Federal Data'!$G2:$G501,"Unemployment Taxes")</f>
        <v>27992000</v>
      </c>
      <c r="V15" s="109">
        <f>SUMIFS('Federal Data'!AF2:AF501,'Federal Data'!$G2:$G501,"Unemployment Taxes")</f>
        <v>26883000</v>
      </c>
      <c r="W15" s="109">
        <f>SUMIFS('Federal Data'!AG2:AG501,'Federal Data'!$G2:$G501,"Unemployment Taxes")</f>
        <v>28037000</v>
      </c>
      <c r="X15" s="109">
        <f>SUMIFS('Federal Data'!AH2:AH501,'Federal Data'!$G2:$G501,"Unemployment Taxes")</f>
        <v>28244000</v>
      </c>
      <c r="Y15" s="109">
        <f>SUMIFS('Federal Data'!AI2:AI501,'Federal Data'!$G2:$G501,"Unemployment Taxes")</f>
        <v>28067000</v>
      </c>
      <c r="Z15" s="109">
        <f>SUMIFS('Federal Data'!AJ2:AJ501,'Federal Data'!$G2:$G501,"Unemployment Taxes")</f>
        <v>33992000</v>
      </c>
      <c r="AA15" s="109">
        <f>SUMIFS('Federal Data'!AK2:AK501,'Federal Data'!$G2:$G501,"Unemployment Taxes")</f>
        <v>40197000</v>
      </c>
      <c r="AB15" s="109">
        <f>SUMIFS('Federal Data'!AL2:AL501,'Federal Data'!$G2:$G501,"Unemployment Taxes")</f>
        <v>42775000</v>
      </c>
      <c r="AC15" s="109">
        <f>SUMIFS('Federal Data'!AM2:AM501,'Federal Data'!$G2:$G501,"Unemployment Taxes")</f>
        <v>44248000</v>
      </c>
      <c r="AD15" s="109">
        <f>SUMIFS('Federal Data'!AN2:AN501,'Federal Data'!$G2:$G501,"Unemployment Taxes")</f>
        <v>41847000</v>
      </c>
      <c r="AE15" s="109">
        <f>SUMIFS('Federal Data'!AO2:AO501,'Federal Data'!$G2:$G501,"Unemployment Taxes")</f>
        <v>40249000</v>
      </c>
      <c r="AF15" s="109">
        <f>SUMIFS('Federal Data'!AP2:AP501,'Federal Data'!$G2:$G501,"Unemployment Taxes")</f>
        <v>38959000</v>
      </c>
      <c r="AG15" s="109">
        <f>SUMIFS('Federal Data'!AQ2:AQ501,'Federal Data'!$G2:$G501,"Unemployment Taxes")</f>
        <v>46051000</v>
      </c>
      <c r="AH15" s="109">
        <f>SUMIFS('Federal Data'!AR2:AR501,'Federal Data'!$G2:$G501,"Unemployment Taxes")</f>
        <v>57650000</v>
      </c>
      <c r="AI15" s="109">
        <f>SUMIFS('Federal Data'!AS2:AS501,'Federal Data'!$G2:$G501,"Unemployment Taxes")</f>
        <v>68034000</v>
      </c>
      <c r="AJ15" s="109">
        <f>SUMIFS('Federal Data'!AT2:AT501,'Federal Data'!$G2:$G501,"Unemployment Taxes")</f>
        <v>57964000</v>
      </c>
      <c r="AK15" s="109">
        <f>SUMIFS('Federal Data'!AU2:AU501,'Federal Data'!$G2:$G501,"Unemployment Taxes")</f>
        <v>55955000</v>
      </c>
      <c r="AL15" s="109">
        <f>SUMIFS('Federal Data'!AV2:AV501,'Federal Data'!$G2:$G501,"Unemployment Taxes")</f>
        <v>51953000</v>
      </c>
    </row>
    <row r="16" spans="1:38" outlineLevel="3">
      <c r="A16" s="22" t="str">
        <f>B6</f>
        <v>Tax Revenue</v>
      </c>
      <c r="B16" s="27" t="s">
        <v>4</v>
      </c>
      <c r="C16" s="109">
        <f>SUMIFS('Federal Data'!M2:M501,'Federal Data'!$F2:$F501,"Corporate Income Taxes")</f>
        <v>64599673</v>
      </c>
      <c r="D16" s="109">
        <f>SUMIFS('Federal Data'!N2:N501,'Federal Data'!$F2:$F501,"Corporate Income Taxes")</f>
        <v>61137136</v>
      </c>
      <c r="E16" s="109">
        <f>SUMIFS('Federal Data'!O2:O501,'Federal Data'!$F2:$F501,"Corporate Income Taxes")</f>
        <v>49206969</v>
      </c>
      <c r="F16" s="109">
        <f>SUMIFS('Federal Data'!P2:P501,'Federal Data'!$F2:$F501,"Corporate Income Taxes")</f>
        <v>37021566</v>
      </c>
      <c r="G16" s="109">
        <f>SUMIFS('Federal Data'!Q2:Q501,'Federal Data'!$F2:$F501,"Corporate Income Taxes")</f>
        <v>56892983</v>
      </c>
      <c r="H16" s="109">
        <f>SUMIFS('Federal Data'!R2:R501,'Federal Data'!$F2:$F501,"Corporate Income Taxes")</f>
        <v>61330690</v>
      </c>
      <c r="I16" s="109">
        <f>SUMIFS('Federal Data'!S2:S501,'Federal Data'!$F2:$F501,"Corporate Income Taxes")</f>
        <v>63143307</v>
      </c>
      <c r="J16" s="109">
        <f>SUMIFS('Federal Data'!T2:T501,'Federal Data'!$F2:$F501,"Corporate Income Taxes")</f>
        <v>83925770</v>
      </c>
      <c r="K16" s="109">
        <f>SUMIFS('Federal Data'!U2:U501,'Federal Data'!$F2:$F501,"Corporate Income Taxes")</f>
        <v>94508098</v>
      </c>
      <c r="L16" s="109">
        <f>SUMIFS('Federal Data'!V2:V501,'Federal Data'!$F2:$F501,"Corporate Income Taxes")</f>
        <v>103291115</v>
      </c>
      <c r="M16" s="109">
        <f>SUMIFS('Federal Data'!W2:W501,'Federal Data'!$F2:$F501,"Corporate Income Taxes")</f>
        <v>93506698</v>
      </c>
      <c r="N16" s="109">
        <f>SUMIFS('Federal Data'!X2:X501,'Federal Data'!$F2:$F501,"Corporate Income Taxes")</f>
        <v>98085822</v>
      </c>
      <c r="O16" s="109">
        <f>SUMIFS('Federal Data'!Y2:Y501,'Federal Data'!$F2:$F501,"Corporate Income Taxes")</f>
        <v>100270366</v>
      </c>
      <c r="P16" s="109">
        <f>SUMIFS('Federal Data'!Z2:Z501,'Federal Data'!$F2:$F501,"Corporate Income Taxes")</f>
        <v>117520182</v>
      </c>
      <c r="Q16" s="109">
        <f>SUMIFS('Federal Data'!AA2:AA501,'Federal Data'!$F2:$F501,"Corporate Income Taxes")</f>
        <v>140384725</v>
      </c>
      <c r="R16" s="109">
        <f>SUMIFS('Federal Data'!AB2:AB501,'Federal Data'!$F2:$F501,"Corporate Income Taxes")</f>
        <v>157004000</v>
      </c>
      <c r="S16" s="109">
        <f>SUMIFS('Federal Data'!AC2:AC501,'Federal Data'!$F2:$F501,"Corporate Income Taxes")</f>
        <v>171824000</v>
      </c>
      <c r="T16" s="109">
        <f>SUMIFS('Federal Data'!AD2:AD501,'Federal Data'!$F2:$F501,"Corporate Income Taxes")</f>
        <v>182293000</v>
      </c>
      <c r="U16" s="109">
        <f>SUMIFS('Federal Data'!AE2:AE501,'Federal Data'!$F2:$F501,"Corporate Income Taxes")</f>
        <v>188677000</v>
      </c>
      <c r="V16" s="109">
        <f>SUMIFS('Federal Data'!AF2:AF501,'Federal Data'!$F2:$F501,"Corporate Income Taxes")</f>
        <v>184680000</v>
      </c>
      <c r="W16" s="109">
        <f>SUMIFS('Federal Data'!AG2:AG501,'Federal Data'!$F2:$F501,"Corporate Income Taxes")</f>
        <v>207289000</v>
      </c>
      <c r="X16" s="109">
        <f>SUMIFS('Federal Data'!AH2:AH501,'Federal Data'!$F2:$F501,"Corporate Income Taxes")</f>
        <v>151075000</v>
      </c>
      <c r="Y16" s="109">
        <f>SUMIFS('Federal Data'!AI2:AI501,'Federal Data'!$F2:$F501,"Corporate Income Taxes")</f>
        <v>148044000</v>
      </c>
      <c r="Z16" s="109">
        <f>SUMIFS('Federal Data'!AJ2:AJ501,'Federal Data'!$F2:$F501,"Corporate Income Taxes")</f>
        <v>131778000</v>
      </c>
      <c r="AA16" s="109">
        <f>SUMIFS('Federal Data'!AK2:AK501,'Federal Data'!$F2:$F501,"Corporate Income Taxes")</f>
        <v>189371000</v>
      </c>
      <c r="AB16" s="109">
        <f>SUMIFS('Federal Data'!AL2:AL501,'Federal Data'!$F2:$F501,"Corporate Income Taxes")</f>
        <v>278282000</v>
      </c>
      <c r="AC16" s="109">
        <f>SUMIFS('Federal Data'!AM2:AM501,'Federal Data'!$F2:$F501,"Corporate Income Taxes")</f>
        <v>353915000</v>
      </c>
      <c r="AD16" s="109">
        <f>SUMIFS('Federal Data'!AN2:AN501,'Federal Data'!$F2:$F501,"Corporate Income Taxes")</f>
        <v>370243000</v>
      </c>
      <c r="AE16" s="109">
        <f>SUMIFS('Federal Data'!AO2:AO501,'Federal Data'!$F2:$F501,"Corporate Income Taxes")</f>
        <v>304346000</v>
      </c>
      <c r="AF16" s="109">
        <f>SUMIFS('Federal Data'!AP2:AP501,'Federal Data'!$F2:$F501,"Corporate Income Taxes")</f>
        <v>138229000</v>
      </c>
      <c r="AG16" s="109">
        <f>SUMIFS('Federal Data'!AQ2:AQ501,'Federal Data'!$F2:$F501,"Corporate Income Taxes")</f>
        <v>191437000</v>
      </c>
      <c r="AH16" s="109">
        <f>SUMIFS('Federal Data'!AR2:AR501,'Federal Data'!$F2:$F501,"Corporate Income Taxes")</f>
        <v>181085000</v>
      </c>
      <c r="AI16" s="109">
        <f>SUMIFS('Federal Data'!AS2:AS501,'Federal Data'!$F2:$F501,"Corporate Income Taxes")</f>
        <v>242289000</v>
      </c>
      <c r="AJ16" s="109">
        <f>SUMIFS('Federal Data'!AT2:AT501,'Federal Data'!$F2:$F501,"Corporate Income Taxes")</f>
        <v>273506000</v>
      </c>
      <c r="AK16" s="109">
        <f>SUMIFS('Federal Data'!AU2:AU501,'Federal Data'!$F2:$F501,"Corporate Income Taxes")</f>
        <v>320731000</v>
      </c>
      <c r="AL16" s="109">
        <f>SUMIFS('Federal Data'!AV2:AV501,'Federal Data'!$F2:$F501,"Corporate Income Taxes")</f>
        <v>343797000</v>
      </c>
    </row>
    <row r="17" spans="1:38" outlineLevel="3">
      <c r="A17" s="22" t="str">
        <f>B6</f>
        <v>Tax Revenue</v>
      </c>
      <c r="B17" s="27" t="s">
        <v>74</v>
      </c>
      <c r="C17" s="109">
        <f>SUMIFS('Federal Data'!M2:M501,'Federal Data'!$F2:$F501,"Sales and Excise Taxes")</f>
        <v>24329156</v>
      </c>
      <c r="D17" s="109">
        <f>SUMIFS('Federal Data'!N2:N501,'Federal Data'!$F2:$F501,"Sales and Excise Taxes")</f>
        <v>40839143</v>
      </c>
      <c r="E17" s="109">
        <f>SUMIFS('Federal Data'!O2:O501,'Federal Data'!$F2:$F501,"Sales and Excise Taxes")</f>
        <v>36310764</v>
      </c>
      <c r="F17" s="109">
        <f>SUMIFS('Federal Data'!P2:P501,'Federal Data'!$F2:$F501,"Sales and Excise Taxes")</f>
        <v>35300063</v>
      </c>
      <c r="G17" s="109">
        <f>SUMIFS('Federal Data'!Q2:Q501,'Federal Data'!$F2:$F501,"Sales and Excise Taxes")</f>
        <v>37361427</v>
      </c>
      <c r="H17" s="109">
        <f>SUMIFS('Federal Data'!R2:R501,'Federal Data'!$F2:$F501,"Sales and Excise Taxes")</f>
        <v>35991683</v>
      </c>
      <c r="I17" s="109">
        <f>SUMIFS('Federal Data'!S2:S501,'Federal Data'!$F2:$F501,"Sales and Excise Taxes")</f>
        <v>32918545</v>
      </c>
      <c r="J17" s="109">
        <f>SUMIFS('Federal Data'!T2:T501,'Federal Data'!$F2:$F501,"Sales and Excise Taxes")</f>
        <v>32457474</v>
      </c>
      <c r="K17" s="109">
        <f>SUMIFS('Federal Data'!U2:U501,'Federal Data'!$F2:$F501,"Sales and Excise Taxes")</f>
        <v>35226868</v>
      </c>
      <c r="L17" s="109">
        <f>SUMIFS('Federal Data'!V2:V501,'Federal Data'!$F2:$F501,"Sales and Excise Taxes")</f>
        <v>34385794</v>
      </c>
      <c r="M17" s="109">
        <f>SUMIFS('Federal Data'!W2:W501,'Federal Data'!$F2:$F501,"Sales and Excise Taxes")</f>
        <v>35345204</v>
      </c>
      <c r="N17" s="109">
        <f>SUMIFS('Federal Data'!X2:X501,'Federal Data'!$F2:$F501,"Sales and Excise Taxes")</f>
        <v>42402120</v>
      </c>
      <c r="O17" s="109">
        <f>SUMIFS('Federal Data'!Y2:Y501,'Federal Data'!$F2:$F501,"Sales and Excise Taxes")</f>
        <v>45569482</v>
      </c>
      <c r="P17" s="109">
        <f>SUMIFS('Federal Data'!Z2:Z501,'Federal Data'!$F2:$F501,"Sales and Excise Taxes")</f>
        <v>48057224</v>
      </c>
      <c r="Q17" s="109">
        <f>SUMIFS('Federal Data'!AA2:AA501,'Federal Data'!$F2:$F501,"Sales and Excise Taxes")</f>
        <v>55224799</v>
      </c>
      <c r="R17" s="109">
        <f>SUMIFS('Federal Data'!AB2:AB501,'Federal Data'!$F2:$F501,"Sales and Excise Taxes")</f>
        <v>57484000</v>
      </c>
      <c r="S17" s="109">
        <f>SUMIFS('Federal Data'!AC2:AC501,'Federal Data'!$F2:$F501,"Sales and Excise Taxes")</f>
        <v>54014000</v>
      </c>
      <c r="T17" s="109">
        <f>SUMIFS('Federal Data'!AD2:AD501,'Federal Data'!$F2:$F501,"Sales and Excise Taxes")</f>
        <v>56924000</v>
      </c>
      <c r="U17" s="109">
        <f>SUMIFS('Federal Data'!AE2:AE501,'Federal Data'!$F2:$F501,"Sales and Excise Taxes")</f>
        <v>57673000</v>
      </c>
      <c r="V17" s="109">
        <f>SUMIFS('Federal Data'!AF2:AF501,'Federal Data'!$F2:$F501,"Sales and Excise Taxes")</f>
        <v>70414000</v>
      </c>
      <c r="W17" s="109">
        <f>SUMIFS('Federal Data'!AG2:AG501,'Federal Data'!$F2:$F501,"Sales and Excise Taxes")</f>
        <v>68865000</v>
      </c>
      <c r="X17" s="109">
        <f>SUMIFS('Federal Data'!AH2:AH501,'Federal Data'!$F2:$F501,"Sales and Excise Taxes")</f>
        <v>66232000</v>
      </c>
      <c r="Y17" s="109">
        <f>SUMIFS('Federal Data'!AI2:AI501,'Federal Data'!$F2:$F501,"Sales and Excise Taxes")</f>
        <v>66989000</v>
      </c>
      <c r="Z17" s="109">
        <f>SUMIFS('Federal Data'!AJ2:AJ501,'Federal Data'!$F2:$F501,"Sales and Excise Taxes")</f>
        <v>67524000</v>
      </c>
      <c r="AA17" s="109">
        <f>SUMIFS('Federal Data'!AK2:AK501,'Federal Data'!$F2:$F501,"Sales and Excise Taxes")</f>
        <v>69855000</v>
      </c>
      <c r="AB17" s="109">
        <f>SUMIFS('Federal Data'!AL2:AL501,'Federal Data'!$F2:$F501,"Sales and Excise Taxes")</f>
        <v>73094000</v>
      </c>
      <c r="AC17" s="109">
        <f>SUMIFS('Federal Data'!AM2:AM501,'Federal Data'!$F2:$F501,"Sales and Excise Taxes")</f>
        <v>73961000</v>
      </c>
      <c r="AD17" s="109">
        <f>SUMIFS('Federal Data'!AN2:AN501,'Federal Data'!$F2:$F501,"Sales and Excise Taxes")</f>
        <v>65069000</v>
      </c>
      <c r="AE17" s="109">
        <f>SUMIFS('Federal Data'!AO2:AO501,'Federal Data'!$F2:$F501,"Sales and Excise Taxes")</f>
        <v>67334000</v>
      </c>
      <c r="AF17" s="109">
        <f>SUMIFS('Federal Data'!AP2:AP501,'Federal Data'!$F2:$F501,"Sales and Excise Taxes")</f>
        <v>62483000</v>
      </c>
      <c r="AG17" s="109">
        <f>SUMIFS('Federal Data'!AQ2:AQ501,'Federal Data'!$F2:$F501,"Sales and Excise Taxes")</f>
        <v>66909000</v>
      </c>
      <c r="AH17" s="109">
        <f>SUMIFS('Federal Data'!AR2:AR501,'Federal Data'!$F2:$F501,"Sales and Excise Taxes")</f>
        <v>72381000</v>
      </c>
      <c r="AI17" s="109">
        <f>SUMIFS('Federal Data'!AS2:AS501,'Federal Data'!$F2:$F501,"Sales and Excise Taxes")</f>
        <v>79061000</v>
      </c>
      <c r="AJ17" s="109">
        <f>SUMIFS('Federal Data'!AT2:AT501,'Federal Data'!$F2:$F501,"Sales and Excise Taxes")</f>
        <v>84007000</v>
      </c>
      <c r="AK17" s="109">
        <f>SUMIFS('Federal Data'!AU2:AU501,'Federal Data'!$F2:$F501,"Sales and Excise Taxes")</f>
        <v>93368000</v>
      </c>
      <c r="AL17" s="109">
        <f>SUMIFS('Federal Data'!AV2:AV501,'Federal Data'!$F2:$F501,"Sales and Excise Taxes")</f>
        <v>98279000</v>
      </c>
    </row>
    <row r="18" spans="1:38" outlineLevel="3">
      <c r="A18" s="22" t="str">
        <f>B6</f>
        <v>Tax Revenue</v>
      </c>
      <c r="B18" s="27" t="s">
        <v>8</v>
      </c>
      <c r="C18" s="109">
        <f>SUMIFS('Federal Data'!M2:M501,'Federal Data'!$F2:$F501,"Estate and Gift Taxes")</f>
        <v>6389480</v>
      </c>
      <c r="D18" s="109">
        <f>SUMIFS('Federal Data'!N2:N501,'Federal Data'!$F2:$F501,"Estate and Gift Taxes")</f>
        <v>6786537</v>
      </c>
      <c r="E18" s="109">
        <f>SUMIFS('Federal Data'!O2:O501,'Federal Data'!$F2:$F501,"Estate and Gift Taxes")</f>
        <v>7990595</v>
      </c>
      <c r="F18" s="109">
        <f>SUMIFS('Federal Data'!P2:P501,'Federal Data'!$F2:$F501,"Estate and Gift Taxes")</f>
        <v>6053368</v>
      </c>
      <c r="G18" s="109">
        <f>SUMIFS('Federal Data'!Q2:Q501,'Federal Data'!$F2:$F501,"Estate and Gift Taxes")</f>
        <v>6010472</v>
      </c>
      <c r="H18" s="109">
        <f>SUMIFS('Federal Data'!R2:R501,'Federal Data'!$F2:$F501,"Estate and Gift Taxes")</f>
        <v>6422489</v>
      </c>
      <c r="I18" s="109">
        <f>SUMIFS('Federal Data'!S2:S501,'Federal Data'!$F2:$F501,"Estate and Gift Taxes")</f>
        <v>6957626</v>
      </c>
      <c r="J18" s="109">
        <f>SUMIFS('Federal Data'!T2:T501,'Federal Data'!$F2:$F501,"Estate and Gift Taxes")</f>
        <v>7492640</v>
      </c>
      <c r="K18" s="109">
        <f>SUMIFS('Federal Data'!U2:U501,'Federal Data'!$F2:$F501,"Estate and Gift Taxes")</f>
        <v>7594256</v>
      </c>
      <c r="L18" s="109">
        <f>SUMIFS('Federal Data'!V2:V501,'Federal Data'!$F2:$F501,"Estate and Gift Taxes")</f>
        <v>8745225</v>
      </c>
      <c r="M18" s="109">
        <f>SUMIFS('Federal Data'!W2:W501,'Federal Data'!$F2:$F501,"Estate and Gift Taxes")</f>
        <v>11500285</v>
      </c>
      <c r="N18" s="109">
        <f>SUMIFS('Federal Data'!X2:X501,'Federal Data'!$F2:$F501,"Estate and Gift Taxes")</f>
        <v>11138019</v>
      </c>
      <c r="O18" s="109">
        <f>SUMIFS('Federal Data'!Y2:Y501,'Federal Data'!$F2:$F501,"Estate and Gift Taxes")</f>
        <v>11143439</v>
      </c>
      <c r="P18" s="109">
        <f>SUMIFS('Federal Data'!Z2:Z501,'Federal Data'!$F2:$F501,"Estate and Gift Taxes")</f>
        <v>12576558</v>
      </c>
      <c r="Q18" s="109">
        <f>SUMIFS('Federal Data'!AA2:AA501,'Federal Data'!$F2:$F501,"Estate and Gift Taxes")</f>
        <v>15224518</v>
      </c>
      <c r="R18" s="109">
        <f>SUMIFS('Federal Data'!AB2:AB501,'Federal Data'!$F2:$F501,"Estate and Gift Taxes")</f>
        <v>14763000</v>
      </c>
      <c r="S18" s="109">
        <f>SUMIFS('Federal Data'!AC2:AC501,'Federal Data'!$F2:$F501,"Estate and Gift Taxes")</f>
        <v>17189000</v>
      </c>
      <c r="T18" s="109">
        <f>SUMIFS('Federal Data'!AD2:AD501,'Federal Data'!$F2:$F501,"Estate and Gift Taxes")</f>
        <v>19845000</v>
      </c>
      <c r="U18" s="109">
        <f>SUMIFS('Federal Data'!AE2:AE501,'Federal Data'!$F2:$F501,"Estate and Gift Taxes")</f>
        <v>24076000</v>
      </c>
      <c r="V18" s="109">
        <f>SUMIFS('Federal Data'!AF2:AF501,'Federal Data'!$F2:$F501,"Estate and Gift Taxes")</f>
        <v>27782000</v>
      </c>
      <c r="W18" s="109">
        <f>SUMIFS('Federal Data'!AG2:AG501,'Federal Data'!$F2:$F501,"Estate and Gift Taxes")</f>
        <v>29010000</v>
      </c>
      <c r="X18" s="109">
        <f>SUMIFS('Federal Data'!AH2:AH501,'Federal Data'!$F2:$F501,"Estate and Gift Taxes")</f>
        <v>28400000</v>
      </c>
      <c r="Y18" s="109">
        <f>SUMIFS('Federal Data'!AI2:AI501,'Federal Data'!$F2:$F501,"Estate and Gift Taxes")</f>
        <v>26507000</v>
      </c>
      <c r="Z18" s="109">
        <f>SUMIFS('Federal Data'!AJ2:AJ501,'Federal Data'!$F2:$F501,"Estate and Gift Taxes")</f>
        <v>21959000</v>
      </c>
      <c r="AA18" s="109">
        <f>SUMIFS('Federal Data'!AK2:AK501,'Federal Data'!$F2:$F501,"Estate and Gift Taxes")</f>
        <v>24831000</v>
      </c>
      <c r="AB18" s="109">
        <f>SUMIFS('Federal Data'!AL2:AL501,'Federal Data'!$F2:$F501,"Estate and Gift Taxes")</f>
        <v>24764000</v>
      </c>
      <c r="AC18" s="109">
        <f>SUMIFS('Federal Data'!AM2:AM501,'Federal Data'!$F2:$F501,"Estate and Gift Taxes")</f>
        <v>27877000</v>
      </c>
      <c r="AD18" s="109">
        <f>SUMIFS('Federal Data'!AN2:AN501,'Federal Data'!$F2:$F501,"Estate and Gift Taxes")</f>
        <v>26044000</v>
      </c>
      <c r="AE18" s="109">
        <f>SUMIFS('Federal Data'!AO2:AO501,'Federal Data'!$F2:$F501,"Estate and Gift Taxes")</f>
        <v>28844000</v>
      </c>
      <c r="AF18" s="109">
        <f>SUMIFS('Federal Data'!AP2:AP501,'Federal Data'!$F2:$F501,"Estate and Gift Taxes")</f>
        <v>23482000</v>
      </c>
      <c r="AG18" s="109">
        <f>SUMIFS('Federal Data'!AQ2:AQ501,'Federal Data'!$F2:$F501,"Estate and Gift Taxes")</f>
        <v>18885000</v>
      </c>
      <c r="AH18" s="109">
        <f>SUMIFS('Federal Data'!AR2:AR501,'Federal Data'!$F2:$F501,"Estate and Gift Taxes")</f>
        <v>7399000</v>
      </c>
      <c r="AI18" s="109">
        <f>SUMIFS('Federal Data'!AS2:AS501,'Federal Data'!$F2:$F501,"Estate and Gift Taxes")</f>
        <v>13973000</v>
      </c>
      <c r="AJ18" s="109">
        <f>SUMIFS('Federal Data'!AT2:AT501,'Federal Data'!$F2:$F501,"Estate and Gift Taxes")</f>
        <v>18912000</v>
      </c>
      <c r="AK18" s="109">
        <f>SUMIFS('Federal Data'!AU2:AU501,'Federal Data'!$F2:$F501,"Estate and Gift Taxes")</f>
        <v>19300000</v>
      </c>
      <c r="AL18" s="109">
        <f>SUMIFS('Federal Data'!AV2:AV501,'Federal Data'!$F2:$F501,"Estate and Gift Taxes")</f>
        <v>19232000</v>
      </c>
    </row>
    <row r="19" spans="1:38" outlineLevel="3">
      <c r="A19" s="22" t="str">
        <f>B6</f>
        <v>Tax Revenue</v>
      </c>
      <c r="B19" s="27" t="s">
        <v>10</v>
      </c>
      <c r="C19" s="109">
        <f>SUMIFS('Federal Data'!M2:M501,'Federal Data'!$F2:$F501,"Customs Duties")</f>
        <v>7173836</v>
      </c>
      <c r="D19" s="109">
        <f>SUMIFS('Federal Data'!N2:N501,'Federal Data'!$F2:$F501,"Customs Duties")</f>
        <v>8082808</v>
      </c>
      <c r="E19" s="109">
        <f>SUMIFS('Federal Data'!O2:O501,'Federal Data'!$F2:$F501,"Customs Duties")</f>
        <v>8854093</v>
      </c>
      <c r="F19" s="109">
        <f>SUMIFS('Federal Data'!P2:P501,'Federal Data'!$F2:$F501,"Customs Duties")</f>
        <v>8654732</v>
      </c>
      <c r="G19" s="109">
        <f>SUMIFS('Federal Data'!Q2:Q501,'Federal Data'!$F2:$F501,"Customs Duties")</f>
        <v>11370044</v>
      </c>
      <c r="H19" s="109">
        <f>SUMIFS('Federal Data'!R2:R501,'Federal Data'!$F2:$F501,"Customs Duties")</f>
        <v>12078567</v>
      </c>
      <c r="I19" s="109">
        <f>SUMIFS('Federal Data'!S2:S501,'Federal Data'!$F2:$F501,"Customs Duties")</f>
        <v>13326653</v>
      </c>
      <c r="J19" s="109">
        <f>SUMIFS('Federal Data'!T2:T501,'Federal Data'!$F2:$F501,"Customs Duties")</f>
        <v>15085039</v>
      </c>
      <c r="K19" s="109">
        <f>SUMIFS('Federal Data'!U2:U501,'Federal Data'!$F2:$F501,"Customs Duties")</f>
        <v>16198125</v>
      </c>
      <c r="L19" s="109">
        <f>SUMIFS('Federal Data'!V2:V501,'Federal Data'!$F2:$F501,"Customs Duties")</f>
        <v>16333533</v>
      </c>
      <c r="M19" s="109">
        <f>SUMIFS('Federal Data'!W2:W501,'Federal Data'!$F2:$F501,"Customs Duties")</f>
        <v>16707311</v>
      </c>
      <c r="N19" s="109">
        <f>SUMIFS('Federal Data'!X2:X501,'Federal Data'!$F2:$F501,"Customs Duties")</f>
        <v>15949168</v>
      </c>
      <c r="O19" s="109">
        <f>SUMIFS('Federal Data'!Y2:Y501,'Federal Data'!$F2:$F501,"Customs Duties")</f>
        <v>17359439</v>
      </c>
      <c r="P19" s="109">
        <f>SUMIFS('Federal Data'!Z2:Z501,'Federal Data'!$F2:$F501,"Customs Duties")</f>
        <v>18802080</v>
      </c>
      <c r="Q19" s="109">
        <f>SUMIFS('Federal Data'!AA2:AA501,'Federal Data'!$F2:$F501,"Customs Duties")</f>
        <v>20098865</v>
      </c>
      <c r="R19" s="109">
        <f>SUMIFS('Federal Data'!AB2:AB501,'Federal Data'!$F2:$F501,"Customs Duties")</f>
        <v>19301000</v>
      </c>
      <c r="S19" s="109">
        <f>SUMIFS('Federal Data'!AC2:AC501,'Federal Data'!$F2:$F501,"Customs Duties")</f>
        <v>18670000</v>
      </c>
      <c r="T19" s="109">
        <f>SUMIFS('Federal Data'!AD2:AD501,'Federal Data'!$F2:$F501,"Customs Duties")</f>
        <v>17928000</v>
      </c>
      <c r="U19" s="109">
        <f>SUMIFS('Federal Data'!AE2:AE501,'Federal Data'!$F2:$F501,"Customs Duties")</f>
        <v>18297000</v>
      </c>
      <c r="V19" s="109">
        <f>SUMIFS('Federal Data'!AF2:AF501,'Federal Data'!$F2:$F501,"Customs Duties")</f>
        <v>18336000</v>
      </c>
      <c r="W19" s="109">
        <f>SUMIFS('Federal Data'!AG2:AG501,'Federal Data'!$F2:$F501,"Customs Duties")</f>
        <v>19914000</v>
      </c>
      <c r="X19" s="109">
        <f>SUMIFS('Federal Data'!AH2:AH501,'Federal Data'!$F2:$F501,"Customs Duties")</f>
        <v>19369000</v>
      </c>
      <c r="Y19" s="109">
        <f>SUMIFS('Federal Data'!AI2:AI501,'Federal Data'!$F2:$F501,"Customs Duties")</f>
        <v>18602000</v>
      </c>
      <c r="Z19" s="109">
        <f>SUMIFS('Federal Data'!AJ2:AJ501,'Federal Data'!$F2:$F501,"Customs Duties")</f>
        <v>19862000</v>
      </c>
      <c r="AA19" s="109">
        <f>SUMIFS('Federal Data'!AK2:AK501,'Federal Data'!$F2:$F501,"Customs Duties")</f>
        <v>21083000</v>
      </c>
      <c r="AB19" s="109">
        <f>SUMIFS('Federal Data'!AL2:AL501,'Federal Data'!$F2:$F501,"Customs Duties")</f>
        <v>23379000</v>
      </c>
      <c r="AC19" s="109">
        <f>SUMIFS('Federal Data'!AM2:AM501,'Federal Data'!$F2:$F501,"Customs Duties")</f>
        <v>24810000</v>
      </c>
      <c r="AD19" s="109">
        <f>SUMIFS('Federal Data'!AN2:AN501,'Federal Data'!$F2:$F501,"Customs Duties")</f>
        <v>26010000</v>
      </c>
      <c r="AE19" s="109">
        <f>SUMIFS('Federal Data'!AO2:AO501,'Federal Data'!$F2:$F501,"Customs Duties")</f>
        <v>27568000</v>
      </c>
      <c r="AF19" s="109">
        <f>SUMIFS('Federal Data'!AP2:AP501,'Federal Data'!$F2:$F501,"Customs Duties")</f>
        <v>22453000</v>
      </c>
      <c r="AG19" s="109">
        <f>SUMIFS('Federal Data'!AQ2:AQ501,'Federal Data'!$F2:$F501,"Customs Duties")</f>
        <v>25298000</v>
      </c>
      <c r="AH19" s="109">
        <f>SUMIFS('Federal Data'!AR2:AR501,'Federal Data'!$F2:$F501,"Customs Duties")</f>
        <v>29519000</v>
      </c>
      <c r="AI19" s="109">
        <f>SUMIFS('Federal Data'!AS2:AS501,'Federal Data'!$F2:$F501,"Customs Duties")</f>
        <v>30307000</v>
      </c>
      <c r="AJ19" s="109">
        <f>SUMIFS('Federal Data'!AT2:AT501,'Federal Data'!$F2:$F501,"Customs Duties")</f>
        <v>31815000</v>
      </c>
      <c r="AK19" s="109">
        <f>SUMIFS('Federal Data'!AU2:AU501,'Federal Data'!$F2:$F501,"Customs Duties")</f>
        <v>33926000</v>
      </c>
      <c r="AL19" s="109">
        <f>SUMIFS('Federal Data'!AV2:AV501,'Federal Data'!$F2:$F501,"Customs Duties")</f>
        <v>35041000</v>
      </c>
    </row>
    <row r="20" spans="1:38" outlineLevel="3">
      <c r="A20" s="22" t="str">
        <f>B6</f>
        <v>Tax Revenue</v>
      </c>
      <c r="B20" s="40" t="s">
        <v>12</v>
      </c>
      <c r="C20" s="115">
        <f>SUMIFS('Federal Data'!M2:M501,'Federal Data'!$F2:$F501,"Other Taxes")</f>
        <v>0</v>
      </c>
      <c r="D20" s="115">
        <f>SUMIFS('Federal Data'!N2:N501,'Federal Data'!$F2:$F501,"Other Taxes")</f>
        <v>0</v>
      </c>
      <c r="E20" s="115">
        <f>SUMIFS('Federal Data'!O2:O501,'Federal Data'!$F2:$F501,"Other Taxes")</f>
        <v>0</v>
      </c>
      <c r="F20" s="115">
        <f>SUMIFS('Federal Data'!P2:P501,'Federal Data'!$F2:$F501,"Other Taxes")</f>
        <v>0</v>
      </c>
      <c r="G20" s="115">
        <f>SUMIFS('Federal Data'!Q2:Q501,'Federal Data'!$F2:$F501,"Other Taxes")</f>
        <v>216322</v>
      </c>
      <c r="H20" s="115">
        <f>SUMIFS('Federal Data'!R2:R501,'Federal Data'!$F2:$F501,"Other Taxes")</f>
        <v>314880</v>
      </c>
      <c r="I20" s="115">
        <f>SUMIFS('Federal Data'!S2:S501,'Federal Data'!$F2:$F501,"Other Taxes")</f>
        <v>281619</v>
      </c>
      <c r="J20" s="115">
        <f>SUMIFS('Federal Data'!T2:T501,'Federal Data'!$F2:$F501,"Other Taxes")</f>
        <v>375745</v>
      </c>
      <c r="K20" s="115">
        <f>SUMIFS('Federal Data'!U2:U501,'Federal Data'!$F2:$F501,"Other Taxes")</f>
        <v>486136</v>
      </c>
      <c r="L20" s="115">
        <f>SUMIFS('Federal Data'!V2:V501,'Federal Data'!$F2:$F501,"Other Taxes")</f>
        <v>631274</v>
      </c>
      <c r="M20" s="115">
        <f>SUMIFS('Federal Data'!W2:W501,'Federal Data'!$F2:$F501,"Other Taxes")</f>
        <v>765055</v>
      </c>
      <c r="N20" s="115">
        <f>SUMIFS('Federal Data'!X2:X501,'Federal Data'!$F2:$F501,"Other Taxes")</f>
        <v>941965</v>
      </c>
      <c r="O20" s="115">
        <f>SUMIFS('Federal Data'!Y2:Y501,'Federal Data'!$F2:$F501,"Other Taxes")</f>
        <v>946932</v>
      </c>
      <c r="P20" s="115">
        <f>SUMIFS('Federal Data'!Z2:Z501,'Federal Data'!$F2:$F501,"Other Taxes")</f>
        <v>996543</v>
      </c>
      <c r="Q20" s="115">
        <f>SUMIFS('Federal Data'!AA2:AA501,'Federal Data'!$F2:$F501,"Other Taxes")</f>
        <v>1053152</v>
      </c>
      <c r="R20" s="115">
        <f>SUMIFS('Federal Data'!AB2:AB501,'Federal Data'!$F2:$F501,"Other Taxes")</f>
        <v>1055000</v>
      </c>
      <c r="S20" s="115">
        <f>SUMIFS('Federal Data'!AC2:AC501,'Federal Data'!$F2:$F501,"Other Taxes")</f>
        <v>1054000</v>
      </c>
      <c r="T20" s="115">
        <f>SUMIFS('Federal Data'!AD2:AD501,'Federal Data'!$F2:$F501,"Other Taxes")</f>
        <v>1142000</v>
      </c>
      <c r="U20" s="115">
        <f>SUMIFS('Federal Data'!AE2:AE501,'Federal Data'!$F2:$F501,"Other Taxes")</f>
        <v>2871000</v>
      </c>
      <c r="V20" s="115">
        <f>SUMIFS('Federal Data'!AF2:AF501,'Federal Data'!$F2:$F501,"Other Taxes")</f>
        <v>3848000</v>
      </c>
      <c r="W20" s="115">
        <f>SUMIFS('Federal Data'!AG2:AG501,'Federal Data'!$F2:$F501,"Other Taxes")</f>
        <v>4637000</v>
      </c>
      <c r="X20" s="115">
        <f>SUMIFS('Federal Data'!AH2:AH501,'Federal Data'!$F2:$F501,"Other Taxes")</f>
        <v>5376000</v>
      </c>
      <c r="Y20" s="115">
        <f>SUMIFS('Federal Data'!AI2:AI501,'Federal Data'!$F2:$F501,"Other Taxes")</f>
        <v>5505000</v>
      </c>
      <c r="Z20" s="115">
        <f>SUMIFS('Federal Data'!AJ2:AJ501,'Federal Data'!$F2:$F501,"Other Taxes")</f>
        <v>5798000</v>
      </c>
      <c r="AA20" s="115">
        <f>SUMIFS('Federal Data'!AK2:AK501,'Federal Data'!$F2:$F501,"Other Taxes")</f>
        <v>6635000</v>
      </c>
      <c r="AB20" s="115">
        <f>SUMIFS('Federal Data'!AL2:AL501,'Federal Data'!$F2:$F501,"Other Taxes")</f>
        <v>7342000</v>
      </c>
      <c r="AC20" s="115">
        <f>SUMIFS('Federal Data'!AM2:AM501,'Federal Data'!$F2:$F501,"Other Taxes")</f>
        <v>7722000</v>
      </c>
      <c r="AD20" s="115">
        <f>SUMIFS('Federal Data'!AN2:AN501,'Federal Data'!$F2:$F501,"Other Taxes")</f>
        <v>7606000</v>
      </c>
      <c r="AE20" s="115">
        <f>SUMIFS('Federal Data'!AO2:AO501,'Federal Data'!$F2:$F501,"Other Taxes")</f>
        <v>8495000</v>
      </c>
      <c r="AF20" s="115">
        <f>SUMIFS('Federal Data'!AP2:AP501,'Federal Data'!$F2:$F501,"Other Taxes")</f>
        <v>8401000</v>
      </c>
      <c r="AG20" s="115">
        <f>SUMIFS('Federal Data'!AQ2:AQ501,'Federal Data'!$F2:$F501,"Other Taxes")</f>
        <v>9049000</v>
      </c>
      <c r="AH20" s="115">
        <f>SUMIFS('Federal Data'!AR2:AR501,'Federal Data'!$F2:$F501,"Other Taxes")</f>
        <v>8822000</v>
      </c>
      <c r="AI20" s="115">
        <f>SUMIFS('Federal Data'!AS2:AS501,'Federal Data'!$F2:$F501,"Other Taxes")</f>
        <v>10121000</v>
      </c>
      <c r="AJ20" s="115">
        <f>SUMIFS('Federal Data'!AT2:AT501,'Federal Data'!$F2:$F501,"Other Taxes")</f>
        <v>10063000</v>
      </c>
      <c r="AK20" s="115">
        <f>SUMIFS('Federal Data'!AU2:AU501,'Federal Data'!$F2:$F501,"Other Taxes")</f>
        <v>9949000</v>
      </c>
      <c r="AL20" s="115">
        <f>SUMIFS('Federal Data'!AV2:AV501,'Federal Data'!$F2:$F501,"Other Taxes")</f>
        <v>9646000</v>
      </c>
    </row>
    <row r="21" spans="1:38" outlineLevel="2">
      <c r="A21" s="22" t="str">
        <f>B4</f>
        <v>Revenue</v>
      </c>
      <c r="B21" s="43" t="s">
        <v>2</v>
      </c>
      <c r="C21" s="110">
        <f>SUMIFS('Federal Data'!M2:M501,'Federal Data'!$E2:$E501,"Non-Tax Revenues")</f>
        <v>16848640</v>
      </c>
      <c r="D21" s="110">
        <f>SUMIFS('Federal Data'!N2:N501,'Federal Data'!$E2:$E501,"Non-Tax Revenues")</f>
        <v>23927559</v>
      </c>
      <c r="E21" s="110">
        <f>SUMIFS('Federal Data'!O2:O501,'Federal Data'!$E2:$E501,"Non-Tax Revenues")</f>
        <v>22410798</v>
      </c>
      <c r="F21" s="110">
        <f>SUMIFS('Federal Data'!P2:P501,'Federal Data'!$E2:$E501,"Non-Tax Revenues")</f>
        <v>26092166</v>
      </c>
      <c r="G21" s="110">
        <f>SUMIFS('Federal Data'!Q2:Q501,'Federal Data'!$E2:$E501,"Non-Tax Revenues")</f>
        <v>23488947</v>
      </c>
      <c r="H21" s="110">
        <f>SUMIFS('Federal Data'!R2:R501,'Federal Data'!$E2:$E501,"Non-Tax Revenues")</f>
        <v>23746390</v>
      </c>
      <c r="I21" s="110">
        <f>SUMIFS('Federal Data'!S2:S501,'Federal Data'!$E2:$E501,"Non-Tax Revenues")</f>
        <v>24382725</v>
      </c>
      <c r="J21" s="110">
        <f>SUMIFS('Federal Data'!T2:T501,'Federal Data'!$E2:$E501,"Non-Tax Revenues")</f>
        <v>24972135</v>
      </c>
      <c r="K21" s="110">
        <f>SUMIFS('Federal Data'!U2:U501,'Federal Data'!$E2:$E501,"Non-Tax Revenues")</f>
        <v>23255966</v>
      </c>
      <c r="L21" s="110">
        <f>SUMIFS('Federal Data'!V2:V501,'Federal Data'!$E2:$E501,"Non-Tax Revenues")</f>
        <v>25540604</v>
      </c>
      <c r="M21" s="110">
        <f>SUMIFS('Federal Data'!W2:W501,'Federal Data'!$E2:$E501,"Non-Tax Revenues")</f>
        <v>30205545</v>
      </c>
      <c r="N21" s="110">
        <f>SUMIFS('Federal Data'!X2:X501,'Federal Data'!$E2:$E501,"Non-Tax Revenues")</f>
        <v>25778160</v>
      </c>
      <c r="O21" s="110">
        <f>SUMIFS('Federal Data'!Y2:Y501,'Federal Data'!$E2:$E501,"Non-Tax Revenues")</f>
        <v>28765009</v>
      </c>
      <c r="P21" s="110">
        <f>SUMIFS('Federal Data'!Z2:Z501,'Federal Data'!$E2:$E501,"Non-Tax Revenues")</f>
        <v>21186995</v>
      </c>
      <c r="Q21" s="110">
        <f>SUMIFS('Federal Data'!AA2:AA501,'Federal Data'!$E2:$E501,"Non-Tax Revenues")</f>
        <v>25051582</v>
      </c>
      <c r="R21" s="110">
        <f>SUMIFS('Federal Data'!AB2:AB501,'Federal Data'!$E2:$E501,"Non-Tax Revenues")</f>
        <v>37528000</v>
      </c>
      <c r="S21" s="110">
        <f>SUMIFS('Federal Data'!AC2:AC501,'Federal Data'!$E2:$E501,"Non-Tax Revenues")</f>
        <v>28554000</v>
      </c>
      <c r="T21" s="110">
        <f>SUMIFS('Federal Data'!AD2:AD501,'Federal Data'!$E2:$E501,"Non-Tax Revenues")</f>
        <v>39980000</v>
      </c>
      <c r="U21" s="110">
        <f>SUMIFS('Federal Data'!AE2:AE501,'Federal Data'!$E2:$E501,"Non-Tax Revenues")</f>
        <v>42039000</v>
      </c>
      <c r="V21" s="110">
        <f>SUMIFS('Federal Data'!AF2:AF501,'Federal Data'!$E2:$E501,"Non-Tax Revenues")</f>
        <v>35930000</v>
      </c>
      <c r="W21" s="110">
        <f>SUMIFS('Federal Data'!AG2:AG501,'Federal Data'!$E2:$E501,"Non-Tax Revenues")</f>
        <v>42892000</v>
      </c>
      <c r="X21" s="110">
        <f>SUMIFS('Federal Data'!AH2:AH501,'Federal Data'!$E2:$E501,"Non-Tax Revenues")</f>
        <v>40542000</v>
      </c>
      <c r="Y21" s="110">
        <f>SUMIFS('Federal Data'!AI2:AI501,'Federal Data'!$E2:$E501,"Non-Tax Revenues")</f>
        <v>33409000</v>
      </c>
      <c r="Z21" s="110">
        <f>SUMIFS('Federal Data'!AJ2:AJ501,'Federal Data'!$E2:$E501,"Non-Tax Revenues")</f>
        <v>33745000</v>
      </c>
      <c r="AA21" s="110">
        <f>SUMIFS('Federal Data'!AK2:AK501,'Federal Data'!$E2:$E501,"Non-Tax Revenues")</f>
        <v>31079000</v>
      </c>
      <c r="AB21" s="110">
        <f>SUMIFS('Federal Data'!AL2:AL501,'Federal Data'!$E2:$E501,"Non-Tax Revenues")</f>
        <v>31709000</v>
      </c>
      <c r="AC21" s="110">
        <f>SUMIFS('Federal Data'!AM2:AM501,'Federal Data'!$E2:$E501,"Non-Tax Revenues")</f>
        <v>44249000</v>
      </c>
      <c r="AD21" s="110">
        <f>SUMIFS('Federal Data'!AN2:AN501,'Federal Data'!$E2:$E501,"Non-Tax Revenues")</f>
        <v>60397000</v>
      </c>
      <c r="AE21" s="110">
        <f>SUMIFS('Federal Data'!AO2:AO501,'Federal Data'!$E2:$E501,"Non-Tax Revenues")</f>
        <v>61566000</v>
      </c>
      <c r="AF21" s="110">
        <f>SUMIFS('Federal Data'!AP2:AP501,'Federal Data'!$E2:$E501,"Non-Tax Revenues")</f>
        <v>65698000</v>
      </c>
      <c r="AG21" s="110">
        <f>SUMIFS('Federal Data'!AQ2:AQ501,'Federal Data'!$E2:$E501,"Non-Tax Revenues")</f>
        <v>92845000</v>
      </c>
      <c r="AH21" s="110">
        <f>SUMIFS('Federal Data'!AR2:AR501,'Federal Data'!$E2:$E501,"Non-Tax Revenues")</f>
        <v>102782000</v>
      </c>
      <c r="AI21" s="110">
        <f>SUMIFS('Federal Data'!AS2:AS501,'Federal Data'!$E2:$E501,"Non-Tax Revenues")</f>
        <v>116314000</v>
      </c>
      <c r="AJ21" s="110">
        <f>SUMIFS('Federal Data'!AT2:AT501,'Federal Data'!$E2:$E501,"Non-Tax Revenues")</f>
        <v>104037000</v>
      </c>
      <c r="AK21" s="110">
        <f>SUMIFS('Federal Data'!AU2:AU501,'Federal Data'!$E2:$E501,"Non-Tax Revenues")</f>
        <v>134882000</v>
      </c>
      <c r="AL21" s="110">
        <f>SUMIFS('Federal Data'!AV2:AV501,'Federal Data'!$E2:$E501,"Non-Tax Revenues")</f>
        <v>172515000</v>
      </c>
    </row>
    <row r="22" spans="1:38" outlineLevel="3">
      <c r="A22" s="22" t="str">
        <f>B21</f>
        <v>Non-Tax Revenue</v>
      </c>
      <c r="B22" s="27" t="s">
        <v>13</v>
      </c>
      <c r="C22" s="109">
        <f>SUMIFS('Federal Data'!M2:M501,'Federal Data'!$F2:$F501,"Sales of Government Resources")</f>
        <v>4100870</v>
      </c>
      <c r="D22" s="109">
        <f>SUMIFS('Federal Data'!N2:N501,'Federal Data'!$F2:$F501,"Sales of Government Resources")</f>
        <v>10137986</v>
      </c>
      <c r="E22" s="109">
        <f>SUMIFS('Federal Data'!O2:O501,'Federal Data'!$F2:$F501,"Sales of Government Resources")</f>
        <v>6249621</v>
      </c>
      <c r="F22" s="109">
        <f>SUMIFS('Federal Data'!P2:P501,'Federal Data'!$F2:$F501,"Sales of Government Resources")</f>
        <v>10491496</v>
      </c>
      <c r="G22" s="109">
        <f>SUMIFS('Federal Data'!Q2:Q501,'Federal Data'!$F2:$F501,"Sales of Government Resources")</f>
        <v>6693547</v>
      </c>
      <c r="H22" s="109">
        <f>SUMIFS('Federal Data'!R2:R501,'Federal Data'!$F2:$F501,"Sales of Government Resources")</f>
        <v>5541880</v>
      </c>
      <c r="I22" s="109">
        <f>SUMIFS('Federal Data'!S2:S501,'Federal Data'!$F2:$F501,"Sales of Government Resources")</f>
        <v>4715974</v>
      </c>
      <c r="J22" s="109">
        <f>SUMIFS('Federal Data'!T2:T501,'Federal Data'!$F2:$F501,"Sales of Government Resources")</f>
        <v>5896066</v>
      </c>
      <c r="K22" s="109">
        <f>SUMIFS('Federal Data'!U2:U501,'Federal Data'!$F2:$F501,"Sales of Government Resources")</f>
        <v>3547691</v>
      </c>
      <c r="L22" s="109">
        <f>SUMIFS('Federal Data'!V2:V501,'Federal Data'!$F2:$F501,"Sales of Government Resources")</f>
        <v>2929212</v>
      </c>
      <c r="M22" s="109">
        <f>SUMIFS('Federal Data'!W2:W501,'Federal Data'!$F2:$F501,"Sales of Government Resources")</f>
        <v>3004086</v>
      </c>
      <c r="N22" s="109">
        <f>SUMIFS('Federal Data'!X2:X501,'Federal Data'!$F2:$F501,"Sales of Government Resources")</f>
        <v>3150243</v>
      </c>
      <c r="O22" s="109">
        <f>SUMIFS('Federal Data'!Y2:Y501,'Federal Data'!$F2:$F501,"Sales of Government Resources")</f>
        <v>2498255</v>
      </c>
      <c r="P22" s="109">
        <f>SUMIFS('Federal Data'!Z2:Z501,'Federal Data'!$F2:$F501,"Sales of Government Resources")</f>
        <v>2784562</v>
      </c>
      <c r="Q22" s="109">
        <f>SUMIFS('Federal Data'!AA2:AA501,'Federal Data'!$F2:$F501,"Sales of Government Resources")</f>
        <v>3001438</v>
      </c>
      <c r="R22" s="109">
        <f>SUMIFS('Federal Data'!AB2:AB501,'Federal Data'!$F2:$F501,"Sales of Government Resources")</f>
        <v>10062000</v>
      </c>
      <c r="S22" s="109">
        <f>SUMIFS('Federal Data'!AC2:AC501,'Federal Data'!$F2:$F501,"Sales of Government Resources")</f>
        <v>4083000</v>
      </c>
      <c r="T22" s="109">
        <f>SUMIFS('Federal Data'!AD2:AD501,'Federal Data'!$F2:$F501,"Sales of Government Resources")</f>
        <v>15717000</v>
      </c>
      <c r="U22" s="109">
        <f>SUMIFS('Federal Data'!AE2:AE501,'Federal Data'!$F2:$F501,"Sales of Government Resources")</f>
        <v>12322000</v>
      </c>
      <c r="V22" s="109">
        <f>SUMIFS('Federal Data'!AF2:AF501,'Federal Data'!$F2:$F501,"Sales of Government Resources")</f>
        <v>4851000</v>
      </c>
      <c r="W22" s="109">
        <f>SUMIFS('Federal Data'!AG2:AG501,'Federal Data'!$F2:$F501,"Sales of Government Resources")</f>
        <v>4730000</v>
      </c>
      <c r="X22" s="109">
        <f>SUMIFS('Federal Data'!AH2:AH501,'Federal Data'!$F2:$F501,"Sales of Government Resources")</f>
        <v>8218000</v>
      </c>
      <c r="Y22" s="109">
        <f>SUMIFS('Federal Data'!AI2:AI501,'Federal Data'!$F2:$F501,"Sales of Government Resources")</f>
        <v>5025000</v>
      </c>
      <c r="Z22" s="109">
        <f>SUMIFS('Federal Data'!AJ2:AJ501,'Federal Data'!$F2:$F501,"Sales of Government Resources")</f>
        <v>5029000</v>
      </c>
      <c r="AA22" s="109">
        <f>SUMIFS('Federal Data'!AK2:AK501,'Federal Data'!$F2:$F501,"Sales of Government Resources")</f>
        <v>5106000</v>
      </c>
      <c r="AB22" s="109">
        <f>SUMIFS('Federal Data'!AL2:AL501,'Federal Data'!$F2:$F501,"Sales of Government Resources")</f>
        <v>6306000</v>
      </c>
      <c r="AC22" s="109">
        <f>SUMIFS('Federal Data'!AM2:AM501,'Federal Data'!$F2:$F501,"Sales of Government Resources")</f>
        <v>7394000</v>
      </c>
      <c r="AD22" s="109">
        <f>SUMIFS('Federal Data'!AN2:AN501,'Federal Data'!$F2:$F501,"Sales of Government Resources")</f>
        <v>20463000</v>
      </c>
      <c r="AE22" s="109">
        <f>SUMIFS('Federal Data'!AO2:AO501,'Federal Data'!$F2:$F501,"Sales of Government Resources")</f>
        <v>20064000</v>
      </c>
      <c r="AF22" s="109">
        <f>SUMIFS('Federal Data'!AP2:AP501,'Federal Data'!$F2:$F501,"Sales of Government Resources")</f>
        <v>21982000</v>
      </c>
      <c r="AG22" s="109">
        <f>SUMIFS('Federal Data'!AQ2:AQ501,'Federal Data'!$F2:$F501,"Sales of Government Resources")</f>
        <v>5080000</v>
      </c>
      <c r="AH22" s="109">
        <f>SUMIFS('Federal Data'!AR2:AR501,'Federal Data'!$F2:$F501,"Sales of Government Resources")</f>
        <v>8787000</v>
      </c>
      <c r="AI22" s="109">
        <f>SUMIFS('Federal Data'!AS2:AS501,'Federal Data'!$F2:$F501,"Sales of Government Resources")</f>
        <v>19597000</v>
      </c>
      <c r="AJ22" s="109">
        <f>SUMIFS('Federal Data'!AT2:AT501,'Federal Data'!$F2:$F501,"Sales of Government Resources")</f>
        <v>11462000</v>
      </c>
      <c r="AK22" s="109">
        <f>SUMIFS('Federal Data'!AU2:AU501,'Federal Data'!$F2:$F501,"Sales of Government Resources")</f>
        <v>8695000</v>
      </c>
      <c r="AL22" s="109">
        <f>SUMIFS('Federal Data'!AV2:AV501,'Federal Data'!$F2:$F501,"Sales of Government Resources")</f>
        <v>34683000</v>
      </c>
    </row>
    <row r="23" spans="1:38" outlineLevel="4">
      <c r="A23" s="22" t="str">
        <f>B22</f>
        <v>Sales of Government Resources</v>
      </c>
      <c r="B23" s="28" t="s">
        <v>79</v>
      </c>
      <c r="C23" s="109">
        <f>SUMIFS('Federal Data'!M2:M501,'Federal Data'!$G2:$G501,"Rents and Royalties OCS")</f>
        <v>4100870</v>
      </c>
      <c r="D23" s="109">
        <f>SUMIFS('Federal Data'!N2:N501,'Federal Data'!$G2:$G501,"Rents and Royalties OCS")</f>
        <v>10137986</v>
      </c>
      <c r="E23" s="109">
        <f>SUMIFS('Federal Data'!O2:O501,'Federal Data'!$G2:$G501,"Rents and Royalties OCS")</f>
        <v>6249621</v>
      </c>
      <c r="F23" s="109">
        <f>SUMIFS('Federal Data'!P2:P501,'Federal Data'!$G2:$G501,"Rents and Royalties OCS")</f>
        <v>10491496</v>
      </c>
      <c r="G23" s="109">
        <f>SUMIFS('Federal Data'!Q2:Q501,'Federal Data'!$G2:$G501,"Rents and Royalties OCS")</f>
        <v>6693547</v>
      </c>
      <c r="H23" s="109">
        <f>SUMIFS('Federal Data'!R2:R501,'Federal Data'!$G2:$G501,"Rents and Royalties OCS")</f>
        <v>5541880</v>
      </c>
      <c r="I23" s="109">
        <f>SUMIFS('Federal Data'!S2:S501,'Federal Data'!$G2:$G501,"Rents and Royalties OCS")</f>
        <v>4715974</v>
      </c>
      <c r="J23" s="109">
        <f>SUMIFS('Federal Data'!T2:T501,'Federal Data'!$G2:$G501,"Rents and Royalties OCS")</f>
        <v>4021478</v>
      </c>
      <c r="K23" s="109">
        <f>SUMIFS('Federal Data'!U2:U501,'Federal Data'!$G2:$G501,"Rents and Royalties OCS")</f>
        <v>3547691</v>
      </c>
      <c r="L23" s="109">
        <f>SUMIFS('Federal Data'!V2:V501,'Federal Data'!$G2:$G501,"Rents and Royalties OCS")</f>
        <v>2929212</v>
      </c>
      <c r="M23" s="109">
        <f>SUMIFS('Federal Data'!W2:W501,'Federal Data'!$G2:$G501,"Rents and Royalties OCS")</f>
        <v>3004086</v>
      </c>
      <c r="N23" s="109">
        <f>SUMIFS('Federal Data'!X2:X501,'Federal Data'!$G2:$G501,"Rents and Royalties OCS")</f>
        <v>3150243</v>
      </c>
      <c r="O23" s="109">
        <f>SUMIFS('Federal Data'!Y2:Y501,'Federal Data'!$G2:$G501,"Rents and Royalties OCS")</f>
        <v>2498255</v>
      </c>
      <c r="P23" s="109">
        <f>SUMIFS('Federal Data'!Z2:Z501,'Federal Data'!$G2:$G501,"Rents and Royalties OCS")</f>
        <v>2784562</v>
      </c>
      <c r="Q23" s="109">
        <f>SUMIFS('Federal Data'!AA2:AA501,'Federal Data'!$G2:$G501,"Rents and Royalties OCS")</f>
        <v>3001438</v>
      </c>
      <c r="R23" s="109">
        <f>SUMIFS('Federal Data'!AB2:AB501,'Federal Data'!$G2:$G501,"Rents and Royalties OCS")</f>
        <v>2418000</v>
      </c>
      <c r="S23" s="109">
        <f>SUMIFS('Federal Data'!AC2:AC501,'Federal Data'!$G2:$G501,"Rents and Royalties OCS")</f>
        <v>3741000</v>
      </c>
      <c r="T23" s="109">
        <f>SUMIFS('Federal Data'!AD2:AD501,'Federal Data'!$G2:$G501,"Rents and Royalties OCS")</f>
        <v>4711000</v>
      </c>
      <c r="U23" s="109">
        <f>SUMIFS('Federal Data'!AE2:AE501,'Federal Data'!$G2:$G501,"Rents and Royalties OCS")</f>
        <v>4522000</v>
      </c>
      <c r="V23" s="109">
        <f>SUMIFS('Federal Data'!AF2:AF501,'Federal Data'!$G2:$G501,"Rents and Royalties OCS")</f>
        <v>3098000</v>
      </c>
      <c r="W23" s="109">
        <f>SUMIFS('Federal Data'!AG2:AG501,'Federal Data'!$G2:$G501,"Rents and Royalties OCS")</f>
        <v>4580000</v>
      </c>
      <c r="X23" s="109">
        <f>SUMIFS('Federal Data'!AH2:AH501,'Federal Data'!$G2:$G501,"Rents and Royalties OCS")</f>
        <v>7194000</v>
      </c>
      <c r="Y23" s="109">
        <f>SUMIFS('Federal Data'!AI2:AI501,'Federal Data'!$G2:$G501,"Rents and Royalties OCS")</f>
        <v>5024000</v>
      </c>
      <c r="Z23" s="109">
        <f>SUMIFS('Federal Data'!AJ2:AJ501,'Federal Data'!$G2:$G501,"Rents and Royalties OCS")</f>
        <v>5029000</v>
      </c>
      <c r="AA23" s="109">
        <f>SUMIFS('Federal Data'!AK2:AK501,'Federal Data'!$G2:$G501,"Rents and Royalties OCS")</f>
        <v>5106000</v>
      </c>
      <c r="AB23" s="109">
        <f>SUMIFS('Federal Data'!AL2:AL501,'Federal Data'!$G2:$G501,"Rents and Royalties OCS")</f>
        <v>6146000</v>
      </c>
      <c r="AC23" s="109">
        <f>SUMIFS('Federal Data'!AM2:AM501,'Federal Data'!$G2:$G501,"Rents and Royalties OCS")</f>
        <v>7283000</v>
      </c>
      <c r="AD23" s="109">
        <f>SUMIFS('Federal Data'!AN2:AN501,'Federal Data'!$G2:$G501,"Rents and Royalties OCS")</f>
        <v>6763000</v>
      </c>
      <c r="AE23" s="109">
        <f>SUMIFS('Federal Data'!AO2:AO501,'Federal Data'!$G2:$G501,"Rents and Royalties OCS")</f>
        <v>18285000</v>
      </c>
      <c r="AF23" s="109">
        <f>SUMIFS('Federal Data'!AP2:AP501,'Federal Data'!$G2:$G501,"Rents and Royalties OCS")</f>
        <v>5292000</v>
      </c>
      <c r="AG23" s="109">
        <f>SUMIFS('Federal Data'!AQ2:AQ501,'Federal Data'!$G2:$G501,"Rents and Royalties OCS")</f>
        <v>4883000</v>
      </c>
      <c r="AH23" s="109">
        <f>SUMIFS('Federal Data'!AR2:AR501,'Federal Data'!$G2:$G501,"Rents and Royalties OCS")</f>
        <v>6383000</v>
      </c>
      <c r="AI23" s="109">
        <f>SUMIFS('Federal Data'!AS2:AS501,'Federal Data'!$G2:$G501,"Rents and Royalties OCS")</f>
        <v>6605000</v>
      </c>
      <c r="AJ23" s="109">
        <f>SUMIFS('Federal Data'!AT2:AT501,'Federal Data'!$G2:$G501,"Rents and Royalties OCS")</f>
        <v>8874000</v>
      </c>
      <c r="AK23" s="109">
        <f>SUMIFS('Federal Data'!AU2:AU501,'Federal Data'!$G2:$G501,"Rents and Royalties OCS")</f>
        <v>7474000</v>
      </c>
      <c r="AL23" s="109">
        <f>SUMIFS('Federal Data'!AV2:AV501,'Federal Data'!$G2:$G501,"Rents and Royalties OCS")</f>
        <v>4555000</v>
      </c>
    </row>
    <row r="24" spans="1:38" outlineLevel="4">
      <c r="A24" s="22" t="str">
        <f>B22</f>
        <v>Sales of Government Resources</v>
      </c>
      <c r="B24" s="28" t="s">
        <v>80</v>
      </c>
      <c r="C24" s="109">
        <f>SUMIFS('Federal Data'!M2:M501,'Federal Data'!$G2:$G501,"Spectrum Auctions and Licensing")</f>
        <v>0</v>
      </c>
      <c r="D24" s="109">
        <f>SUMIFS('Federal Data'!N2:N501,'Federal Data'!$G2:$G501,"Spectrum Auctions and Licensing")</f>
        <v>0</v>
      </c>
      <c r="E24" s="109">
        <f>SUMIFS('Federal Data'!O2:O501,'Federal Data'!$G2:$G501,"Spectrum Auctions and Licensing")</f>
        <v>0</v>
      </c>
      <c r="F24" s="109">
        <f>SUMIFS('Federal Data'!P2:P501,'Federal Data'!$G2:$G501,"Spectrum Auctions and Licensing")</f>
        <v>0</v>
      </c>
      <c r="G24" s="109">
        <f>SUMIFS('Federal Data'!Q2:Q501,'Federal Data'!$G2:$G501,"Spectrum Auctions and Licensing")</f>
        <v>0</v>
      </c>
      <c r="H24" s="109">
        <f>SUMIFS('Federal Data'!R2:R501,'Federal Data'!$G2:$G501,"Spectrum Auctions and Licensing")</f>
        <v>0</v>
      </c>
      <c r="I24" s="109">
        <f>SUMIFS('Federal Data'!S2:S501,'Federal Data'!$G2:$G501,"Spectrum Auctions and Licensing")</f>
        <v>0</v>
      </c>
      <c r="J24" s="109">
        <f>SUMIFS('Federal Data'!T2:T501,'Federal Data'!$G2:$G501,"Spectrum Auctions and Licensing")</f>
        <v>0</v>
      </c>
      <c r="K24" s="109">
        <f>SUMIFS('Federal Data'!U2:U501,'Federal Data'!$G2:$G501,"Spectrum Auctions and Licensing")</f>
        <v>0</v>
      </c>
      <c r="L24" s="109">
        <f>SUMIFS('Federal Data'!V2:V501,'Federal Data'!$G2:$G501,"Spectrum Auctions and Licensing")</f>
        <v>0</v>
      </c>
      <c r="M24" s="109">
        <f>SUMIFS('Federal Data'!W2:W501,'Federal Data'!$G2:$G501,"Spectrum Auctions and Licensing")</f>
        <v>0</v>
      </c>
      <c r="N24" s="109">
        <f>SUMIFS('Federal Data'!X2:X501,'Federal Data'!$G2:$G501,"Spectrum Auctions and Licensing")</f>
        <v>0</v>
      </c>
      <c r="O24" s="109">
        <f>SUMIFS('Federal Data'!Y2:Y501,'Federal Data'!$G2:$G501,"Spectrum Auctions and Licensing")</f>
        <v>0</v>
      </c>
      <c r="P24" s="109">
        <f>SUMIFS('Federal Data'!Z2:Z501,'Federal Data'!$G2:$G501,"Spectrum Auctions and Licensing")</f>
        <v>0</v>
      </c>
      <c r="Q24" s="109">
        <f>SUMIFS('Federal Data'!AA2:AA501,'Federal Data'!$G2:$G501,"Spectrum Auctions and Licensing")</f>
        <v>0</v>
      </c>
      <c r="R24" s="109">
        <f>SUMIFS('Federal Data'!AB2:AB501,'Federal Data'!$G2:$G501,"Spectrum Auctions and Licensing")</f>
        <v>7644000</v>
      </c>
      <c r="S24" s="109">
        <f>SUMIFS('Federal Data'!AC2:AC501,'Federal Data'!$G2:$G501,"Spectrum Auctions and Licensing")</f>
        <v>342000</v>
      </c>
      <c r="T24" s="109">
        <f>SUMIFS('Federal Data'!AD2:AD501,'Federal Data'!$G2:$G501,"Spectrum Auctions and Licensing")</f>
        <v>11006000</v>
      </c>
      <c r="U24" s="109">
        <f>SUMIFS('Federal Data'!AE2:AE501,'Federal Data'!$G2:$G501,"Spectrum Auctions and Licensing")</f>
        <v>2642000</v>
      </c>
      <c r="V24" s="109">
        <f>SUMIFS('Federal Data'!AF2:AF501,'Federal Data'!$G2:$G501,"Spectrum Auctions and Licensing")</f>
        <v>1753000</v>
      </c>
      <c r="W24" s="109">
        <f>SUMIFS('Federal Data'!AG2:AG501,'Federal Data'!$G2:$G501,"Spectrum Auctions and Licensing")</f>
        <v>150000</v>
      </c>
      <c r="X24" s="109">
        <f>SUMIFS('Federal Data'!AH2:AH501,'Federal Data'!$G2:$G501,"Spectrum Auctions and Licensing")</f>
        <v>1024000</v>
      </c>
      <c r="Y24" s="109">
        <f>SUMIFS('Federal Data'!AI2:AI501,'Federal Data'!$G2:$G501,"Spectrum Auctions and Licensing")</f>
        <v>1000</v>
      </c>
      <c r="Z24" s="109">
        <f>SUMIFS('Federal Data'!AJ2:AJ501,'Federal Data'!$G2:$G501,"Spectrum Auctions and Licensing")</f>
        <v>0</v>
      </c>
      <c r="AA24" s="109">
        <f>SUMIFS('Federal Data'!AK2:AK501,'Federal Data'!$G2:$G501,"Spectrum Auctions and Licensing")</f>
        <v>0</v>
      </c>
      <c r="AB24" s="109">
        <f>SUMIFS('Federal Data'!AL2:AL501,'Federal Data'!$G2:$G501,"Spectrum Auctions and Licensing")</f>
        <v>160000</v>
      </c>
      <c r="AC24" s="109">
        <f>SUMIFS('Federal Data'!AM2:AM501,'Federal Data'!$G2:$G501,"Spectrum Auctions and Licensing")</f>
        <v>111000</v>
      </c>
      <c r="AD24" s="109">
        <f>SUMIFS('Federal Data'!AN2:AN501,'Federal Data'!$G2:$G501,"Spectrum Auctions and Licensing")</f>
        <v>13700000</v>
      </c>
      <c r="AE24" s="109">
        <f>SUMIFS('Federal Data'!AO2:AO501,'Federal Data'!$G2:$G501,"Spectrum Auctions and Licensing")</f>
        <v>1779000</v>
      </c>
      <c r="AF24" s="109">
        <f>SUMIFS('Federal Data'!AP2:AP501,'Federal Data'!$G2:$G501,"Spectrum Auctions and Licensing")</f>
        <v>16690000</v>
      </c>
      <c r="AG24" s="109">
        <f>SUMIFS('Federal Data'!AQ2:AQ501,'Federal Data'!$G2:$G501,"Spectrum Auctions and Licensing")</f>
        <v>197000</v>
      </c>
      <c r="AH24" s="109">
        <f>SUMIFS('Federal Data'!AR2:AR501,'Federal Data'!$G2:$G501,"Spectrum Auctions and Licensing")</f>
        <v>0</v>
      </c>
      <c r="AI24" s="109">
        <f>SUMIFS('Federal Data'!AS2:AS501,'Federal Data'!$G2:$G501,"Spectrum Auctions and Licensing")</f>
        <v>0</v>
      </c>
      <c r="AJ24" s="109">
        <f>SUMIFS('Federal Data'!AT2:AT501,'Federal Data'!$G2:$G501,"Spectrum Auctions and Licensing")</f>
        <v>0</v>
      </c>
      <c r="AK24" s="109">
        <f>SUMIFS('Federal Data'!AU2:AU501,'Federal Data'!$G2:$G501,"Spectrum Auctions and Licensing")</f>
        <v>1221000</v>
      </c>
      <c r="AL24" s="109">
        <f>SUMIFS('Federal Data'!AV2:AV501,'Federal Data'!$G2:$G501,"Spectrum Auctions and Licensing")</f>
        <v>30128000</v>
      </c>
    </row>
    <row r="25" spans="1:38" outlineLevel="4">
      <c r="A25" s="22" t="str">
        <f>B22</f>
        <v>Sales of Government Resources</v>
      </c>
      <c r="B25" s="28" t="s">
        <v>81</v>
      </c>
      <c r="C25" s="109">
        <f>SUMIFS('Federal Data'!M2:M501,'Federal Data'!$G2:$G501,"Sales of Major Assets")</f>
        <v>0</v>
      </c>
      <c r="D25" s="109">
        <f>SUMIFS('Federal Data'!N2:N501,'Federal Data'!$G2:$G501,"Sales of Major Assets")</f>
        <v>0</v>
      </c>
      <c r="E25" s="109">
        <f>SUMIFS('Federal Data'!O2:O501,'Federal Data'!$G2:$G501,"Sales of Major Assets")</f>
        <v>0</v>
      </c>
      <c r="F25" s="109">
        <f>SUMIFS('Federal Data'!P2:P501,'Federal Data'!$G2:$G501,"Sales of Major Assets")</f>
        <v>0</v>
      </c>
      <c r="G25" s="109">
        <f>SUMIFS('Federal Data'!Q2:Q501,'Federal Data'!$G2:$G501,"Sales of Major Assets")</f>
        <v>0</v>
      </c>
      <c r="H25" s="109">
        <f>SUMIFS('Federal Data'!R2:R501,'Federal Data'!$G2:$G501,"Sales of Major Assets")</f>
        <v>0</v>
      </c>
      <c r="I25" s="109">
        <f>SUMIFS('Federal Data'!S2:S501,'Federal Data'!$G2:$G501,"Sales of Major Assets")</f>
        <v>0</v>
      </c>
      <c r="J25" s="109">
        <f>SUMIFS('Federal Data'!T2:T501,'Federal Data'!$G2:$G501,"Sales of Major Assets")</f>
        <v>1874588</v>
      </c>
      <c r="K25" s="109">
        <f>SUMIFS('Federal Data'!U2:U501,'Federal Data'!$G2:$G501,"Sales of Major Assets")</f>
        <v>0</v>
      </c>
      <c r="L25" s="109">
        <f>SUMIFS('Federal Data'!V2:V501,'Federal Data'!$G2:$G501,"Sales of Major Assets")</f>
        <v>0</v>
      </c>
      <c r="M25" s="109">
        <f>SUMIFS('Federal Data'!W2:W501,'Federal Data'!$G2:$G501,"Sales of Major Assets")</f>
        <v>0</v>
      </c>
      <c r="N25" s="109">
        <f>SUMIFS('Federal Data'!X2:X501,'Federal Data'!$G2:$G501,"Sales of Major Assets")</f>
        <v>0</v>
      </c>
      <c r="O25" s="109">
        <f>SUMIFS('Federal Data'!Y2:Y501,'Federal Data'!$G2:$G501,"Sales of Major Assets")</f>
        <v>0</v>
      </c>
      <c r="P25" s="109">
        <f>SUMIFS('Federal Data'!Z2:Z501,'Federal Data'!$G2:$G501,"Sales of Major Assets")</f>
        <v>0</v>
      </c>
      <c r="Q25" s="109">
        <f>SUMIFS('Federal Data'!AA2:AA501,'Federal Data'!$G2:$G501,"Sales of Major Assets")</f>
        <v>0</v>
      </c>
      <c r="R25" s="109">
        <f>SUMIFS('Federal Data'!AB2:AB501,'Federal Data'!$G2:$G501,"Sales of Major Assets")</f>
        <v>0</v>
      </c>
      <c r="S25" s="109">
        <f>SUMIFS('Federal Data'!AC2:AC501,'Federal Data'!$G2:$G501,"Sales of Major Assets")</f>
        <v>0</v>
      </c>
      <c r="T25" s="109">
        <f>SUMIFS('Federal Data'!AD2:AD501,'Federal Data'!$G2:$G501,"Sales of Major Assets")</f>
        <v>0</v>
      </c>
      <c r="U25" s="109">
        <f>SUMIFS('Federal Data'!AE2:AE501,'Federal Data'!$G2:$G501,"Sales of Major Assets")</f>
        <v>5158000</v>
      </c>
      <c r="V25" s="109">
        <f>SUMIFS('Federal Data'!AF2:AF501,'Federal Data'!$G2:$G501,"Sales of Major Assets")</f>
        <v>0</v>
      </c>
      <c r="W25" s="109">
        <f>SUMIFS('Federal Data'!AG2:AG501,'Federal Data'!$G2:$G501,"Sales of Major Assets")</f>
        <v>0</v>
      </c>
      <c r="X25" s="109">
        <f>SUMIFS('Federal Data'!AH2:AH501,'Federal Data'!$G2:$G501,"Sales of Major Assets")</f>
        <v>0</v>
      </c>
      <c r="Y25" s="109">
        <f>SUMIFS('Federal Data'!AI2:AI501,'Federal Data'!$G2:$G501,"Sales of Major Assets")</f>
        <v>0</v>
      </c>
      <c r="Z25" s="109">
        <f>SUMIFS('Federal Data'!AJ2:AJ501,'Federal Data'!$G2:$G501,"Sales of Major Assets")</f>
        <v>0</v>
      </c>
      <c r="AA25" s="109">
        <f>SUMIFS('Federal Data'!AK2:AK501,'Federal Data'!$G2:$G501,"Sales of Major Assets")</f>
        <v>0</v>
      </c>
      <c r="AB25" s="109">
        <f>SUMIFS('Federal Data'!AL2:AL501,'Federal Data'!$G2:$G501,"Sales of Major Assets")</f>
        <v>0</v>
      </c>
      <c r="AC25" s="109">
        <f>SUMIFS('Federal Data'!AM2:AM501,'Federal Data'!$G2:$G501,"Sales of Major Assets")</f>
        <v>0</v>
      </c>
      <c r="AD25" s="109">
        <f>SUMIFS('Federal Data'!AN2:AN501,'Federal Data'!$G2:$G501,"Sales of Major Assets")</f>
        <v>0</v>
      </c>
      <c r="AE25" s="109">
        <f>SUMIFS('Federal Data'!AO2:AO501,'Federal Data'!$G2:$G501,"Sales of Major Assets")</f>
        <v>0</v>
      </c>
      <c r="AF25" s="109">
        <f>SUMIFS('Federal Data'!AP2:AP501,'Federal Data'!$G2:$G501,"Sales of Major Assets")</f>
        <v>0</v>
      </c>
      <c r="AG25" s="109">
        <f>SUMIFS('Federal Data'!AQ2:AQ501,'Federal Data'!$G2:$G501,"Sales of Major Assets")</f>
        <v>0</v>
      </c>
      <c r="AH25" s="109">
        <f>SUMIFS('Federal Data'!AR2:AR501,'Federal Data'!$G2:$G501,"Sales of Major Assets")</f>
        <v>2404000</v>
      </c>
      <c r="AI25" s="109">
        <f>SUMIFS('Federal Data'!AS2:AS501,'Federal Data'!$G2:$G501,"Sales of Major Assets")</f>
        <v>12992000</v>
      </c>
      <c r="AJ25" s="109">
        <f>SUMIFS('Federal Data'!AT2:AT501,'Federal Data'!$G2:$G501,"Sales of Major Assets")</f>
        <v>2588000</v>
      </c>
      <c r="AK25" s="109">
        <f>SUMIFS('Federal Data'!AU2:AU501,'Federal Data'!$G2:$G501,"Sales of Major Assets")</f>
        <v>0</v>
      </c>
      <c r="AL25" s="109">
        <f>SUMIFS('Federal Data'!AV2:AV501,'Federal Data'!$G2:$G501,"Sales of Major Assets")</f>
        <v>0</v>
      </c>
    </row>
    <row r="26" spans="1:38" outlineLevel="3">
      <c r="A26" s="22" t="str">
        <f>B21</f>
        <v>Non-Tax Revenue</v>
      </c>
      <c r="B26" s="27" t="s">
        <v>14</v>
      </c>
      <c r="C26" s="109">
        <f>SUMIFS('Federal Data'!M2:M501,'Federal Data'!$F2:$F501,"Federal Reserve earnings")</f>
        <v>11767143</v>
      </c>
      <c r="D26" s="109">
        <f>SUMIFS('Federal Data'!N2:N501,'Federal Data'!$F2:$F501,"Federal Reserve earnings")</f>
        <v>12833713</v>
      </c>
      <c r="E26" s="109">
        <f>SUMIFS('Federal Data'!O2:O501,'Federal Data'!$F2:$F501,"Federal Reserve earnings")</f>
        <v>15185696</v>
      </c>
      <c r="F26" s="109">
        <f>SUMIFS('Federal Data'!P2:P501,'Federal Data'!$F2:$F501,"Federal Reserve earnings")</f>
        <v>14492350</v>
      </c>
      <c r="G26" s="109">
        <f>SUMIFS('Federal Data'!Q2:Q501,'Federal Data'!$F2:$F501,"Federal Reserve earnings")</f>
        <v>15683846</v>
      </c>
      <c r="H26" s="109">
        <f>SUMIFS('Federal Data'!R2:R501,'Federal Data'!$F2:$F501,"Federal Reserve earnings")</f>
        <v>17058986</v>
      </c>
      <c r="I26" s="109">
        <f>SUMIFS('Federal Data'!S2:S501,'Federal Data'!$F2:$F501,"Federal Reserve earnings")</f>
        <v>18373909</v>
      </c>
      <c r="J26" s="109">
        <f>SUMIFS('Federal Data'!T2:T501,'Federal Data'!$F2:$F501,"Federal Reserve earnings")</f>
        <v>16816623</v>
      </c>
      <c r="K26" s="109">
        <f>SUMIFS('Federal Data'!U2:U501,'Federal Data'!$F2:$F501,"Federal Reserve earnings")</f>
        <v>17163237</v>
      </c>
      <c r="L26" s="109">
        <f>SUMIFS('Federal Data'!V2:V501,'Federal Data'!$F2:$F501,"Federal Reserve earnings")</f>
        <v>19604126</v>
      </c>
      <c r="M26" s="109">
        <f>SUMIFS('Federal Data'!W2:W501,'Federal Data'!$F2:$F501,"Federal Reserve earnings")</f>
        <v>24319216</v>
      </c>
      <c r="N26" s="109">
        <f>SUMIFS('Federal Data'!X2:X501,'Federal Data'!$F2:$F501,"Federal Reserve earnings")</f>
        <v>19158322</v>
      </c>
      <c r="O26" s="109">
        <f>SUMIFS('Federal Data'!Y2:Y501,'Federal Data'!$F2:$F501,"Federal Reserve earnings")</f>
        <v>22920445</v>
      </c>
      <c r="P26" s="109">
        <f>SUMIFS('Federal Data'!Z2:Z501,'Federal Data'!$F2:$F501,"Federal Reserve earnings")</f>
        <v>14908084</v>
      </c>
      <c r="Q26" s="109">
        <f>SUMIFS('Federal Data'!AA2:AA501,'Federal Data'!$F2:$F501,"Federal Reserve earnings")</f>
        <v>18022729</v>
      </c>
      <c r="R26" s="109">
        <f>SUMIFS('Federal Data'!AB2:AB501,'Federal Data'!$F2:$F501,"Federal Reserve earnings")</f>
        <v>23378000</v>
      </c>
      <c r="S26" s="109">
        <f>SUMIFS('Federal Data'!AC2:AC501,'Federal Data'!$F2:$F501,"Federal Reserve earnings")</f>
        <v>20477000</v>
      </c>
      <c r="T26" s="109">
        <f>SUMIFS('Federal Data'!AD2:AD501,'Federal Data'!$F2:$F501,"Federal Reserve earnings")</f>
        <v>19636000</v>
      </c>
      <c r="U26" s="109">
        <f>SUMIFS('Federal Data'!AE2:AE501,'Federal Data'!$F2:$F501,"Federal Reserve earnings")</f>
        <v>24540000</v>
      </c>
      <c r="V26" s="109">
        <f>SUMIFS('Federal Data'!AF2:AF501,'Federal Data'!$F2:$F501,"Federal Reserve earnings")</f>
        <v>25917000</v>
      </c>
      <c r="W26" s="109">
        <f>SUMIFS('Federal Data'!AG2:AG501,'Federal Data'!$F2:$F501,"Federal Reserve earnings")</f>
        <v>32293000</v>
      </c>
      <c r="X26" s="109">
        <f>SUMIFS('Federal Data'!AH2:AH501,'Federal Data'!$F2:$F501,"Federal Reserve earnings")</f>
        <v>26124000</v>
      </c>
      <c r="Y26" s="109">
        <f>SUMIFS('Federal Data'!AI2:AI501,'Federal Data'!$F2:$F501,"Federal Reserve earnings")</f>
        <v>23683000</v>
      </c>
      <c r="Z26" s="109">
        <f>SUMIFS('Federal Data'!AJ2:AJ501,'Federal Data'!$F2:$F501,"Federal Reserve earnings")</f>
        <v>21878000</v>
      </c>
      <c r="AA26" s="109">
        <f>SUMIFS('Federal Data'!AK2:AK501,'Federal Data'!$F2:$F501,"Federal Reserve earnings")</f>
        <v>19652000</v>
      </c>
      <c r="AB26" s="109">
        <f>SUMIFS('Federal Data'!AL2:AL501,'Federal Data'!$F2:$F501,"Federal Reserve earnings")</f>
        <v>19297000</v>
      </c>
      <c r="AC26" s="109">
        <f>SUMIFS('Federal Data'!AM2:AM501,'Federal Data'!$F2:$F501,"Federal Reserve earnings")</f>
        <v>29945000</v>
      </c>
      <c r="AD26" s="109">
        <f>SUMIFS('Federal Data'!AN2:AN501,'Federal Data'!$F2:$F501,"Federal Reserve earnings")</f>
        <v>32043000</v>
      </c>
      <c r="AE26" s="109">
        <f>SUMIFS('Federal Data'!AO2:AO501,'Federal Data'!$F2:$F501,"Federal Reserve earnings")</f>
        <v>33598000</v>
      </c>
      <c r="AF26" s="109">
        <f>SUMIFS('Federal Data'!AP2:AP501,'Federal Data'!$F2:$F501,"Federal Reserve earnings")</f>
        <v>34318000</v>
      </c>
      <c r="AG26" s="109">
        <f>SUMIFS('Federal Data'!AQ2:AQ501,'Federal Data'!$F2:$F501,"Federal Reserve earnings")</f>
        <v>75863000</v>
      </c>
      <c r="AH26" s="109">
        <f>SUMIFS('Federal Data'!AR2:AR501,'Federal Data'!$F2:$F501,"Federal Reserve earnings")</f>
        <v>82729000</v>
      </c>
      <c r="AI26" s="109">
        <f>SUMIFS('Federal Data'!AS2:AS501,'Federal Data'!$F2:$F501,"Federal Reserve earnings")</f>
        <v>82468000</v>
      </c>
      <c r="AJ26" s="109">
        <f>SUMIFS('Federal Data'!AT2:AT501,'Federal Data'!$F2:$F501,"Federal Reserve earnings")</f>
        <v>76320000</v>
      </c>
      <c r="AK26" s="109">
        <f>SUMIFS('Federal Data'!AU2:AU501,'Federal Data'!$F2:$F501,"Federal Reserve earnings")</f>
        <v>99875000</v>
      </c>
      <c r="AL26" s="109">
        <f>SUMIFS('Federal Data'!AV2:AV501,'Federal Data'!$F2:$F501,"Federal Reserve earnings")</f>
        <v>97046000</v>
      </c>
    </row>
    <row r="27" spans="1:38" outlineLevel="3">
      <c r="A27" s="22" t="str">
        <f>B21</f>
        <v>Non-Tax Revenue</v>
      </c>
      <c r="B27" s="27" t="s">
        <v>17</v>
      </c>
      <c r="C27" s="109">
        <f>SUMIFS('Federal Data'!M2:M501,'Federal Data'!$F2:$F501,"Other Non-Tax Revenue")</f>
        <v>980627</v>
      </c>
      <c r="D27" s="109">
        <f>SUMIFS('Federal Data'!N2:N501,'Federal Data'!$F2:$F501,"Other Non-Tax Revenue")</f>
        <v>955860</v>
      </c>
      <c r="E27" s="109">
        <f>SUMIFS('Federal Data'!O2:O501,'Federal Data'!$F2:$F501,"Other Non-Tax Revenue")</f>
        <v>975481</v>
      </c>
      <c r="F27" s="109">
        <f>SUMIFS('Federal Data'!P2:P501,'Federal Data'!$F2:$F501,"Other Non-Tax Revenue")</f>
        <v>1108320</v>
      </c>
      <c r="G27" s="109">
        <f>SUMIFS('Federal Data'!Q2:Q501,'Federal Data'!$F2:$F501,"Other Non-Tax Revenue")</f>
        <v>1111554</v>
      </c>
      <c r="H27" s="109">
        <f>SUMIFS('Federal Data'!R2:R501,'Federal Data'!$F2:$F501,"Other Non-Tax Revenue")</f>
        <v>1145524</v>
      </c>
      <c r="I27" s="109">
        <f>SUMIFS('Federal Data'!S2:S501,'Federal Data'!$F2:$F501,"Other Non-Tax Revenue")</f>
        <v>1292842</v>
      </c>
      <c r="J27" s="109">
        <f>SUMIFS('Federal Data'!T2:T501,'Federal Data'!$F2:$F501,"Other Non-Tax Revenue")</f>
        <v>2259446</v>
      </c>
      <c r="K27" s="109">
        <f>SUMIFS('Federal Data'!U2:U501,'Federal Data'!$F2:$F501,"Other Non-Tax Revenue")</f>
        <v>2545038</v>
      </c>
      <c r="L27" s="109">
        <f>SUMIFS('Federal Data'!V2:V501,'Federal Data'!$F2:$F501,"Other Non-Tax Revenue")</f>
        <v>3007266</v>
      </c>
      <c r="M27" s="109">
        <f>SUMIFS('Federal Data'!W2:W501,'Federal Data'!$F2:$F501,"Other Non-Tax Revenue")</f>
        <v>2882243</v>
      </c>
      <c r="N27" s="109">
        <f>SUMIFS('Federal Data'!X2:X501,'Federal Data'!$F2:$F501,"Other Non-Tax Revenue")</f>
        <v>3469595</v>
      </c>
      <c r="O27" s="109">
        <f>SUMIFS('Federal Data'!Y2:Y501,'Federal Data'!$F2:$F501,"Other Non-Tax Revenue")</f>
        <v>3346309</v>
      </c>
      <c r="P27" s="109">
        <f>SUMIFS('Federal Data'!Z2:Z501,'Federal Data'!$F2:$F501,"Other Non-Tax Revenue")</f>
        <v>3494349</v>
      </c>
      <c r="Q27" s="109">
        <f>SUMIFS('Federal Data'!AA2:AA501,'Federal Data'!$F2:$F501,"Other Non-Tax Revenue")</f>
        <v>4027415</v>
      </c>
      <c r="R27" s="109">
        <f>SUMIFS('Federal Data'!AB2:AB501,'Federal Data'!$F2:$F501,"Other Non-Tax Revenue")</f>
        <v>4088000</v>
      </c>
      <c r="S27" s="109">
        <f>SUMIFS('Federal Data'!AC2:AC501,'Federal Data'!$F2:$F501,"Other Non-Tax Revenue")</f>
        <v>3994000</v>
      </c>
      <c r="T27" s="109">
        <f>SUMIFS('Federal Data'!AD2:AD501,'Federal Data'!$F2:$F501,"Other Non-Tax Revenue")</f>
        <v>4627000</v>
      </c>
      <c r="U27" s="109">
        <f>SUMIFS('Federal Data'!AE2:AE501,'Federal Data'!$F2:$F501,"Other Non-Tax Revenue")</f>
        <v>5177000</v>
      </c>
      <c r="V27" s="109">
        <f>SUMIFS('Federal Data'!AF2:AF501,'Federal Data'!$F2:$F501,"Other Non-Tax Revenue")</f>
        <v>5162000</v>
      </c>
      <c r="W27" s="109">
        <f>SUMIFS('Federal Data'!AG2:AG501,'Federal Data'!$F2:$F501,"Other Non-Tax Revenue")</f>
        <v>5869000</v>
      </c>
      <c r="X27" s="109">
        <f>SUMIFS('Federal Data'!AH2:AH501,'Federal Data'!$F2:$F501,"Other Non-Tax Revenue")</f>
        <v>6200000</v>
      </c>
      <c r="Y27" s="109">
        <f>SUMIFS('Federal Data'!AI2:AI501,'Federal Data'!$F2:$F501,"Other Non-Tax Revenue")</f>
        <v>4701000</v>
      </c>
      <c r="Z27" s="109">
        <f>SUMIFS('Federal Data'!AJ2:AJ501,'Federal Data'!$F2:$F501,"Other Non-Tax Revenue")</f>
        <v>6838000</v>
      </c>
      <c r="AA27" s="109">
        <f>SUMIFS('Federal Data'!AK2:AK501,'Federal Data'!$F2:$F501,"Other Non-Tax Revenue")</f>
        <v>6321000</v>
      </c>
      <c r="AB27" s="109">
        <f>SUMIFS('Federal Data'!AL2:AL501,'Federal Data'!$F2:$F501,"Other Non-Tax Revenue")</f>
        <v>6106000</v>
      </c>
      <c r="AC27" s="109">
        <f>SUMIFS('Federal Data'!AM2:AM501,'Federal Data'!$F2:$F501,"Other Non-Tax Revenue")</f>
        <v>6910000</v>
      </c>
      <c r="AD27" s="109">
        <f>SUMIFS('Federal Data'!AN2:AN501,'Federal Data'!$F2:$F501,"Other Non-Tax Revenue")</f>
        <v>7891000</v>
      </c>
      <c r="AE27" s="109">
        <f>SUMIFS('Federal Data'!AO2:AO501,'Federal Data'!$F2:$F501,"Other Non-Tax Revenue")</f>
        <v>7904000</v>
      </c>
      <c r="AF27" s="109">
        <f>SUMIFS('Federal Data'!AP2:AP501,'Federal Data'!$F2:$F501,"Other Non-Tax Revenue")</f>
        <v>9398000</v>
      </c>
      <c r="AG27" s="109">
        <f>SUMIFS('Federal Data'!AQ2:AQ501,'Federal Data'!$F2:$F501,"Other Non-Tax Revenue")</f>
        <v>11902000</v>
      </c>
      <c r="AH27" s="109">
        <f>SUMIFS('Federal Data'!AR2:AR501,'Federal Data'!$F2:$F501,"Other Non-Tax Revenue")</f>
        <v>11266000</v>
      </c>
      <c r="AI27" s="109">
        <f>SUMIFS('Federal Data'!AS2:AS501,'Federal Data'!$F2:$F501,"Other Non-Tax Revenue")</f>
        <v>14249000</v>
      </c>
      <c r="AJ27" s="109">
        <f>SUMIFS('Federal Data'!AT2:AT501,'Federal Data'!$F2:$F501,"Other Non-Tax Revenue")</f>
        <v>16255000</v>
      </c>
      <c r="AK27" s="109">
        <f>SUMIFS('Federal Data'!AU2:AU501,'Federal Data'!$F2:$F501,"Other Non-Tax Revenue")</f>
        <v>26312000</v>
      </c>
      <c r="AL27" s="109">
        <f>SUMIFS('Federal Data'!AV2:AV501,'Federal Data'!$F2:$F501,"Other Non-Tax Revenue")</f>
        <v>40786000</v>
      </c>
    </row>
    <row r="28" spans="1:38" outlineLevel="2">
      <c r="B28" s="22" t="s">
        <v>503</v>
      </c>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row>
    <row r="29" spans="1:38">
      <c r="A29" s="22" t="str">
        <f>B28</f>
        <v>Spending By Mission</v>
      </c>
      <c r="B29" s="25" t="s">
        <v>504</v>
      </c>
      <c r="C29" s="111">
        <f>SUMIFS('Federal Data'!M2:M501,'Federal Data'!$C2:$C501,"Spending")</f>
        <v>592776596</v>
      </c>
      <c r="D29" s="111">
        <f>SUMIFS('Federal Data'!N2:N501,'Federal Data'!$C2:$C501,"Spending")</f>
        <v>686156141</v>
      </c>
      <c r="E29" s="111">
        <f>SUMIFS('Federal Data'!O2:O501,'Federal Data'!$C2:$C501,"Spending")</f>
        <v>749859637</v>
      </c>
      <c r="F29" s="111">
        <f>SUMIFS('Federal Data'!P2:P501,'Federal Data'!$C2:$C501,"Spending")</f>
        <v>817506768</v>
      </c>
      <c r="G29" s="111">
        <f>SUMIFS('Federal Data'!Q2:Q501,'Federal Data'!$C2:$C501,"Spending")</f>
        <v>857437758</v>
      </c>
      <c r="H29" s="111">
        <f>SUMIFS('Federal Data'!R2:R501,'Federal Data'!$C2:$C501,"Spending")</f>
        <v>951426993</v>
      </c>
      <c r="I29" s="111">
        <f>SUMIFS('Federal Data'!S2:S501,'Federal Data'!$C2:$C501,"Spending")</f>
        <v>995109127</v>
      </c>
      <c r="J29" s="111">
        <f>SUMIFS('Federal Data'!T2:T501,'Federal Data'!$C2:$C501,"Spending")</f>
        <v>1010483282</v>
      </c>
      <c r="K29" s="111">
        <f>SUMIFS('Federal Data'!U2:U501,'Federal Data'!$C2:$C501,"Spending")</f>
        <v>1069396532</v>
      </c>
      <c r="L29" s="111">
        <f>SUMIFS('Federal Data'!V2:V501,'Federal Data'!$C2:$C501,"Spending")</f>
        <v>1148813278</v>
      </c>
      <c r="M29" s="111">
        <f>SUMIFS('Federal Data'!W2:W501,'Federal Data'!$C2:$C501,"Spending")</f>
        <v>1258906091</v>
      </c>
      <c r="N29" s="111">
        <f>SUMIFS('Federal Data'!X2:X501,'Federal Data'!$C2:$C501,"Spending")</f>
        <v>1330674210</v>
      </c>
      <c r="O29" s="111">
        <f>SUMIFS('Federal Data'!Y2:Y501,'Federal Data'!$C2:$C501,"Spending")</f>
        <v>1387960688</v>
      </c>
      <c r="P29" s="111">
        <f>SUMIFS('Federal Data'!Z2:Z501,'Federal Data'!$C2:$C501,"Spending")</f>
        <v>1416699862</v>
      </c>
      <c r="Q29" s="111">
        <f>SUMIFS('Federal Data'!AA2:AA501,'Federal Data'!$C2:$C501,"Spending")</f>
        <v>1469291048</v>
      </c>
      <c r="R29" s="111">
        <f>SUMIFS('Federal Data'!AB2:AB501,'Federal Data'!$C2:$C501,"Spending")</f>
        <v>1530442000</v>
      </c>
      <c r="S29" s="111">
        <f>SUMIFS('Federal Data'!AC2:AC501,'Federal Data'!$C2:$C501,"Spending")</f>
        <v>1568974000</v>
      </c>
      <c r="T29" s="111">
        <f>SUMIFS('Federal Data'!AD2:AD501,'Federal Data'!$C2:$C501,"Spending")</f>
        <v>1621595000</v>
      </c>
      <c r="U29" s="111">
        <f>SUMIFS('Federal Data'!AE2:AE501,'Federal Data'!$C2:$C501,"Spending")</f>
        <v>1670157000</v>
      </c>
      <c r="V29" s="111">
        <f>SUMIFS('Federal Data'!AF2:AF501,'Federal Data'!$C2:$C501,"Spending")</f>
        <v>1712249000</v>
      </c>
      <c r="W29" s="111">
        <f>SUMIFS('Federal Data'!AG2:AG501,'Federal Data'!$C2:$C501,"Spending")</f>
        <v>1799572000</v>
      </c>
      <c r="X29" s="111">
        <f>SUMIFS('Federal Data'!AH2:AH501,'Federal Data'!$C2:$C501,"Spending")</f>
        <v>1877386000</v>
      </c>
      <c r="Y29" s="111">
        <f>SUMIFS('Federal Data'!AI2:AI501,'Federal Data'!$C2:$C501,"Spending")</f>
        <v>2023564000</v>
      </c>
      <c r="Z29" s="111">
        <f>SUMIFS('Federal Data'!AJ2:AJ501,'Federal Data'!$C2:$C501,"Spending")</f>
        <v>2173574000</v>
      </c>
      <c r="AA29" s="111">
        <f>SUMIFS('Federal Data'!AK2:AK501,'Federal Data'!$C2:$C501,"Spending")</f>
        <v>2307948000</v>
      </c>
      <c r="AB29" s="111">
        <f>SUMIFS('Federal Data'!AL2:AL501,'Federal Data'!$C2:$C501,"Spending")</f>
        <v>2488820000</v>
      </c>
      <c r="AC29" s="111">
        <f>SUMIFS('Federal Data'!AM2:AM501,'Federal Data'!$C2:$C501,"Spending")</f>
        <v>2673943000</v>
      </c>
      <c r="AD29" s="111">
        <f>SUMIFS('Federal Data'!AN2:AN501,'Federal Data'!$C2:$C501,"Spending")</f>
        <v>2761484000</v>
      </c>
      <c r="AE29" s="111">
        <f>SUMIFS('Federal Data'!AO2:AO501,'Federal Data'!$C2:$C501,"Spending")</f>
        <v>3016008000</v>
      </c>
      <c r="AF29" s="111">
        <f>SUMIFS('Federal Data'!AP2:AP501,'Federal Data'!$C2:$C501,"Spending")</f>
        <v>3554747000</v>
      </c>
      <c r="AG29" s="111">
        <f>SUMIFS('Federal Data'!AQ2:AQ501,'Federal Data'!$C2:$C501,"Spending")</f>
        <v>3478268000</v>
      </c>
      <c r="AH29" s="111">
        <f>SUMIFS('Federal Data'!AR2:AR501,'Federal Data'!$C2:$C501,"Spending")</f>
        <v>3628341000</v>
      </c>
      <c r="AI29" s="111">
        <f>SUMIFS('Federal Data'!AS2:AS501,'Federal Data'!$C2:$C501,"Spending")</f>
        <v>3573880000</v>
      </c>
      <c r="AJ29" s="111">
        <f>SUMIFS('Federal Data'!AT2:AT501,'Federal Data'!$C2:$C501,"Spending")</f>
        <v>3484044000</v>
      </c>
      <c r="AK29" s="111">
        <f>SUMIFS('Federal Data'!AU2:AU501,'Federal Data'!$C2:$C501,"Spending")</f>
        <v>3532124000</v>
      </c>
      <c r="AL29" s="111">
        <f>SUMIFS('Federal Data'!AV2:AV501,'Federal Data'!$C2:$C501,"Spending")</f>
        <v>3740179000</v>
      </c>
    </row>
    <row r="30" spans="1:38">
      <c r="B30" s="30" t="s">
        <v>109</v>
      </c>
      <c r="C30" s="113">
        <f>SUMIFS('Federal Data'!M2:M501,'Federal Data'!$C2:$C501,"Spending",'Federal Data'!$D2:$D501,"Nongrant")</f>
        <v>505110126</v>
      </c>
      <c r="D30" s="113">
        <f>SUMIFS('Federal Data'!N2:N501,'Federal Data'!$C2:$C501,"Spending",'Federal Data'!$D2:$D501,"Nongrant")</f>
        <v>595436876</v>
      </c>
      <c r="E30" s="113">
        <f>SUMIFS('Federal Data'!O2:O501,'Federal Data'!$C2:$C501,"Spending",'Federal Data'!$D2:$D501,"Nongrant")</f>
        <v>665937011</v>
      </c>
      <c r="F30" s="113">
        <f>SUMIFS('Federal Data'!P2:P501,'Federal Data'!$C2:$C501,"Spending",'Federal Data'!$D2:$D501,"Nongrant")</f>
        <v>729487828</v>
      </c>
      <c r="G30" s="113">
        <f>SUMIFS('Federal Data'!Q2:Q501,'Federal Data'!$C2:$C501,"Spending",'Federal Data'!$D2:$D501,"Nongrant")</f>
        <v>764465521</v>
      </c>
      <c r="H30" s="113">
        <f>SUMIFS('Federal Data'!R2:R501,'Federal Data'!$C2:$C501,"Spending",'Federal Data'!$D2:$D501,"Nongrant")</f>
        <v>850333972</v>
      </c>
      <c r="I30" s="113">
        <f>SUMIFS('Federal Data'!S2:S501,'Federal Data'!$C2:$C501,"Spending",'Federal Data'!$D2:$D501,"Nongrant")</f>
        <v>887519834</v>
      </c>
      <c r="J30" s="113">
        <f>SUMIFS('Federal Data'!T2:T501,'Federal Data'!$C2:$C501,"Spending",'Federal Data'!$D2:$D501,"Nongrant")</f>
        <v>906798403</v>
      </c>
      <c r="K30" s="113">
        <f>SUMIFS('Federal Data'!U2:U501,'Federal Data'!$C2:$C501,"Spending",'Federal Data'!$D2:$D501,"Nongrant")</f>
        <v>958713420</v>
      </c>
      <c r="L30" s="113">
        <f>SUMIFS('Federal Data'!V2:V501,'Federal Data'!$C2:$C501,"Spending",'Federal Data'!$D2:$D501,"Nongrant")</f>
        <v>1031431193</v>
      </c>
      <c r="M30" s="113">
        <f>SUMIFS('Federal Data'!W2:W501,'Federal Data'!$C2:$C501,"Spending",'Federal Data'!$D2:$D501,"Nongrant")</f>
        <v>1128102716</v>
      </c>
      <c r="N30" s="113">
        <f>SUMIFS('Federal Data'!X2:X501,'Federal Data'!$C2:$C501,"Spending",'Federal Data'!$D2:$D501,"Nongrant")</f>
        <v>1180723140</v>
      </c>
      <c r="O30" s="113">
        <f>SUMIFS('Federal Data'!Y2:Y501,'Federal Data'!$C2:$C501,"Spending",'Federal Data'!$D2:$D501,"Nongrant")</f>
        <v>1214683364</v>
      </c>
      <c r="P30" s="113">
        <f>SUMIFS('Federal Data'!Z2:Z501,'Federal Data'!$C2:$C501,"Spending",'Federal Data'!$D2:$D501,"Nongrant")</f>
        <v>1227892340</v>
      </c>
      <c r="Q30" s="113">
        <f>SUMIFS('Federal Data'!AA2:AA501,'Federal Data'!$C2:$C501,"Spending",'Federal Data'!$D2:$D501,"Nongrant")</f>
        <v>1263355815</v>
      </c>
      <c r="R30" s="113">
        <f>SUMIFS('Federal Data'!AB2:AB501,'Federal Data'!$C2:$C501,"Spending",'Federal Data'!$D2:$D501,"Nongrant")</f>
        <v>1310001000</v>
      </c>
      <c r="S30" s="113">
        <f>SUMIFS('Federal Data'!AC2:AC501,'Federal Data'!$C2:$C501,"Spending",'Federal Data'!$D2:$D501,"Nongrant")</f>
        <v>1345632000</v>
      </c>
      <c r="T30" s="113">
        <f>SUMIFS('Federal Data'!AD2:AD501,'Federal Data'!$C2:$C501,"Spending",'Federal Data'!$D2:$D501,"Nongrant")</f>
        <v>1391853000</v>
      </c>
      <c r="U30" s="113">
        <f>SUMIFS('Federal Data'!AE2:AE501,'Federal Data'!$C2:$C501,"Spending",'Federal Data'!$D2:$D501,"Nongrant")</f>
        <v>1428362000</v>
      </c>
      <c r="V30" s="113">
        <f>SUMIFS('Federal Data'!AF2:AF501,'Federal Data'!$C2:$C501,"Spending",'Federal Data'!$D2:$D501,"Nongrant")</f>
        <v>1448836000</v>
      </c>
      <c r="W30" s="113">
        <f>SUMIFS('Federal Data'!AG2:AG501,'Federal Data'!$C2:$C501,"Spending",'Federal Data'!$D2:$D501,"Nongrant")</f>
        <v>1518459000</v>
      </c>
      <c r="X30" s="113">
        <f>SUMIFS('Federal Data'!AH2:AH501,'Federal Data'!$C2:$C501,"Spending",'Federal Data'!$D2:$D501,"Nongrant")</f>
        <v>1563557000</v>
      </c>
      <c r="Y30" s="113">
        <f>SUMIFS('Federal Data'!AI2:AI501,'Federal Data'!$C2:$C501,"Spending",'Federal Data'!$D2:$D501,"Nongrant")</f>
        <v>1675263000</v>
      </c>
      <c r="Z30" s="113">
        <f>SUMIFS('Federal Data'!AJ2:AJ501,'Federal Data'!$C2:$C501,"Spending",'Federal Data'!$D2:$D501,"Nongrant")</f>
        <v>1789663000</v>
      </c>
      <c r="AA30" s="113">
        <f>SUMIFS('Federal Data'!AK2:AK501,'Federal Data'!$C2:$C501,"Spending",'Federal Data'!$D2:$D501,"Nongrant")</f>
        <v>1905030000</v>
      </c>
      <c r="AB30" s="113">
        <f>SUMIFS('Federal Data'!AL2:AL501,'Federal Data'!$C2:$C501,"Spending",'Federal Data'!$D2:$D501,"Nongrant")</f>
        <v>2065261000</v>
      </c>
      <c r="AC30" s="113">
        <f>SUMIFS('Federal Data'!AM2:AM501,'Federal Data'!$C2:$C501,"Spending",'Federal Data'!$D2:$D501,"Nongrant")</f>
        <v>2244202000</v>
      </c>
      <c r="AD30" s="113">
        <f>SUMIFS('Federal Data'!AN2:AN501,'Federal Data'!$C2:$C501,"Spending",'Federal Data'!$D2:$D501,"Nongrant")</f>
        <v>2321945000</v>
      </c>
      <c r="AE30" s="113">
        <f>SUMIFS('Federal Data'!AO2:AO501,'Federal Data'!$C2:$C501,"Spending",'Federal Data'!$D2:$D501,"Nongrant")</f>
        <v>2558860000</v>
      </c>
      <c r="AF30" s="113">
        <f>SUMIFS('Federal Data'!AP2:AP501,'Federal Data'!$C2:$C501,"Spending",'Federal Data'!$D2:$D501,"Nongrant")</f>
        <v>3020899000</v>
      </c>
      <c r="AG30" s="113">
        <f>SUMIFS('Federal Data'!AQ2:AQ501,'Federal Data'!$C2:$C501,"Spending",'Federal Data'!$D2:$D501,"Nongrant")</f>
        <v>2873975000</v>
      </c>
      <c r="AH30" s="113">
        <f>SUMIFS('Federal Data'!AR2:AR501,'Federal Data'!$C2:$C501,"Spending",'Federal Data'!$D2:$D501,"Nongrant")</f>
        <v>3025610000</v>
      </c>
      <c r="AI30" s="113">
        <f>SUMIFS('Federal Data'!AS2:AS501,'Federal Data'!$C2:$C501,"Spending",'Federal Data'!$D2:$D501,"Nongrant")</f>
        <v>3033051000</v>
      </c>
      <c r="AJ30" s="113">
        <f>SUMIFS('Federal Data'!AT2:AT501,'Federal Data'!$C2:$C501,"Spending",'Federal Data'!$D2:$D501,"Nongrant")</f>
        <v>2941437000</v>
      </c>
      <c r="AK30" s="113">
        <f>SUMIFS('Federal Data'!AU2:AU501,'Federal Data'!$C2:$C501,"Spending",'Federal Data'!$D2:$D501,"Nongrant")</f>
        <v>2958629000</v>
      </c>
      <c r="AL30" s="113">
        <f>SUMIFS('Federal Data'!AV2:AV501,'Federal Data'!$C2:$C501,"Spending",'Federal Data'!$D2:$D501,"Nongrant")</f>
        <v>3119477000</v>
      </c>
    </row>
    <row r="31" spans="1:38" outlineLevel="1">
      <c r="A31" s="22" t="str">
        <f>B28</f>
        <v>Spending By Mission</v>
      </c>
      <c r="B31" s="45" t="s">
        <v>325</v>
      </c>
      <c r="C31" s="117">
        <f>SUMIFS('Federal Data'!M2:M501,'Federal Data'!$E2:$E501,"Establish Justice",'Federal Data'!$D2:$D501,"Nongrant")</f>
        <v>6917101</v>
      </c>
      <c r="D31" s="117">
        <f>SUMIFS('Federal Data'!N2:N501,'Federal Data'!$E2:$E501,"Establish Justice",'Federal Data'!$D2:$D501,"Nongrant")</f>
        <v>7133368</v>
      </c>
      <c r="E31" s="117">
        <f>SUMIFS('Federal Data'!O2:O501,'Federal Data'!$E2:$E501,"Establish Justice",'Federal Data'!$D2:$D501,"Nongrant")</f>
        <v>5496214</v>
      </c>
      <c r="F31" s="117">
        <f>SUMIFS('Federal Data'!P2:P501,'Federal Data'!$E2:$E501,"Establish Justice",'Federal Data'!$D2:$D501,"Nongrant")</f>
        <v>5964405</v>
      </c>
      <c r="G31" s="117">
        <f>SUMIFS('Federal Data'!Q2:Q501,'Federal Data'!$E2:$E501,"Establish Justice",'Federal Data'!$D2:$D501,"Nongrant")</f>
        <v>6680784</v>
      </c>
      <c r="H31" s="117">
        <f>SUMIFS('Federal Data'!R2:R501,'Federal Data'!$E2:$E501,"Establish Justice",'Federal Data'!$D2:$D501,"Nongrant")</f>
        <v>7138859</v>
      </c>
      <c r="I31" s="117">
        <f>SUMIFS('Federal Data'!S2:S501,'Federal Data'!$E2:$E501,"Establish Justice",'Federal Data'!$D2:$D501,"Nongrant")</f>
        <v>7661165</v>
      </c>
      <c r="J31" s="117">
        <f>SUMIFS('Federal Data'!T2:T501,'Federal Data'!$E2:$E501,"Establish Justice",'Federal Data'!$D2:$D501,"Nongrant")</f>
        <v>7825617</v>
      </c>
      <c r="K31" s="117">
        <f>SUMIFS('Federal Data'!U2:U501,'Federal Data'!$E2:$E501,"Establish Justice",'Federal Data'!$D2:$D501,"Nongrant")</f>
        <v>8969668</v>
      </c>
      <c r="L31" s="117">
        <f>SUMIFS('Federal Data'!V2:V501,'Federal Data'!$E2:$E501,"Establish Justice",'Federal Data'!$D2:$D501,"Nongrant")</f>
        <v>10121750</v>
      </c>
      <c r="M31" s="117">
        <f>SUMIFS('Federal Data'!W2:W501,'Federal Data'!$E2:$E501,"Establish Justice",'Federal Data'!$D2:$D501,"Nongrant")</f>
        <v>12314347</v>
      </c>
      <c r="N31" s="117">
        <f>SUMIFS('Federal Data'!X2:X501,'Federal Data'!$E2:$E501,"Establish Justice",'Federal Data'!$D2:$D501,"Nongrant")</f>
        <v>12960174</v>
      </c>
      <c r="O31" s="117">
        <f>SUMIFS('Federal Data'!Y2:Y501,'Federal Data'!$E2:$E501,"Establish Justice",'Federal Data'!$D2:$D501,"Nongrant")</f>
        <v>15299353</v>
      </c>
      <c r="P31" s="117">
        <f>SUMIFS('Federal Data'!Z2:Z501,'Federal Data'!$E2:$E501,"Establish Justice",'Federal Data'!$D2:$D501,"Nongrant")</f>
        <v>16379501</v>
      </c>
      <c r="Q31" s="117">
        <f>SUMIFS('Federal Data'!AA2:AA501,'Federal Data'!$E2:$E501,"Establish Justice",'Federal Data'!$D2:$D501,"Nongrant")</f>
        <v>16901362</v>
      </c>
      <c r="R31" s="117">
        <f>SUMIFS('Federal Data'!AB2:AB501,'Federal Data'!$E2:$E501,"Establish Justice",'Federal Data'!$D2:$D501,"Nongrant")</f>
        <v>18731000</v>
      </c>
      <c r="S31" s="117">
        <f>SUMIFS('Federal Data'!AC2:AC501,'Federal Data'!$E2:$E501,"Establish Justice",'Federal Data'!$D2:$D501,"Nongrant")</f>
        <v>18874000</v>
      </c>
      <c r="T31" s="117">
        <f>SUMIFS('Federal Data'!AD2:AD501,'Federal Data'!$E2:$E501,"Establish Justice",'Federal Data'!$D2:$D501,"Nongrant")</f>
        <v>19879000</v>
      </c>
      <c r="U31" s="117">
        <f>SUMIFS('Federal Data'!AE2:AE501,'Federal Data'!$E2:$E501,"Establish Justice",'Federal Data'!$D2:$D501,"Nongrant")</f>
        <v>19182000</v>
      </c>
      <c r="V31" s="117">
        <f>SUMIFS('Federal Data'!AF2:AF501,'Federal Data'!$E2:$E501,"Establish Justice",'Federal Data'!$D2:$D501,"Nongrant")</f>
        <v>21849000</v>
      </c>
      <c r="W31" s="117">
        <f>SUMIFS('Federal Data'!AG2:AG501,'Federal Data'!$E2:$E501,"Establish Justice",'Federal Data'!$D2:$D501,"Nongrant")</f>
        <v>22426000</v>
      </c>
      <c r="X31" s="117">
        <f>SUMIFS('Federal Data'!AH2:AH501,'Federal Data'!$E2:$E501,"Establish Justice",'Federal Data'!$D2:$D501,"Nongrant")</f>
        <v>23323000</v>
      </c>
      <c r="Y31" s="117">
        <f>SUMIFS('Federal Data'!AI2:AI501,'Federal Data'!$E2:$E501,"Establish Justice",'Federal Data'!$D2:$D501,"Nongrant")</f>
        <v>27607000</v>
      </c>
      <c r="Z31" s="117">
        <f>SUMIFS('Federal Data'!AJ2:AJ501,'Federal Data'!$E2:$E501,"Establish Justice",'Federal Data'!$D2:$D501,"Nongrant")</f>
        <v>30956000</v>
      </c>
      <c r="AA31" s="117">
        <f>SUMIFS('Federal Data'!AK2:AK501,'Federal Data'!$E2:$E501,"Establish Justice",'Federal Data'!$D2:$D501,"Nongrant")</f>
        <v>38981000</v>
      </c>
      <c r="AB31" s="117">
        <f>SUMIFS('Federal Data'!AL2:AL501,'Federal Data'!$E2:$E501,"Establish Justice",'Federal Data'!$D2:$D501,"Nongrant")</f>
        <v>35611000</v>
      </c>
      <c r="AC31" s="117">
        <f>SUMIFS('Federal Data'!AM2:AM501,'Federal Data'!$E2:$E501,"Establish Justice",'Federal Data'!$D2:$D501,"Nongrant")</f>
        <v>63171000</v>
      </c>
      <c r="AD31" s="117">
        <f>SUMIFS('Federal Data'!AN2:AN501,'Federal Data'!$E2:$E501,"Establish Justice",'Federal Data'!$D2:$D501,"Nongrant")</f>
        <v>40284000</v>
      </c>
      <c r="AE31" s="117">
        <f>SUMIFS('Federal Data'!AO2:AO501,'Federal Data'!$E2:$E501,"Establish Justice",'Federal Data'!$D2:$D501,"Nongrant")</f>
        <v>39622000</v>
      </c>
      <c r="AF31" s="117">
        <f>SUMIFS('Federal Data'!AP2:AP501,'Federal Data'!$E2:$E501,"Establish Justice",'Federal Data'!$D2:$D501,"Nongrant")</f>
        <v>46407000</v>
      </c>
      <c r="AG31" s="117">
        <f>SUMIFS('Federal Data'!AQ2:AQ501,'Federal Data'!$E2:$E501,"Establish Justice",'Federal Data'!$D2:$D501,"Nongrant")</f>
        <v>44311000</v>
      </c>
      <c r="AH31" s="117">
        <f>SUMIFS('Federal Data'!AR2:AR501,'Federal Data'!$E2:$E501,"Establish Justice",'Federal Data'!$D2:$D501,"Nongrant")</f>
        <v>43183000</v>
      </c>
      <c r="AI31" s="117">
        <f>SUMIFS('Federal Data'!AS2:AS501,'Federal Data'!$E2:$E501,"Establish Justice",'Federal Data'!$D2:$D501,"Nongrant")</f>
        <v>45163000</v>
      </c>
      <c r="AJ31" s="117">
        <f>SUMIFS('Federal Data'!AT2:AT501,'Federal Data'!$E2:$E501,"Establish Justice",'Federal Data'!$D2:$D501,"Nongrant")</f>
        <v>55174000</v>
      </c>
      <c r="AK31" s="117">
        <f>SUMIFS('Federal Data'!AU2:AU501,'Federal Data'!$E2:$E501,"Establish Justice",'Federal Data'!$D2:$D501,"Nongrant")</f>
        <v>43978000</v>
      </c>
      <c r="AL31" s="117">
        <f>SUMIFS('Federal Data'!AV2:AV501,'Federal Data'!$E2:$E501,"Establish Justice",'Federal Data'!$D2:$D501,"Nongrant")</f>
        <v>44636000</v>
      </c>
    </row>
    <row r="32" spans="1:38" outlineLevel="2">
      <c r="A32" s="22" t="str">
        <f>B31</f>
        <v>Establish Justice and Ensure Domestic Tranquility</v>
      </c>
      <c r="B32" s="28" t="s">
        <v>28</v>
      </c>
      <c r="C32" s="113">
        <f>SUMIFS('Federal Data'!M2:M501,'Federal Data'!$F2:$F501,"Crime and Disaster",'Federal Data'!$D2:$D501,"Nongrant")</f>
        <v>4958436</v>
      </c>
      <c r="D32" s="113">
        <f>SUMIFS('Federal Data'!N2:N501,'Federal Data'!$F2:$F501,"Crime and Disaster",'Federal Data'!$D2:$D501,"Nongrant")</f>
        <v>5026744</v>
      </c>
      <c r="E32" s="113">
        <f>SUMIFS('Federal Data'!O2:O501,'Federal Data'!$F2:$F501,"Crime and Disaster",'Federal Data'!$D2:$D501,"Nongrant")</f>
        <v>3432551</v>
      </c>
      <c r="F32" s="113">
        <f>SUMIFS('Federal Data'!P2:P501,'Federal Data'!$F2:$F501,"Crime and Disaster",'Federal Data'!$D2:$D501,"Nongrant")</f>
        <v>3823995</v>
      </c>
      <c r="G32" s="113">
        <f>SUMIFS('Federal Data'!Q2:Q501,'Federal Data'!$F2:$F501,"Crime and Disaster",'Federal Data'!$D2:$D501,"Nongrant")</f>
        <v>4435764</v>
      </c>
      <c r="H32" s="113">
        <f>SUMIFS('Federal Data'!R2:R501,'Federal Data'!$F2:$F501,"Crime and Disaster",'Federal Data'!$D2:$D501,"Nongrant")</f>
        <v>4819522</v>
      </c>
      <c r="I32" s="113">
        <f>SUMIFS('Federal Data'!S2:S501,'Federal Data'!$F2:$F501,"Crime and Disaster",'Federal Data'!$D2:$D501,"Nongrant")</f>
        <v>5317853</v>
      </c>
      <c r="J32" s="113">
        <f>SUMIFS('Federal Data'!T2:T501,'Federal Data'!$F2:$F501,"Crime and Disaster",'Federal Data'!$D2:$D501,"Nongrant")</f>
        <v>5288909</v>
      </c>
      <c r="K32" s="113">
        <f>SUMIFS('Federal Data'!U2:U501,'Federal Data'!$F2:$F501,"Crime and Disaster",'Federal Data'!$D2:$D501,"Nongrant")</f>
        <v>6300984</v>
      </c>
      <c r="L32" s="113">
        <f>SUMIFS('Federal Data'!V2:V501,'Federal Data'!$F2:$F501,"Crime and Disaster",'Federal Data'!$D2:$D501,"Nongrant")</f>
        <v>7074842</v>
      </c>
      <c r="M32" s="113">
        <f>SUMIFS('Federal Data'!W2:W501,'Federal Data'!$F2:$F501,"Crime and Disaster",'Federal Data'!$D2:$D501,"Nongrant")</f>
        <v>9162348</v>
      </c>
      <c r="N32" s="113">
        <f>SUMIFS('Federal Data'!X2:X501,'Federal Data'!$F2:$F501,"Crime and Disaster",'Federal Data'!$D2:$D501,"Nongrant")</f>
        <v>9830138</v>
      </c>
      <c r="O32" s="113">
        <f>SUMIFS('Federal Data'!Y2:Y501,'Federal Data'!$F2:$F501,"Crime and Disaster",'Federal Data'!$D2:$D501,"Nongrant")</f>
        <v>11964359</v>
      </c>
      <c r="P32" s="113">
        <f>SUMIFS('Federal Data'!Z2:Z501,'Federal Data'!$F2:$F501,"Crime and Disaster",'Federal Data'!$D2:$D501,"Nongrant")</f>
        <v>13283307</v>
      </c>
      <c r="Q32" s="113">
        <f>SUMIFS('Federal Data'!AA2:AA501,'Federal Data'!$F2:$F501,"Crime and Disaster",'Federal Data'!$D2:$D501,"Nongrant")</f>
        <v>13520188</v>
      </c>
      <c r="R32" s="113">
        <f>SUMIFS('Federal Data'!AB2:AB501,'Federal Data'!$F2:$F501,"Crime and Disaster",'Federal Data'!$D2:$D501,"Nongrant")</f>
        <v>15128000</v>
      </c>
      <c r="S32" s="113">
        <f>SUMIFS('Federal Data'!AC2:AC501,'Federal Data'!$F2:$F501,"Crime and Disaster",'Federal Data'!$D2:$D501,"Nongrant")</f>
        <v>15629000</v>
      </c>
      <c r="T32" s="113">
        <f>SUMIFS('Federal Data'!AD2:AD501,'Federal Data'!$F2:$F501,"Crime and Disaster",'Federal Data'!$D2:$D501,"Nongrant")</f>
        <v>16652000</v>
      </c>
      <c r="U32" s="113">
        <f>SUMIFS('Federal Data'!AE2:AE501,'Federal Data'!$F2:$F501,"Crime and Disaster",'Federal Data'!$D2:$D501,"Nongrant")</f>
        <v>16712000</v>
      </c>
      <c r="V32" s="113">
        <f>SUMIFS('Federal Data'!AF2:AF501,'Federal Data'!$F2:$F501,"Crime and Disaster",'Federal Data'!$D2:$D501,"Nongrant")</f>
        <v>19147000</v>
      </c>
      <c r="W32" s="113">
        <f>SUMIFS('Federal Data'!AG2:AG501,'Federal Data'!$F2:$F501,"Crime and Disaster",'Federal Data'!$D2:$D501,"Nongrant")</f>
        <v>19505000</v>
      </c>
      <c r="X32" s="113">
        <f>SUMIFS('Federal Data'!AH2:AH501,'Federal Data'!$F2:$F501,"Crime and Disaster",'Federal Data'!$D2:$D501,"Nongrant")</f>
        <v>20441000</v>
      </c>
      <c r="Y32" s="113">
        <f>SUMIFS('Federal Data'!AI2:AI501,'Federal Data'!$F2:$F501,"Crime and Disaster",'Federal Data'!$D2:$D501,"Nongrant")</f>
        <v>24503000</v>
      </c>
      <c r="Z32" s="113">
        <f>SUMIFS('Federal Data'!AJ2:AJ501,'Federal Data'!$F2:$F501,"Crime and Disaster",'Federal Data'!$D2:$D501,"Nongrant")</f>
        <v>27451000</v>
      </c>
      <c r="AA32" s="113">
        <f>SUMIFS('Federal Data'!AK2:AK501,'Federal Data'!$F2:$F501,"Crime and Disaster",'Federal Data'!$D2:$D501,"Nongrant")</f>
        <v>35440000</v>
      </c>
      <c r="AB32" s="113">
        <f>SUMIFS('Federal Data'!AL2:AL501,'Federal Data'!$F2:$F501,"Crime and Disaster",'Federal Data'!$D2:$D501,"Nongrant")</f>
        <v>32381000</v>
      </c>
      <c r="AC32" s="113">
        <f>SUMIFS('Federal Data'!AM2:AM501,'Federal Data'!$F2:$F501,"Crime and Disaster",'Federal Data'!$D2:$D501,"Nongrant")</f>
        <v>59723000</v>
      </c>
      <c r="AD32" s="113">
        <f>SUMIFS('Federal Data'!AN2:AN501,'Federal Data'!$F2:$F501,"Crime and Disaster",'Federal Data'!$D2:$D501,"Nongrant")</f>
        <v>36048000</v>
      </c>
      <c r="AE32" s="113">
        <f>SUMIFS('Federal Data'!AO2:AO501,'Federal Data'!$F2:$F501,"Crime and Disaster",'Federal Data'!$D2:$D501,"Nongrant")</f>
        <v>35166000</v>
      </c>
      <c r="AF32" s="113">
        <f>SUMIFS('Federal Data'!AP2:AP501,'Federal Data'!$F2:$F501,"Crime and Disaster",'Federal Data'!$D2:$D501,"Nongrant")</f>
        <v>40114000</v>
      </c>
      <c r="AG32" s="113">
        <f>SUMIFS('Federal Data'!AQ2:AQ501,'Federal Data'!$F2:$F501,"Crime and Disaster",'Federal Data'!$D2:$D501,"Nongrant")</f>
        <v>37191000</v>
      </c>
      <c r="AH32" s="113">
        <f>SUMIFS('Federal Data'!AR2:AR501,'Federal Data'!$F2:$F501,"Crime and Disaster",'Federal Data'!$D2:$D501,"Nongrant")</f>
        <v>37297000</v>
      </c>
      <c r="AI32" s="113">
        <f>SUMIFS('Federal Data'!AS2:AS501,'Federal Data'!$F2:$F501,"Crime and Disaster",'Federal Data'!$D2:$D501,"Nongrant")</f>
        <v>38800000</v>
      </c>
      <c r="AJ32" s="113">
        <f>SUMIFS('Federal Data'!AT2:AT501,'Federal Data'!$F2:$F501,"Crime and Disaster",'Federal Data'!$D2:$D501,"Nongrant")</f>
        <v>49411000</v>
      </c>
      <c r="AK32" s="113">
        <f>SUMIFS('Federal Data'!AU2:AU501,'Federal Data'!$F2:$F501,"Crime and Disaster",'Federal Data'!$D2:$D501,"Nongrant")</f>
        <v>37801000</v>
      </c>
      <c r="AL32" s="113">
        <f>SUMIFS('Federal Data'!AV2:AV501,'Federal Data'!$F2:$F501,"Crime and Disaster",'Federal Data'!$D2:$D501,"Nongrant")</f>
        <v>37499000</v>
      </c>
    </row>
    <row r="33" spans="1:38" outlineLevel="3">
      <c r="A33" s="22" t="str">
        <f>B32</f>
        <v>Crime and Disaster</v>
      </c>
      <c r="B33" s="29" t="s">
        <v>29</v>
      </c>
      <c r="C33" s="113">
        <f>SUMIFS('Federal Data'!M2:M501,'Federal Data'!$G2:$G501,"Law Enforcement and Corrections",'Federal Data'!$D2:$D501,"Nongrant")</f>
        <v>1949721</v>
      </c>
      <c r="D33" s="113">
        <f>SUMIFS('Federal Data'!N2:N501,'Federal Data'!$G2:$G501,"Law Enforcement and Corrections",'Federal Data'!$D2:$D501,"Nongrant")</f>
        <v>2124302</v>
      </c>
      <c r="E33" s="113">
        <f>SUMIFS('Federal Data'!O2:O501,'Federal Data'!$G2:$G501,"Law Enforcement and Corrections",'Federal Data'!$D2:$D501,"Nongrant")</f>
        <v>2130865</v>
      </c>
      <c r="F33" s="113">
        <f>SUMIFS('Federal Data'!P2:P501,'Federal Data'!$G2:$G501,"Law Enforcement and Corrections",'Federal Data'!$D2:$D501,"Nongrant")</f>
        <v>2384343</v>
      </c>
      <c r="G33" s="113">
        <f>SUMIFS('Federal Data'!Q2:Q501,'Federal Data'!$G2:$G501,"Law Enforcement and Corrections",'Federal Data'!$D2:$D501,"Nongrant")</f>
        <v>2708787</v>
      </c>
      <c r="H33" s="113">
        <f>SUMIFS('Federal Data'!R2:R501,'Federal Data'!$G2:$G501,"Law Enforcement and Corrections",'Federal Data'!$D2:$D501,"Nongrant")</f>
        <v>2969315</v>
      </c>
      <c r="I33" s="113">
        <f>SUMIFS('Federal Data'!S2:S501,'Federal Data'!$G2:$G501,"Law Enforcement and Corrections",'Federal Data'!$D2:$D501,"Nongrant")</f>
        <v>3042038</v>
      </c>
      <c r="J33" s="113">
        <f>SUMIFS('Federal Data'!T2:T501,'Federal Data'!$G2:$G501,"Law Enforcement and Corrections",'Federal Data'!$D2:$D501,"Nongrant")</f>
        <v>3284776</v>
      </c>
      <c r="K33" s="113">
        <f>SUMIFS('Federal Data'!U2:U501,'Federal Data'!$G2:$G501,"Law Enforcement and Corrections",'Federal Data'!$D2:$D501,"Nongrant")</f>
        <v>3904564</v>
      </c>
      <c r="L33" s="113">
        <f>SUMIFS('Federal Data'!V2:V501,'Federal Data'!$G2:$G501,"Law Enforcement and Corrections",'Federal Data'!$D2:$D501,"Nongrant")</f>
        <v>4341198</v>
      </c>
      <c r="M33" s="113">
        <f>SUMIFS('Federal Data'!W2:W501,'Federal Data'!$G2:$G501,"Law Enforcement and Corrections",'Federal Data'!$D2:$D501,"Nongrant")</f>
        <v>4858420</v>
      </c>
      <c r="N33" s="113">
        <f>SUMIFS('Federal Data'!X2:X501,'Federal Data'!$G2:$G501,"Law Enforcement and Corrections",'Federal Data'!$D2:$D501,"Nongrant")</f>
        <v>5731719</v>
      </c>
      <c r="O33" s="113">
        <f>SUMIFS('Federal Data'!Y2:Y501,'Federal Data'!$G2:$G501,"Law Enforcement and Corrections",'Federal Data'!$D2:$D501,"Nongrant")</f>
        <v>6873806</v>
      </c>
      <c r="P33" s="113">
        <f>SUMIFS('Federal Data'!Z2:Z501,'Federal Data'!$G2:$G501,"Law Enforcement and Corrections",'Federal Data'!$D2:$D501,"Nongrant")</f>
        <v>7065082</v>
      </c>
      <c r="Q33" s="113">
        <f>SUMIFS('Federal Data'!AA2:AA501,'Federal Data'!$G2:$G501,"Law Enforcement and Corrections",'Federal Data'!$D2:$D501,"Nongrant")</f>
        <v>7322033</v>
      </c>
      <c r="R33" s="113">
        <f>SUMIFS('Federal Data'!AB2:AB501,'Federal Data'!$G2:$G501,"Law Enforcement and Corrections",'Federal Data'!$D2:$D501,"Nongrant")</f>
        <v>7742000</v>
      </c>
      <c r="S33" s="113">
        <f>SUMIFS('Federal Data'!AC2:AC501,'Federal Data'!$G2:$G501,"Law Enforcement and Corrections",'Federal Data'!$D2:$D501,"Nongrant")</f>
        <v>8468000</v>
      </c>
      <c r="T33" s="113">
        <f>SUMIFS('Federal Data'!AD2:AD501,'Federal Data'!$G2:$G501,"Law Enforcement and Corrections",'Federal Data'!$D2:$D501,"Nongrant")</f>
        <v>9307000</v>
      </c>
      <c r="U33" s="113">
        <f>SUMIFS('Federal Data'!AE2:AE501,'Federal Data'!$G2:$G501,"Law Enforcement and Corrections",'Federal Data'!$D2:$D501,"Nongrant")</f>
        <v>9823000</v>
      </c>
      <c r="V33" s="113">
        <f>SUMIFS('Federal Data'!AF2:AF501,'Federal Data'!$G2:$G501,"Law Enforcement and Corrections",'Federal Data'!$D2:$D501,"Nongrant")</f>
        <v>10868000</v>
      </c>
      <c r="W33" s="113">
        <f>SUMIFS('Federal Data'!AG2:AG501,'Federal Data'!$G2:$G501,"Law Enforcement and Corrections",'Federal Data'!$D2:$D501,"Nongrant")</f>
        <v>11871000</v>
      </c>
      <c r="X33" s="113">
        <f>SUMIFS('Federal Data'!AH2:AH501,'Federal Data'!$G2:$G501,"Law Enforcement and Corrections",'Federal Data'!$D2:$D501,"Nongrant")</f>
        <v>11534000</v>
      </c>
      <c r="Y33" s="113">
        <f>SUMIFS('Federal Data'!AI2:AI501,'Federal Data'!$G2:$G501,"Law Enforcement and Corrections",'Federal Data'!$D2:$D501,"Nongrant")</f>
        <v>14697000</v>
      </c>
      <c r="Z33" s="113">
        <f>SUMIFS('Federal Data'!AJ2:AJ501,'Federal Data'!$G2:$G501,"Law Enforcement and Corrections",'Federal Data'!$D2:$D501,"Nongrant")</f>
        <v>15558000</v>
      </c>
      <c r="AA33" s="113">
        <f>SUMIFS('Federal Data'!AK2:AK501,'Federal Data'!$G2:$G501,"Law Enforcement and Corrections",'Federal Data'!$D2:$D501,"Nongrant")</f>
        <v>23453000</v>
      </c>
      <c r="AB33" s="113">
        <f>SUMIFS('Federal Data'!AL2:AL501,'Federal Data'!$G2:$G501,"Law Enforcement and Corrections",'Federal Data'!$D2:$D501,"Nongrant")</f>
        <v>17939000</v>
      </c>
      <c r="AC33" s="113">
        <f>SUMIFS('Federal Data'!AM2:AM501,'Federal Data'!$G2:$G501,"Law Enforcement and Corrections",'Federal Data'!$D2:$D501,"Nongrant")</f>
        <v>17589000</v>
      </c>
      <c r="AD33" s="113">
        <f>SUMIFS('Federal Data'!AN2:AN501,'Federal Data'!$G2:$G501,"Law Enforcement and Corrections",'Federal Data'!$D2:$D501,"Nongrant")</f>
        <v>17385000</v>
      </c>
      <c r="AE33" s="113">
        <f>SUMIFS('Federal Data'!AO2:AO501,'Federal Data'!$G2:$G501,"Law Enforcement and Corrections",'Federal Data'!$D2:$D501,"Nongrant")</f>
        <v>20059000</v>
      </c>
      <c r="AF33" s="113">
        <f>SUMIFS('Federal Data'!AP2:AP501,'Federal Data'!$G2:$G501,"Law Enforcement and Corrections",'Federal Data'!$D2:$D501,"Nongrant")</f>
        <v>19497000</v>
      </c>
      <c r="AG33" s="113">
        <f>SUMIFS('Federal Data'!AQ2:AQ501,'Federal Data'!$G2:$G501,"Law Enforcement and Corrections",'Federal Data'!$D2:$D501,"Nongrant")</f>
        <v>20879000</v>
      </c>
      <c r="AH33" s="113">
        <f>SUMIFS('Federal Data'!AR2:AR501,'Federal Data'!$G2:$G501,"Law Enforcement and Corrections",'Federal Data'!$D2:$D501,"Nongrant")</f>
        <v>22030000</v>
      </c>
      <c r="AI33" s="113">
        <f>SUMIFS('Federal Data'!AS2:AS501,'Federal Data'!$G2:$G501,"Law Enforcement and Corrections",'Federal Data'!$D2:$D501,"Nongrant")</f>
        <v>21364000</v>
      </c>
      <c r="AJ33" s="113">
        <f>SUMIFS('Federal Data'!AT2:AT501,'Federal Data'!$G2:$G501,"Law Enforcement and Corrections",'Federal Data'!$D2:$D501,"Nongrant")</f>
        <v>20101000</v>
      </c>
      <c r="AK33" s="113">
        <f>SUMIFS('Federal Data'!AU2:AU501,'Federal Data'!$G2:$G501,"Law Enforcement and Corrections",'Federal Data'!$D2:$D501,"Nongrant")</f>
        <v>19067000</v>
      </c>
      <c r="AL33" s="113">
        <f>SUMIFS('Federal Data'!AV2:AV501,'Federal Data'!$G2:$G501,"Law Enforcement and Corrections",'Federal Data'!$D2:$D501,"Nongrant")</f>
        <v>20321000</v>
      </c>
    </row>
    <row r="34" spans="1:38" outlineLevel="3">
      <c r="A34" s="22" t="str">
        <f>B33</f>
        <v>Law Enforcement and Corrections</v>
      </c>
      <c r="B34" s="31" t="s">
        <v>498</v>
      </c>
      <c r="C34" s="113">
        <f>SUMIFS('Federal Data'!M2:M501,'Federal Data'!$H2:$H501,"Law Enforcement",'Federal Data'!$D2:$D501,"Nongrant")</f>
        <v>1606225</v>
      </c>
      <c r="D34" s="113">
        <f>SUMIFS('Federal Data'!N2:N501,'Federal Data'!$H2:$H501,"Law Enforcement",'Federal Data'!$D2:$D501,"Nongrant")</f>
        <v>1761160</v>
      </c>
      <c r="E34" s="113">
        <f>SUMIFS('Federal Data'!O2:O501,'Federal Data'!$H2:$H501,"Law Enforcement",'Federal Data'!$D2:$D501,"Nongrant")</f>
        <v>1764314</v>
      </c>
      <c r="F34" s="113">
        <f>SUMIFS('Federal Data'!P2:P501,'Federal Data'!$H2:$H501,"Law Enforcement",'Federal Data'!$D2:$D501,"Nongrant")</f>
        <v>1964136</v>
      </c>
      <c r="G34" s="113">
        <f>SUMIFS('Federal Data'!Q2:Q501,'Federal Data'!$H2:$H501,"Law Enforcement",'Federal Data'!$D2:$D501,"Nongrant")</f>
        <v>2207029</v>
      </c>
      <c r="H34" s="113">
        <f>SUMIFS('Federal Data'!R2:R501,'Federal Data'!$H2:$H501,"Law Enforcement",'Federal Data'!$D2:$D501,"Nongrant")</f>
        <v>2427198</v>
      </c>
      <c r="I34" s="113">
        <f>SUMIFS('Federal Data'!S2:S501,'Federal Data'!$H2:$H501,"Law Enforcement",'Federal Data'!$D2:$D501,"Nongrant")</f>
        <v>2421346</v>
      </c>
      <c r="J34" s="113">
        <f>SUMIFS('Federal Data'!T2:T501,'Federal Data'!$H2:$H501,"Law Enforcement",'Federal Data'!$D2:$D501,"Nongrant")</f>
        <v>2564075</v>
      </c>
      <c r="K34" s="113">
        <f>SUMIFS('Federal Data'!U2:U501,'Federal Data'!$H2:$H501,"Law Enforcement",'Federal Data'!$D2:$D501,"Nongrant")</f>
        <v>2966384</v>
      </c>
      <c r="L34" s="113">
        <f>SUMIFS('Federal Data'!V2:V501,'Federal Data'!$H2:$H501,"Law Enforcement",'Federal Data'!$D2:$D501,"Nongrant")</f>
        <v>3289739</v>
      </c>
      <c r="M34" s="113">
        <f>SUMIFS('Federal Data'!W2:W501,'Federal Data'!$H2:$H501,"Law Enforcement",'Federal Data'!$D2:$D501,"Nongrant")</f>
        <v>3561389</v>
      </c>
      <c r="N34" s="113">
        <f>SUMIFS('Federal Data'!X2:X501,'Federal Data'!$H2:$H501,"Law Enforcement",'Federal Data'!$D2:$D501,"Nongrant")</f>
        <v>4124863</v>
      </c>
      <c r="O34" s="113">
        <f>SUMIFS('Federal Data'!Y2:Y501,'Federal Data'!$H2:$H501,"Law Enforcement",'Federal Data'!$D2:$D501,"Nongrant")</f>
        <v>4751538</v>
      </c>
      <c r="P34" s="113">
        <f>SUMIFS('Federal Data'!Z2:Z501,'Federal Data'!$H2:$H501,"Law Enforcement",'Federal Data'!$D2:$D501,"Nongrant")</f>
        <v>4930167</v>
      </c>
      <c r="Q34" s="113">
        <f>SUMIFS('Federal Data'!AA2:AA501,'Federal Data'!$H2:$H501,"Law Enforcement",'Federal Data'!$D2:$D501,"Nongrant")</f>
        <v>4998596</v>
      </c>
      <c r="R34" s="113">
        <f>SUMIFS('Federal Data'!AB2:AB501,'Federal Data'!$H2:$H501,"Law Enforcement",'Federal Data'!$D2:$D501,"Nongrant")</f>
        <v>4993000</v>
      </c>
      <c r="S34" s="113">
        <f>SUMIFS('Federal Data'!AC2:AC501,'Federal Data'!$H2:$H501,"Law Enforcement",'Federal Data'!$D2:$D501,"Nongrant")</f>
        <v>5455000</v>
      </c>
      <c r="T34" s="113">
        <f>SUMIFS('Federal Data'!AD2:AD501,'Federal Data'!$H2:$H501,"Law Enforcement",'Federal Data'!$D2:$D501,"Nongrant")</f>
        <v>6368000</v>
      </c>
      <c r="U34" s="113">
        <f>SUMIFS('Federal Data'!AE2:AE501,'Federal Data'!$H2:$H501,"Law Enforcement",'Federal Data'!$D2:$D501,"Nongrant")</f>
        <v>7141000</v>
      </c>
      <c r="V34" s="113">
        <f>SUMIFS('Federal Data'!AF2:AF501,'Federal Data'!$H2:$H501,"Law Enforcement",'Federal Data'!$D2:$D501,"Nongrant")</f>
        <v>7664000</v>
      </c>
      <c r="W34" s="113">
        <f>SUMIFS('Federal Data'!AG2:AG501,'Federal Data'!$H2:$H501,"Law Enforcement",'Federal Data'!$D2:$D501,"Nongrant")</f>
        <v>8164000</v>
      </c>
      <c r="X34" s="113">
        <f>SUMIFS('Federal Data'!AH2:AH501,'Federal Data'!$H2:$H501,"Law Enforcement",'Federal Data'!$D2:$D501,"Nongrant")</f>
        <v>7328000</v>
      </c>
      <c r="Y34" s="113">
        <f>SUMIFS('Federal Data'!AI2:AI501,'Federal Data'!$H2:$H501,"Law Enforcement",'Federal Data'!$D2:$D501,"Nongrant")</f>
        <v>9951000</v>
      </c>
      <c r="Z34" s="113">
        <f>SUMIFS('Federal Data'!AJ2:AJ501,'Federal Data'!$H2:$H501,"Law Enforcement",'Federal Data'!$D2:$D501,"Nongrant")</f>
        <v>10978000</v>
      </c>
      <c r="AA34" s="113">
        <f>SUMIFS('Federal Data'!AK2:AK501,'Federal Data'!$H2:$H501,"Law Enforcement",'Federal Data'!$D2:$D501,"Nongrant")</f>
        <v>18703000</v>
      </c>
      <c r="AB34" s="113">
        <f>SUMIFS('Federal Data'!AL2:AL501,'Federal Data'!$H2:$H501,"Law Enforcement",'Federal Data'!$D2:$D501,"Nongrant")</f>
        <v>13094000</v>
      </c>
      <c r="AC34" s="113">
        <f>SUMIFS('Federal Data'!AM2:AM501,'Federal Data'!$H2:$H501,"Law Enforcement",'Federal Data'!$D2:$D501,"Nongrant")</f>
        <v>12537000</v>
      </c>
      <c r="AD34" s="113">
        <f>SUMIFS('Federal Data'!AN2:AN501,'Federal Data'!$H2:$H501,"Law Enforcement",'Federal Data'!$D2:$D501,"Nongrant")</f>
        <v>12213000</v>
      </c>
      <c r="AE34" s="113">
        <f>SUMIFS('Federal Data'!AO2:AO501,'Federal Data'!$H2:$H501,"Law Enforcement",'Federal Data'!$D2:$D501,"Nongrant")</f>
        <v>14404000</v>
      </c>
      <c r="AF34" s="113">
        <f>SUMIFS('Federal Data'!AP2:AP501,'Federal Data'!$H2:$H501,"Law Enforcement",'Federal Data'!$D2:$D501,"Nongrant")</f>
        <v>13488000</v>
      </c>
      <c r="AG34" s="113">
        <f>SUMIFS('Federal Data'!AQ2:AQ501,'Federal Data'!$H2:$H501,"Law Enforcement",'Federal Data'!$D2:$D501,"Nongrant")</f>
        <v>14552000</v>
      </c>
      <c r="AH34" s="113">
        <f>SUMIFS('Federal Data'!AR2:AR501,'Federal Data'!$H2:$H501,"Law Enforcement",'Federal Data'!$D2:$D501,"Nongrant")</f>
        <v>15484000</v>
      </c>
      <c r="AI34" s="113">
        <f>SUMIFS('Federal Data'!AS2:AS501,'Federal Data'!$H2:$H501,"Law Enforcement",'Federal Data'!$D2:$D501,"Nongrant")</f>
        <v>14611000</v>
      </c>
      <c r="AJ34" s="113">
        <f>SUMIFS('Federal Data'!AT2:AT501,'Federal Data'!$H2:$H501,"Law Enforcement",'Federal Data'!$D2:$D501,"Nongrant")</f>
        <v>13340000</v>
      </c>
      <c r="AK34" s="113">
        <f>SUMIFS('Federal Data'!AU2:AU501,'Federal Data'!$H2:$H501,"Law Enforcement",'Federal Data'!$D2:$D501,"Nongrant")</f>
        <v>12316000</v>
      </c>
      <c r="AL34" s="113">
        <f>SUMIFS('Federal Data'!AV2:AV501,'Federal Data'!$H2:$H501,"Law Enforcement",'Federal Data'!$D2:$D501,"Nongrant")</f>
        <v>13272000</v>
      </c>
    </row>
    <row r="35" spans="1:38" outlineLevel="3">
      <c r="A35" s="22" t="str">
        <f>B33</f>
        <v>Law Enforcement and Corrections</v>
      </c>
      <c r="B35" s="31" t="s">
        <v>499</v>
      </c>
      <c r="C35" s="113">
        <f>SUMIFS('Federal Data'!M2:M501,'Federal Data'!$H2:$H501,"Corrections",'Federal Data'!$D2:$D501,"Nongrant")</f>
        <v>343496</v>
      </c>
      <c r="D35" s="113">
        <f>SUMIFS('Federal Data'!N2:N501,'Federal Data'!$H2:$H501,"Corrections",'Federal Data'!$D2:$D501,"Nongrant")</f>
        <v>363142</v>
      </c>
      <c r="E35" s="113">
        <f>SUMIFS('Federal Data'!O2:O501,'Federal Data'!$H2:$H501,"Corrections",'Federal Data'!$D2:$D501,"Nongrant")</f>
        <v>366551</v>
      </c>
      <c r="F35" s="113">
        <f>SUMIFS('Federal Data'!P2:P501,'Federal Data'!$H2:$H501,"Corrections",'Federal Data'!$D2:$D501,"Nongrant")</f>
        <v>420207</v>
      </c>
      <c r="G35" s="113">
        <f>SUMIFS('Federal Data'!Q2:Q501,'Federal Data'!$H2:$H501,"Corrections",'Federal Data'!$D2:$D501,"Nongrant")</f>
        <v>501758</v>
      </c>
      <c r="H35" s="113">
        <f>SUMIFS('Federal Data'!R2:R501,'Federal Data'!$H2:$H501,"Corrections",'Federal Data'!$D2:$D501,"Nongrant")</f>
        <v>542117</v>
      </c>
      <c r="I35" s="113">
        <f>SUMIFS('Federal Data'!S2:S501,'Federal Data'!$H2:$H501,"Corrections",'Federal Data'!$D2:$D501,"Nongrant")</f>
        <v>620692</v>
      </c>
      <c r="J35" s="113">
        <f>SUMIFS('Federal Data'!T2:T501,'Federal Data'!$H2:$H501,"Corrections",'Federal Data'!$D2:$D501,"Nongrant")</f>
        <v>720701</v>
      </c>
      <c r="K35" s="113">
        <f>SUMIFS('Federal Data'!U2:U501,'Federal Data'!$H2:$H501,"Corrections",'Federal Data'!$D2:$D501,"Nongrant")</f>
        <v>938180</v>
      </c>
      <c r="L35" s="113">
        <f>SUMIFS('Federal Data'!V2:V501,'Federal Data'!$H2:$H501,"Corrections",'Federal Data'!$D2:$D501,"Nongrant")</f>
        <v>1051459</v>
      </c>
      <c r="M35" s="113">
        <f>SUMIFS('Federal Data'!W2:W501,'Federal Data'!$H2:$H501,"Corrections",'Federal Data'!$D2:$D501,"Nongrant")</f>
        <v>1297031</v>
      </c>
      <c r="N35" s="113">
        <f>SUMIFS('Federal Data'!X2:X501,'Federal Data'!$H2:$H501,"Corrections",'Federal Data'!$D2:$D501,"Nongrant")</f>
        <v>1606856</v>
      </c>
      <c r="O35" s="113">
        <f>SUMIFS('Federal Data'!Y2:Y501,'Federal Data'!$H2:$H501,"Corrections",'Federal Data'!$D2:$D501,"Nongrant")</f>
        <v>2122268</v>
      </c>
      <c r="P35" s="113">
        <f>SUMIFS('Federal Data'!Z2:Z501,'Federal Data'!$H2:$H501,"Corrections",'Federal Data'!$D2:$D501,"Nongrant")</f>
        <v>2134915</v>
      </c>
      <c r="Q35" s="113">
        <f>SUMIFS('Federal Data'!AA2:AA501,'Federal Data'!$H2:$H501,"Corrections",'Federal Data'!$D2:$D501,"Nongrant")</f>
        <v>2323437</v>
      </c>
      <c r="R35" s="113">
        <f>SUMIFS('Federal Data'!AB2:AB501,'Federal Data'!$H2:$H501,"Corrections",'Federal Data'!$D2:$D501,"Nongrant")</f>
        <v>2749000</v>
      </c>
      <c r="S35" s="113">
        <f>SUMIFS('Federal Data'!AC2:AC501,'Federal Data'!$H2:$H501,"Corrections",'Federal Data'!$D2:$D501,"Nongrant")</f>
        <v>3013000</v>
      </c>
      <c r="T35" s="113">
        <f>SUMIFS('Federal Data'!AD2:AD501,'Federal Data'!$H2:$H501,"Corrections",'Federal Data'!$D2:$D501,"Nongrant")</f>
        <v>2939000</v>
      </c>
      <c r="U35" s="113">
        <f>SUMIFS('Federal Data'!AE2:AE501,'Federal Data'!$H2:$H501,"Corrections",'Federal Data'!$D2:$D501,"Nongrant")</f>
        <v>2682000</v>
      </c>
      <c r="V35" s="113">
        <f>SUMIFS('Federal Data'!AF2:AF501,'Federal Data'!$H2:$H501,"Corrections",'Federal Data'!$D2:$D501,"Nongrant")</f>
        <v>3204000</v>
      </c>
      <c r="W35" s="113">
        <f>SUMIFS('Federal Data'!AG2:AG501,'Federal Data'!$H2:$H501,"Corrections",'Federal Data'!$D2:$D501,"Nongrant")</f>
        <v>3707000</v>
      </c>
      <c r="X35" s="113">
        <f>SUMIFS('Federal Data'!AH2:AH501,'Federal Data'!$H2:$H501,"Corrections",'Federal Data'!$D2:$D501,"Nongrant")</f>
        <v>4206000</v>
      </c>
      <c r="Y35" s="113">
        <f>SUMIFS('Federal Data'!AI2:AI501,'Federal Data'!$H2:$H501,"Corrections",'Federal Data'!$D2:$D501,"Nongrant")</f>
        <v>4746000</v>
      </c>
      <c r="Z35" s="113">
        <f>SUMIFS('Federal Data'!AJ2:AJ501,'Federal Data'!$H2:$H501,"Corrections",'Federal Data'!$D2:$D501,"Nongrant")</f>
        <v>4580000</v>
      </c>
      <c r="AA35" s="113">
        <f>SUMIFS('Federal Data'!AK2:AK501,'Federal Data'!$H2:$H501,"Corrections",'Federal Data'!$D2:$D501,"Nongrant")</f>
        <v>4750000</v>
      </c>
      <c r="AB35" s="113">
        <f>SUMIFS('Federal Data'!AL2:AL501,'Federal Data'!$H2:$H501,"Corrections",'Federal Data'!$D2:$D501,"Nongrant")</f>
        <v>4845000</v>
      </c>
      <c r="AC35" s="113">
        <f>SUMIFS('Federal Data'!AM2:AM501,'Federal Data'!$H2:$H501,"Corrections",'Federal Data'!$D2:$D501,"Nongrant")</f>
        <v>5052000</v>
      </c>
      <c r="AD35" s="113">
        <f>SUMIFS('Federal Data'!AN2:AN501,'Federal Data'!$H2:$H501,"Corrections",'Federal Data'!$D2:$D501,"Nongrant")</f>
        <v>5172000</v>
      </c>
      <c r="AE35" s="113">
        <f>SUMIFS('Federal Data'!AO2:AO501,'Federal Data'!$H2:$H501,"Corrections",'Federal Data'!$D2:$D501,"Nongrant")</f>
        <v>5655000</v>
      </c>
      <c r="AF35" s="113">
        <f>SUMIFS('Federal Data'!AP2:AP501,'Federal Data'!$H2:$H501,"Corrections",'Federal Data'!$D2:$D501,"Nongrant")</f>
        <v>6009000</v>
      </c>
      <c r="AG35" s="113">
        <f>SUMIFS('Federal Data'!AQ2:AQ501,'Federal Data'!$H2:$H501,"Corrections",'Federal Data'!$D2:$D501,"Nongrant")</f>
        <v>6327000</v>
      </c>
      <c r="AH35" s="113">
        <f>SUMIFS('Federal Data'!AR2:AR501,'Federal Data'!$H2:$H501,"Corrections",'Federal Data'!$D2:$D501,"Nongrant")</f>
        <v>6546000</v>
      </c>
      <c r="AI35" s="113">
        <f>SUMIFS('Federal Data'!AS2:AS501,'Federal Data'!$H2:$H501,"Corrections",'Federal Data'!$D2:$D501,"Nongrant")</f>
        <v>6753000</v>
      </c>
      <c r="AJ35" s="113">
        <f>SUMIFS('Federal Data'!AT2:AT501,'Federal Data'!$H2:$H501,"Corrections",'Federal Data'!$D2:$D501,"Nongrant")</f>
        <v>6761000</v>
      </c>
      <c r="AK35" s="113">
        <f>SUMIFS('Federal Data'!AU2:AU501,'Federal Data'!$H2:$H501,"Corrections",'Federal Data'!$D2:$D501,"Nongrant")</f>
        <v>6751000</v>
      </c>
      <c r="AL35" s="113">
        <f>SUMIFS('Federal Data'!AV2:AV501,'Federal Data'!$H2:$H501,"Corrections",'Federal Data'!$D2:$D501,"Nongrant")</f>
        <v>7049000</v>
      </c>
    </row>
    <row r="36" spans="1:38" outlineLevel="3">
      <c r="A36" s="22" t="str">
        <f>B32</f>
        <v>Crime and Disaster</v>
      </c>
      <c r="B36" s="29" t="s">
        <v>30</v>
      </c>
      <c r="C36" s="113">
        <f>SUMIFS('Federal Data'!M2:M501,'Federal Data'!$G2:$G501,"Justice System",'Federal Data'!$D2:$D501,"Nongrant")</f>
        <v>1346920</v>
      </c>
      <c r="D36" s="113">
        <f>SUMIFS('Federal Data'!N2:N501,'Federal Data'!$G2:$G501,"Justice System",'Federal Data'!$D2:$D501,"Nongrant")</f>
        <v>1491332</v>
      </c>
      <c r="E36" s="113">
        <f>SUMIFS('Federal Data'!O2:O501,'Federal Data'!$G2:$G501,"Justice System",'Federal Data'!$D2:$D501,"Nongrant")</f>
        <v>1516922</v>
      </c>
      <c r="F36" s="113">
        <f>SUMIFS('Federal Data'!P2:P501,'Federal Data'!$G2:$G501,"Justice System",'Federal Data'!$D2:$D501,"Nongrant")</f>
        <v>1627393</v>
      </c>
      <c r="G36" s="113">
        <f>SUMIFS('Federal Data'!Q2:Q501,'Federal Data'!$G2:$G501,"Justice System",'Federal Data'!$D2:$D501,"Nongrant")</f>
        <v>1824786</v>
      </c>
      <c r="H36" s="113">
        <f>SUMIFS('Federal Data'!R2:R501,'Federal Data'!$G2:$G501,"Justice System",'Federal Data'!$D2:$D501,"Nongrant")</f>
        <v>2064475</v>
      </c>
      <c r="I36" s="113">
        <f>SUMIFS('Federal Data'!S2:S501,'Federal Data'!$G2:$G501,"Justice System",'Federal Data'!$D2:$D501,"Nongrant")</f>
        <v>2158502</v>
      </c>
      <c r="J36" s="113">
        <f>SUMIFS('Federal Data'!T2:T501,'Federal Data'!$G2:$G501,"Justice System",'Federal Data'!$D2:$D501,"Nongrant")</f>
        <v>2434204</v>
      </c>
      <c r="K36" s="113">
        <f>SUMIFS('Federal Data'!U2:U501,'Federal Data'!$G2:$G501,"Justice System",'Federal Data'!$D2:$D501,"Nongrant")</f>
        <v>2799575</v>
      </c>
      <c r="L36" s="113">
        <f>SUMIFS('Federal Data'!V2:V501,'Federal Data'!$G2:$G501,"Justice System",'Federal Data'!$D2:$D501,"Nongrant")</f>
        <v>3091863</v>
      </c>
      <c r="M36" s="113">
        <f>SUMIFS('Federal Data'!W2:W501,'Federal Data'!$G2:$G501,"Justice System",'Federal Data'!$D2:$D501,"Nongrant")</f>
        <v>3389904</v>
      </c>
      <c r="N36" s="113">
        <f>SUMIFS('Federal Data'!X2:X501,'Federal Data'!$G2:$G501,"Justice System",'Federal Data'!$D2:$D501,"Nongrant")</f>
        <v>4072217</v>
      </c>
      <c r="O36" s="113">
        <f>SUMIFS('Federal Data'!Y2:Y501,'Federal Data'!$G2:$G501,"Justice System",'Federal Data'!$D2:$D501,"Nongrant")</f>
        <v>4842839</v>
      </c>
      <c r="P36" s="113">
        <f>SUMIFS('Federal Data'!Z2:Z501,'Federal Data'!$G2:$G501,"Justice System",'Federal Data'!$D2:$D501,"Nongrant")</f>
        <v>5131516</v>
      </c>
      <c r="Q36" s="113">
        <f>SUMIFS('Federal Data'!AA2:AA501,'Federal Data'!$G2:$G501,"Justice System",'Federal Data'!$D2:$D501,"Nongrant")</f>
        <v>5245441</v>
      </c>
      <c r="R36" s="113">
        <f>SUMIFS('Federal Data'!AB2:AB501,'Federal Data'!$G2:$G501,"Justice System",'Federal Data'!$D2:$D501,"Nongrant")</f>
        <v>5879000</v>
      </c>
      <c r="S36" s="113">
        <f>SUMIFS('Federal Data'!AC2:AC501,'Federal Data'!$G2:$G501,"Justice System",'Federal Data'!$D2:$D501,"Nongrant")</f>
        <v>5904000</v>
      </c>
      <c r="T36" s="113">
        <f>SUMIFS('Federal Data'!AD2:AD501,'Federal Data'!$G2:$G501,"Justice System",'Federal Data'!$D2:$D501,"Nongrant")</f>
        <v>6148000</v>
      </c>
      <c r="U36" s="113">
        <f>SUMIFS('Federal Data'!AE2:AE501,'Federal Data'!$G2:$G501,"Justice System",'Federal Data'!$D2:$D501,"Nongrant")</f>
        <v>6497000</v>
      </c>
      <c r="V36" s="113">
        <f>SUMIFS('Federal Data'!AF2:AF501,'Federal Data'!$G2:$G501,"Justice System",'Federal Data'!$D2:$D501,"Nongrant")</f>
        <v>7122000</v>
      </c>
      <c r="W36" s="113">
        <f>SUMIFS('Federal Data'!AG2:AG501,'Federal Data'!$G2:$G501,"Justice System",'Federal Data'!$D2:$D501,"Nongrant")</f>
        <v>7468000</v>
      </c>
      <c r="X36" s="113">
        <f>SUMIFS('Federal Data'!AH2:AH501,'Federal Data'!$G2:$G501,"Justice System",'Federal Data'!$D2:$D501,"Nongrant")</f>
        <v>8091000</v>
      </c>
      <c r="Y36" s="113">
        <f>SUMIFS('Federal Data'!AI2:AI501,'Federal Data'!$G2:$G501,"Justice System",'Federal Data'!$D2:$D501,"Nongrant")</f>
        <v>8912000</v>
      </c>
      <c r="Z36" s="113">
        <f>SUMIFS('Federal Data'!AJ2:AJ501,'Federal Data'!$G2:$G501,"Justice System",'Federal Data'!$D2:$D501,"Nongrant")</f>
        <v>9647000</v>
      </c>
      <c r="AA36" s="113">
        <f>SUMIFS('Federal Data'!AK2:AK501,'Federal Data'!$G2:$G501,"Justice System",'Federal Data'!$D2:$D501,"Nongrant")</f>
        <v>10175000</v>
      </c>
      <c r="AB36" s="113">
        <f>SUMIFS('Federal Data'!AL2:AL501,'Federal Data'!$G2:$G501,"Justice System",'Federal Data'!$D2:$D501,"Nongrant")</f>
        <v>10327000</v>
      </c>
      <c r="AC36" s="113">
        <f>SUMIFS('Federal Data'!AM2:AM501,'Federal Data'!$G2:$G501,"Justice System",'Federal Data'!$D2:$D501,"Nongrant")</f>
        <v>10825000</v>
      </c>
      <c r="AD36" s="113">
        <f>SUMIFS('Federal Data'!AN2:AN501,'Federal Data'!$G2:$G501,"Justice System",'Federal Data'!$D2:$D501,"Nongrant")</f>
        <v>11711000</v>
      </c>
      <c r="AE36" s="113">
        <f>SUMIFS('Federal Data'!AO2:AO501,'Federal Data'!$G2:$G501,"Justice System",'Federal Data'!$D2:$D501,"Nongrant")</f>
        <v>12567000</v>
      </c>
      <c r="AF36" s="113">
        <f>SUMIFS('Federal Data'!AP2:AP501,'Federal Data'!$G2:$G501,"Justice System",'Federal Data'!$D2:$D501,"Nongrant")</f>
        <v>12975000</v>
      </c>
      <c r="AG36" s="113">
        <f>SUMIFS('Federal Data'!AQ2:AQ501,'Federal Data'!$G2:$G501,"Justice System",'Federal Data'!$D2:$D501,"Nongrant")</f>
        <v>14051000</v>
      </c>
      <c r="AH36" s="113">
        <f>SUMIFS('Federal Data'!AR2:AR501,'Federal Data'!$G2:$G501,"Justice System",'Federal Data'!$D2:$D501,"Nongrant")</f>
        <v>14562000</v>
      </c>
      <c r="AI36" s="113">
        <f>SUMIFS('Federal Data'!AS2:AS501,'Federal Data'!$G2:$G501,"Justice System",'Federal Data'!$D2:$D501,"Nongrant")</f>
        <v>15703000</v>
      </c>
      <c r="AJ36" s="113">
        <f>SUMIFS('Federal Data'!AT2:AT501,'Federal Data'!$G2:$G501,"Justice System",'Federal Data'!$D2:$D501,"Nongrant")</f>
        <v>14126000</v>
      </c>
      <c r="AK36" s="113">
        <f>SUMIFS('Federal Data'!AU2:AU501,'Federal Data'!$G2:$G501,"Justice System",'Federal Data'!$D2:$D501,"Nongrant")</f>
        <v>13746000</v>
      </c>
      <c r="AL36" s="113">
        <f>SUMIFS('Federal Data'!AV2:AV501,'Federal Data'!$G2:$G501,"Justice System",'Federal Data'!$D2:$D501,"Nongrant")</f>
        <v>14110000</v>
      </c>
    </row>
    <row r="37" spans="1:38" outlineLevel="3">
      <c r="A37" s="22" t="str">
        <f>B32</f>
        <v>Crime and Disaster</v>
      </c>
      <c r="B37" s="29" t="s">
        <v>300</v>
      </c>
      <c r="C37" s="113">
        <f>SUMIFS('Federal Data'!M2:M501,'Federal Data'!$G2:$G501,"Disaster Relief",'Federal Data'!$D2:$D501,"Nongrant")</f>
        <v>1661795</v>
      </c>
      <c r="D37" s="113">
        <f>SUMIFS('Federal Data'!N2:N501,'Federal Data'!$G2:$G501,"Disaster Relief",'Federal Data'!$D2:$D501,"Nongrant")</f>
        <v>1411110</v>
      </c>
      <c r="E37" s="113">
        <f>SUMIFS('Federal Data'!O2:O501,'Federal Data'!$G2:$G501,"Disaster Relief",'Federal Data'!$D2:$D501,"Nongrant")</f>
        <v>-215236</v>
      </c>
      <c r="F37" s="113">
        <f>SUMIFS('Federal Data'!P2:P501,'Federal Data'!$G2:$G501,"Disaster Relief",'Federal Data'!$D2:$D501,"Nongrant")</f>
        <v>-187741</v>
      </c>
      <c r="G37" s="113">
        <f>SUMIFS('Federal Data'!Q2:Q501,'Federal Data'!$G2:$G501,"Disaster Relief",'Federal Data'!$D2:$D501,"Nongrant")</f>
        <v>-97809</v>
      </c>
      <c r="H37" s="113">
        <f>SUMIFS('Federal Data'!R2:R501,'Federal Data'!$G2:$G501,"Disaster Relief",'Federal Data'!$D2:$D501,"Nongrant")</f>
        <v>-214268</v>
      </c>
      <c r="I37" s="113">
        <f>SUMIFS('Federal Data'!S2:S501,'Federal Data'!$G2:$G501,"Disaster Relief",'Federal Data'!$D2:$D501,"Nongrant")</f>
        <v>117313</v>
      </c>
      <c r="J37" s="113">
        <f>SUMIFS('Federal Data'!T2:T501,'Federal Data'!$G2:$G501,"Disaster Relief",'Federal Data'!$D2:$D501,"Nongrant")</f>
        <v>-430071</v>
      </c>
      <c r="K37" s="113">
        <f>SUMIFS('Federal Data'!U2:U501,'Federal Data'!$G2:$G501,"Disaster Relief",'Federal Data'!$D2:$D501,"Nongrant")</f>
        <v>-403155</v>
      </c>
      <c r="L37" s="113">
        <f>SUMIFS('Federal Data'!V2:V501,'Federal Data'!$G2:$G501,"Disaster Relief",'Federal Data'!$D2:$D501,"Nongrant")</f>
        <v>-358219</v>
      </c>
      <c r="M37" s="113">
        <f>SUMIFS('Federal Data'!W2:W501,'Federal Data'!$G2:$G501,"Disaster Relief",'Federal Data'!$D2:$D501,"Nongrant")</f>
        <v>914024</v>
      </c>
      <c r="N37" s="113">
        <f>SUMIFS('Federal Data'!X2:X501,'Federal Data'!$G2:$G501,"Disaster Relief",'Federal Data'!$D2:$D501,"Nongrant")</f>
        <v>26202</v>
      </c>
      <c r="O37" s="113">
        <f>SUMIFS('Federal Data'!Y2:Y501,'Federal Data'!$G2:$G501,"Disaster Relief",'Federal Data'!$D2:$D501,"Nongrant")</f>
        <v>247714</v>
      </c>
      <c r="P37" s="113">
        <f>SUMIFS('Federal Data'!Z2:Z501,'Federal Data'!$G2:$G501,"Disaster Relief",'Federal Data'!$D2:$D501,"Nongrant")</f>
        <v>1086709</v>
      </c>
      <c r="Q37" s="113">
        <f>SUMIFS('Federal Data'!AA2:AA501,'Federal Data'!$G2:$G501,"Disaster Relief",'Federal Data'!$D2:$D501,"Nongrant")</f>
        <v>952714</v>
      </c>
      <c r="R37" s="113">
        <f>SUMIFS('Federal Data'!AB2:AB501,'Federal Data'!$G2:$G501,"Disaster Relief",'Federal Data'!$D2:$D501,"Nongrant")</f>
        <v>1507000</v>
      </c>
      <c r="S37" s="113">
        <f>SUMIFS('Federal Data'!AC2:AC501,'Federal Data'!$G2:$G501,"Disaster Relief",'Federal Data'!$D2:$D501,"Nongrant")</f>
        <v>1257000</v>
      </c>
      <c r="T37" s="113">
        <f>SUMIFS('Federal Data'!AD2:AD501,'Federal Data'!$G2:$G501,"Disaster Relief",'Federal Data'!$D2:$D501,"Nongrant")</f>
        <v>1197000</v>
      </c>
      <c r="U37" s="113">
        <f>SUMIFS('Federal Data'!AE2:AE501,'Federal Data'!$G2:$G501,"Disaster Relief",'Federal Data'!$D2:$D501,"Nongrant")</f>
        <v>392000</v>
      </c>
      <c r="V37" s="113">
        <f>SUMIFS('Federal Data'!AF2:AF501,'Federal Data'!$G2:$G501,"Disaster Relief",'Federal Data'!$D2:$D501,"Nongrant")</f>
        <v>1157000</v>
      </c>
      <c r="W37" s="113">
        <f>SUMIFS('Federal Data'!AG2:AG501,'Federal Data'!$G2:$G501,"Disaster Relief",'Federal Data'!$D2:$D501,"Nongrant")</f>
        <v>166000</v>
      </c>
      <c r="X37" s="113">
        <f>SUMIFS('Federal Data'!AH2:AH501,'Federal Data'!$G2:$G501,"Disaster Relief",'Federal Data'!$D2:$D501,"Nongrant")</f>
        <v>816000</v>
      </c>
      <c r="Y37" s="113">
        <f>SUMIFS('Federal Data'!AI2:AI501,'Federal Data'!$G2:$G501,"Disaster Relief",'Federal Data'!$D2:$D501,"Nongrant")</f>
        <v>894000</v>
      </c>
      <c r="Z37" s="113">
        <f>SUMIFS('Federal Data'!AJ2:AJ501,'Federal Data'!$G2:$G501,"Disaster Relief",'Federal Data'!$D2:$D501,"Nongrant")</f>
        <v>2246000</v>
      </c>
      <c r="AA37" s="113">
        <f>SUMIFS('Federal Data'!AK2:AK501,'Federal Data'!$G2:$G501,"Disaster Relief",'Federal Data'!$D2:$D501,"Nongrant")</f>
        <v>1812000</v>
      </c>
      <c r="AB37" s="113">
        <f>SUMIFS('Federal Data'!AL2:AL501,'Federal Data'!$G2:$G501,"Disaster Relief",'Federal Data'!$D2:$D501,"Nongrant")</f>
        <v>4115000</v>
      </c>
      <c r="AC37" s="113">
        <f>SUMIFS('Federal Data'!AM2:AM501,'Federal Data'!$G2:$G501,"Disaster Relief",'Federal Data'!$D2:$D501,"Nongrant")</f>
        <v>31309000</v>
      </c>
      <c r="AD37" s="113">
        <f>SUMIFS('Federal Data'!AN2:AN501,'Federal Data'!$G2:$G501,"Disaster Relief",'Federal Data'!$D2:$D501,"Nongrant")</f>
        <v>6952000</v>
      </c>
      <c r="AE37" s="113">
        <f>SUMIFS('Federal Data'!AO2:AO501,'Federal Data'!$G2:$G501,"Disaster Relief",'Federal Data'!$D2:$D501,"Nongrant")</f>
        <v>2540000</v>
      </c>
      <c r="AF37" s="113">
        <f>SUMIFS('Federal Data'!AP2:AP501,'Federal Data'!$G2:$G501,"Disaster Relief",'Federal Data'!$D2:$D501,"Nongrant")</f>
        <v>7642000</v>
      </c>
      <c r="AG37" s="113">
        <f>SUMIFS('Federal Data'!AQ2:AQ501,'Federal Data'!$G2:$G501,"Disaster Relief",'Federal Data'!$D2:$D501,"Nongrant")</f>
        <v>2261000</v>
      </c>
      <c r="AH37" s="113">
        <f>SUMIFS('Federal Data'!AR2:AR501,'Federal Data'!$G2:$G501,"Disaster Relief",'Federal Data'!$D2:$D501,"Nongrant")</f>
        <v>705000</v>
      </c>
      <c r="AI37" s="113">
        <f>SUMIFS('Federal Data'!AS2:AS501,'Federal Data'!$G2:$G501,"Disaster Relief",'Federal Data'!$D2:$D501,"Nongrant")</f>
        <v>1733000</v>
      </c>
      <c r="AJ37" s="113">
        <f>SUMIFS('Federal Data'!AT2:AT501,'Federal Data'!$G2:$G501,"Disaster Relief",'Federal Data'!$D2:$D501,"Nongrant")</f>
        <v>15184000</v>
      </c>
      <c r="AK37" s="113">
        <f>SUMIFS('Federal Data'!AU2:AU501,'Federal Data'!$G2:$G501,"Disaster Relief",'Federal Data'!$D2:$D501,"Nongrant")</f>
        <v>4988000</v>
      </c>
      <c r="AL37" s="113">
        <f>SUMIFS('Federal Data'!AV2:AV501,'Federal Data'!$G2:$G501,"Disaster Relief",'Federal Data'!$D2:$D501,"Nongrant")</f>
        <v>3068000</v>
      </c>
    </row>
    <row r="38" spans="1:38" outlineLevel="2">
      <c r="A38" s="22" t="str">
        <f>B31</f>
        <v>Establish Justice and Ensure Domestic Tranquility</v>
      </c>
      <c r="B38" s="28" t="s">
        <v>262</v>
      </c>
      <c r="C38" s="113">
        <f>SUMIFS('Federal Data'!M2:M501,'Federal Data'!$F2:$F501,"General Business Regulation",'Federal Data'!$D2:$D501,"Nongrant")</f>
        <v>1626416</v>
      </c>
      <c r="D38" s="113">
        <f>SUMIFS('Federal Data'!N2:N501,'Federal Data'!$F2:$F501,"General Business Regulation",'Federal Data'!$D2:$D501,"Nongrant")</f>
        <v>1717261</v>
      </c>
      <c r="E38" s="113">
        <f>SUMIFS('Federal Data'!O2:O501,'Federal Data'!$F2:$F501,"General Business Regulation",'Federal Data'!$D2:$D501,"Nongrant")</f>
        <v>1746586</v>
      </c>
      <c r="F38" s="113">
        <f>SUMIFS('Federal Data'!P2:P501,'Federal Data'!$F2:$F501,"General Business Regulation",'Federal Data'!$D2:$D501,"Nongrant")</f>
        <v>1749609</v>
      </c>
      <c r="G38" s="113">
        <f>SUMIFS('Federal Data'!Q2:Q501,'Federal Data'!$F2:$F501,"General Business Regulation",'Federal Data'!$D2:$D501,"Nongrant")</f>
        <v>1824386</v>
      </c>
      <c r="H38" s="113">
        <f>SUMIFS('Federal Data'!R2:R501,'Federal Data'!$F2:$F501,"General Business Regulation",'Federal Data'!$D2:$D501,"Nongrant")</f>
        <v>1948900</v>
      </c>
      <c r="I38" s="113">
        <f>SUMIFS('Federal Data'!S2:S501,'Federal Data'!$F2:$F501,"General Business Regulation",'Federal Data'!$D2:$D501,"Nongrant")</f>
        <v>1958647</v>
      </c>
      <c r="J38" s="113">
        <f>SUMIFS('Federal Data'!T2:T501,'Federal Data'!$F2:$F501,"General Business Regulation",'Federal Data'!$D2:$D501,"Nongrant")</f>
        <v>2044006</v>
      </c>
      <c r="K38" s="113">
        <f>SUMIFS('Federal Data'!U2:U501,'Federal Data'!$F2:$F501,"General Business Regulation",'Federal Data'!$D2:$D501,"Nongrant")</f>
        <v>2157626</v>
      </c>
      <c r="L38" s="113">
        <f>SUMIFS('Federal Data'!V2:V501,'Federal Data'!$F2:$F501,"General Business Regulation",'Federal Data'!$D2:$D501,"Nongrant")</f>
        <v>2468697</v>
      </c>
      <c r="M38" s="113">
        <f>SUMIFS('Federal Data'!W2:W501,'Federal Data'!$F2:$F501,"General Business Regulation",'Federal Data'!$D2:$D501,"Nongrant")</f>
        <v>2543879</v>
      </c>
      <c r="N38" s="113">
        <f>SUMIFS('Federal Data'!X2:X501,'Federal Data'!$F2:$F501,"General Business Regulation",'Federal Data'!$D2:$D501,"Nongrant")</f>
        <v>2467736</v>
      </c>
      <c r="O38" s="113">
        <f>SUMIFS('Federal Data'!Y2:Y501,'Federal Data'!$F2:$F501,"General Business Regulation",'Federal Data'!$D2:$D501,"Nongrant")</f>
        <v>2733280</v>
      </c>
      <c r="P38" s="113">
        <f>SUMIFS('Federal Data'!Z2:Z501,'Federal Data'!$F2:$F501,"General Business Regulation",'Federal Data'!$D2:$D501,"Nongrant")</f>
        <v>2507029</v>
      </c>
      <c r="Q38" s="113">
        <f>SUMIFS('Federal Data'!AA2:AA501,'Federal Data'!$F2:$F501,"General Business Regulation",'Federal Data'!$D2:$D501,"Nongrant")</f>
        <v>2720996</v>
      </c>
      <c r="R38" s="113">
        <f>SUMIFS('Federal Data'!AB2:AB501,'Federal Data'!$F2:$F501,"General Business Regulation",'Federal Data'!$D2:$D501,"Nongrant")</f>
        <v>2885000</v>
      </c>
      <c r="S38" s="113">
        <f>SUMIFS('Federal Data'!AC2:AC501,'Federal Data'!$F2:$F501,"General Business Regulation",'Federal Data'!$D2:$D501,"Nongrant")</f>
        <v>2513000</v>
      </c>
      <c r="T38" s="113">
        <f>SUMIFS('Federal Data'!AD2:AD501,'Federal Data'!$F2:$F501,"General Business Regulation",'Federal Data'!$D2:$D501,"Nongrant")</f>
        <v>2713000</v>
      </c>
      <c r="U38" s="113">
        <f>SUMIFS('Federal Data'!AE2:AE501,'Federal Data'!$F2:$F501,"General Business Regulation",'Federal Data'!$D2:$D501,"Nongrant")</f>
        <v>2547000</v>
      </c>
      <c r="V38" s="113">
        <f>SUMIFS('Federal Data'!AF2:AF501,'Federal Data'!$F2:$F501,"General Business Regulation",'Federal Data'!$D2:$D501,"Nongrant")</f>
        <v>2733000</v>
      </c>
      <c r="W38" s="113">
        <f>SUMIFS('Federal Data'!AG2:AG501,'Federal Data'!$F2:$F501,"General Business Regulation",'Federal Data'!$D2:$D501,"Nongrant")</f>
        <v>2843000</v>
      </c>
      <c r="X38" s="113">
        <f>SUMIFS('Federal Data'!AH2:AH501,'Federal Data'!$F2:$F501,"General Business Regulation",'Federal Data'!$D2:$D501,"Nongrant")</f>
        <v>3133000</v>
      </c>
      <c r="Y38" s="113">
        <f>SUMIFS('Federal Data'!AI2:AI501,'Federal Data'!$F2:$F501,"General Business Regulation",'Federal Data'!$D2:$D501,"Nongrant")</f>
        <v>3211000</v>
      </c>
      <c r="Z38" s="113">
        <f>SUMIFS('Federal Data'!AJ2:AJ501,'Federal Data'!$F2:$F501,"General Business Regulation",'Federal Data'!$D2:$D501,"Nongrant")</f>
        <v>3482000</v>
      </c>
      <c r="AA38" s="113">
        <f>SUMIFS('Federal Data'!AK2:AK501,'Federal Data'!$F2:$F501,"General Business Regulation",'Federal Data'!$D2:$D501,"Nongrant")</f>
        <v>3467000</v>
      </c>
      <c r="AB38" s="113">
        <f>SUMIFS('Federal Data'!AL2:AL501,'Federal Data'!$F2:$F501,"General Business Regulation",'Federal Data'!$D2:$D501,"Nongrant")</f>
        <v>3243000</v>
      </c>
      <c r="AC38" s="113">
        <f>SUMIFS('Federal Data'!AM2:AM501,'Federal Data'!$F2:$F501,"General Business Regulation",'Federal Data'!$D2:$D501,"Nongrant")</f>
        <v>3304000</v>
      </c>
      <c r="AD38" s="113">
        <f>SUMIFS('Federal Data'!AN2:AN501,'Federal Data'!$F2:$F501,"General Business Regulation",'Federal Data'!$D2:$D501,"Nongrant")</f>
        <v>3966000</v>
      </c>
      <c r="AE38" s="113">
        <f>SUMIFS('Federal Data'!AO2:AO501,'Federal Data'!$F2:$F501,"General Business Regulation",'Federal Data'!$D2:$D501,"Nongrant")</f>
        <v>4236000</v>
      </c>
      <c r="AF38" s="113">
        <f>SUMIFS('Federal Data'!AP2:AP501,'Federal Data'!$F2:$F501,"General Business Regulation",'Federal Data'!$D2:$D501,"Nongrant")</f>
        <v>6047000</v>
      </c>
      <c r="AG38" s="113">
        <f>SUMIFS('Federal Data'!AQ2:AQ501,'Federal Data'!$F2:$F501,"General Business Regulation",'Federal Data'!$D2:$D501,"Nongrant")</f>
        <v>6525000</v>
      </c>
      <c r="AH38" s="113">
        <f>SUMIFS('Federal Data'!AR2:AR501,'Federal Data'!$F2:$F501,"General Business Regulation",'Federal Data'!$D2:$D501,"Nongrant")</f>
        <v>5255000</v>
      </c>
      <c r="AI38" s="113">
        <f>SUMIFS('Federal Data'!AS2:AS501,'Federal Data'!$F2:$F501,"General Business Regulation",'Federal Data'!$D2:$D501,"Nongrant")</f>
        <v>5815000</v>
      </c>
      <c r="AJ38" s="113">
        <f>SUMIFS('Federal Data'!AT2:AT501,'Federal Data'!$F2:$F501,"General Business Regulation",'Federal Data'!$D2:$D501,"Nongrant")</f>
        <v>5278000</v>
      </c>
      <c r="AK38" s="113">
        <f>SUMIFS('Federal Data'!AU2:AU501,'Federal Data'!$F2:$F501,"General Business Regulation",'Federal Data'!$D2:$D501,"Nongrant")</f>
        <v>5561000</v>
      </c>
      <c r="AL38" s="113">
        <f>SUMIFS('Federal Data'!AV2:AV501,'Federal Data'!$F2:$F501,"General Business Regulation",'Federal Data'!$D2:$D501,"Nongrant")</f>
        <v>6556000</v>
      </c>
    </row>
    <row r="39" spans="1:38" outlineLevel="3">
      <c r="A39" s="22" t="str">
        <f>B38</f>
        <v>Safeguarding Consumers and Employees</v>
      </c>
      <c r="B39" s="29" t="s">
        <v>91</v>
      </c>
      <c r="C39" s="113">
        <f>SUMIFS('Federal Data'!M2:M501,'Federal Data'!$G2:$G501,"Consumer Protection",'Federal Data'!$D2:$D501,"Nongrant")</f>
        <v>717821</v>
      </c>
      <c r="D39" s="113">
        <f>SUMIFS('Federal Data'!N2:N501,'Federal Data'!$G2:$G501,"Consumer Protection",'Federal Data'!$D2:$D501,"Nongrant")</f>
        <v>736935</v>
      </c>
      <c r="E39" s="113">
        <f>SUMIFS('Federal Data'!O2:O501,'Federal Data'!$G2:$G501,"Consumer Protection",'Federal Data'!$D2:$D501,"Nongrant")</f>
        <v>747735</v>
      </c>
      <c r="F39" s="113">
        <f>SUMIFS('Federal Data'!P2:P501,'Federal Data'!$G2:$G501,"Consumer Protection",'Federal Data'!$D2:$D501,"Nongrant")</f>
        <v>780363</v>
      </c>
      <c r="G39" s="113">
        <f>SUMIFS('Federal Data'!Q2:Q501,'Federal Data'!$G2:$G501,"Consumer Protection",'Federal Data'!$D2:$D501,"Nongrant")</f>
        <v>822081</v>
      </c>
      <c r="H39" s="113">
        <f>SUMIFS('Federal Data'!R2:R501,'Federal Data'!$G2:$G501,"Consumer Protection",'Federal Data'!$D2:$D501,"Nongrant")</f>
        <v>881852</v>
      </c>
      <c r="I39" s="113">
        <f>SUMIFS('Federal Data'!S2:S501,'Federal Data'!$G2:$G501,"Consumer Protection",'Federal Data'!$D2:$D501,"Nongrant")</f>
        <v>870218</v>
      </c>
      <c r="J39" s="113">
        <f>SUMIFS('Federal Data'!T2:T501,'Federal Data'!$G2:$G501,"Consumer Protection",'Federal Data'!$D2:$D501,"Nongrant")</f>
        <v>901402</v>
      </c>
      <c r="K39" s="113">
        <f>SUMIFS('Federal Data'!U2:U501,'Federal Data'!$G2:$G501,"Consumer Protection",'Federal Data'!$D2:$D501,"Nongrant")</f>
        <v>977638</v>
      </c>
      <c r="L39" s="113">
        <f>SUMIFS('Federal Data'!V2:V501,'Federal Data'!$G2:$G501,"Consumer Protection",'Federal Data'!$D2:$D501,"Nongrant")</f>
        <v>1048454</v>
      </c>
      <c r="M39" s="113">
        <f>SUMIFS('Federal Data'!W2:W501,'Federal Data'!$G2:$G501,"Consumer Protection",'Federal Data'!$D2:$D501,"Nongrant")</f>
        <v>1101564</v>
      </c>
      <c r="N39" s="113">
        <f>SUMIFS('Federal Data'!X2:X501,'Federal Data'!$G2:$G501,"Consumer Protection",'Federal Data'!$D2:$D501,"Nongrant")</f>
        <v>1229030</v>
      </c>
      <c r="O39" s="113">
        <f>SUMIFS('Federal Data'!Y2:Y501,'Federal Data'!$G2:$G501,"Consumer Protection",'Federal Data'!$D2:$D501,"Nongrant")</f>
        <v>1335881</v>
      </c>
      <c r="P39" s="113">
        <f>SUMIFS('Federal Data'!Z2:Z501,'Federal Data'!$G2:$G501,"Consumer Protection",'Federal Data'!$D2:$D501,"Nongrant")</f>
        <v>1344636</v>
      </c>
      <c r="Q39" s="113">
        <f>SUMIFS('Federal Data'!AA2:AA501,'Federal Data'!$G2:$G501,"Consumer Protection",'Federal Data'!$D2:$D501,"Nongrant")</f>
        <v>1385536</v>
      </c>
      <c r="R39" s="113">
        <f>SUMIFS('Federal Data'!AB2:AB501,'Federal Data'!$G2:$G501,"Consumer Protection",'Federal Data'!$D2:$D501,"Nongrant")</f>
        <v>1502000</v>
      </c>
      <c r="S39" s="113">
        <f>SUMIFS('Federal Data'!AC2:AC501,'Federal Data'!$G2:$G501,"Consumer Protection",'Federal Data'!$D2:$D501,"Nongrant")</f>
        <v>1440000</v>
      </c>
      <c r="T39" s="113">
        <f>SUMIFS('Federal Data'!AD2:AD501,'Federal Data'!$G2:$G501,"Consumer Protection",'Federal Data'!$D2:$D501,"Nongrant")</f>
        <v>1422000</v>
      </c>
      <c r="U39" s="113">
        <f>SUMIFS('Federal Data'!AE2:AE501,'Federal Data'!$G2:$G501,"Consumer Protection",'Federal Data'!$D2:$D501,"Nongrant")</f>
        <v>1201000</v>
      </c>
      <c r="V39" s="113">
        <f>SUMIFS('Federal Data'!AF2:AF501,'Federal Data'!$G2:$G501,"Consumer Protection",'Federal Data'!$D2:$D501,"Nongrant")</f>
        <v>1299000</v>
      </c>
      <c r="W39" s="113">
        <f>SUMIFS('Federal Data'!AG2:AG501,'Federal Data'!$G2:$G501,"Consumer Protection",'Federal Data'!$D2:$D501,"Nongrant")</f>
        <v>1167000</v>
      </c>
      <c r="X39" s="113">
        <f>SUMIFS('Federal Data'!AH2:AH501,'Federal Data'!$G2:$G501,"Consumer Protection",'Federal Data'!$D2:$D501,"Nongrant")</f>
        <v>1399000</v>
      </c>
      <c r="Y39" s="113">
        <f>SUMIFS('Federal Data'!AI2:AI501,'Federal Data'!$G2:$G501,"Consumer Protection",'Federal Data'!$D2:$D501,"Nongrant")</f>
        <v>1314000</v>
      </c>
      <c r="Z39" s="113">
        <f>SUMIFS('Federal Data'!AJ2:AJ501,'Federal Data'!$G2:$G501,"Consumer Protection",'Federal Data'!$D2:$D501,"Nongrant")</f>
        <v>1610000</v>
      </c>
      <c r="AA39" s="113">
        <f>SUMIFS('Federal Data'!AK2:AK501,'Federal Data'!$G2:$G501,"Consumer Protection",'Federal Data'!$D2:$D501,"Nongrant")</f>
        <v>1469000</v>
      </c>
      <c r="AB39" s="113">
        <f>SUMIFS('Federal Data'!AL2:AL501,'Federal Data'!$G2:$G501,"Consumer Protection",'Federal Data'!$D2:$D501,"Nongrant")</f>
        <v>1350000</v>
      </c>
      <c r="AC39" s="113">
        <f>SUMIFS('Federal Data'!AM2:AM501,'Federal Data'!$G2:$G501,"Consumer Protection",'Federal Data'!$D2:$D501,"Nongrant")</f>
        <v>1268000</v>
      </c>
      <c r="AD39" s="113">
        <f>SUMIFS('Federal Data'!AN2:AN501,'Federal Data'!$G2:$G501,"Consumer Protection",'Federal Data'!$D2:$D501,"Nongrant")</f>
        <v>1684000</v>
      </c>
      <c r="AE39" s="113">
        <f>SUMIFS('Federal Data'!AO2:AO501,'Federal Data'!$G2:$G501,"Consumer Protection",'Federal Data'!$D2:$D501,"Nongrant")</f>
        <v>1968000</v>
      </c>
      <c r="AF39" s="113">
        <f>SUMIFS('Federal Data'!AP2:AP501,'Federal Data'!$G2:$G501,"Consumer Protection",'Federal Data'!$D2:$D501,"Nongrant")</f>
        <v>3463000</v>
      </c>
      <c r="AG39" s="113">
        <f>SUMIFS('Federal Data'!AQ2:AQ501,'Federal Data'!$G2:$G501,"Consumer Protection",'Federal Data'!$D2:$D501,"Nongrant")</f>
        <v>3164000</v>
      </c>
      <c r="AH39" s="113">
        <f>SUMIFS('Federal Data'!AR2:AR501,'Federal Data'!$G2:$G501,"Consumer Protection",'Federal Data'!$D2:$D501,"Nongrant")</f>
        <v>3008000</v>
      </c>
      <c r="AI39" s="113">
        <f>SUMIFS('Federal Data'!AS2:AS501,'Federal Data'!$G2:$G501,"Consumer Protection",'Federal Data'!$D2:$D501,"Nongrant")</f>
        <v>3467000</v>
      </c>
      <c r="AJ39" s="113">
        <f>SUMIFS('Federal Data'!AT2:AT501,'Federal Data'!$G2:$G501,"Consumer Protection",'Federal Data'!$D2:$D501,"Nongrant")</f>
        <v>3098000</v>
      </c>
      <c r="AK39" s="113">
        <f>SUMIFS('Federal Data'!AU2:AU501,'Federal Data'!$G2:$G501,"Consumer Protection",'Federal Data'!$D2:$D501,"Nongrant")</f>
        <v>3651000</v>
      </c>
      <c r="AL39" s="113">
        <f>SUMIFS('Federal Data'!AV2:AV501,'Federal Data'!$G2:$G501,"Consumer Protection",'Federal Data'!$D2:$D501,"Nongrant")</f>
        <v>4168000</v>
      </c>
    </row>
    <row r="40" spans="1:38" outlineLevel="3">
      <c r="A40" s="22" t="str">
        <f>B38</f>
        <v>Safeguarding Consumers and Employees</v>
      </c>
      <c r="B40" s="29" t="s">
        <v>92</v>
      </c>
      <c r="C40" s="113">
        <f>SUMIFS('Federal Data'!M2:M501,'Federal Data'!$G2:$G501,"Employee Protection",'Federal Data'!$D2:$D501,"Nongrant")</f>
        <v>728937</v>
      </c>
      <c r="D40" s="113">
        <f>SUMIFS('Federal Data'!N2:N501,'Federal Data'!$G2:$G501,"Employee Protection",'Federal Data'!$D2:$D501,"Nongrant")</f>
        <v>790984</v>
      </c>
      <c r="E40" s="113">
        <f>SUMIFS('Federal Data'!O2:O501,'Federal Data'!$G2:$G501,"Employee Protection",'Federal Data'!$D2:$D501,"Nongrant")</f>
        <v>774212</v>
      </c>
      <c r="F40" s="113">
        <f>SUMIFS('Federal Data'!P2:P501,'Federal Data'!$G2:$G501,"Employee Protection",'Federal Data'!$D2:$D501,"Nongrant")</f>
        <v>785102</v>
      </c>
      <c r="G40" s="113">
        <f>SUMIFS('Federal Data'!Q2:Q501,'Federal Data'!$G2:$G501,"Employee Protection",'Federal Data'!$D2:$D501,"Nongrant")</f>
        <v>809924</v>
      </c>
      <c r="H40" s="113">
        <f>SUMIFS('Federal Data'!R2:R501,'Federal Data'!$G2:$G501,"Employee Protection",'Federal Data'!$D2:$D501,"Nongrant")</f>
        <v>844408</v>
      </c>
      <c r="I40" s="113">
        <f>SUMIFS('Federal Data'!S2:S501,'Federal Data'!$G2:$G501,"Employee Protection",'Federal Data'!$D2:$D501,"Nongrant")</f>
        <v>831242</v>
      </c>
      <c r="J40" s="113">
        <f>SUMIFS('Federal Data'!T2:T501,'Federal Data'!$G2:$G501,"Employee Protection",'Federal Data'!$D2:$D501,"Nongrant")</f>
        <v>826326</v>
      </c>
      <c r="K40" s="113">
        <f>SUMIFS('Federal Data'!U2:U501,'Federal Data'!$G2:$G501,"Employee Protection",'Federal Data'!$D2:$D501,"Nongrant")</f>
        <v>916897</v>
      </c>
      <c r="L40" s="113">
        <f>SUMIFS('Federal Data'!V2:V501,'Federal Data'!$G2:$G501,"Employee Protection",'Federal Data'!$D2:$D501,"Nongrant")</f>
        <v>957746</v>
      </c>
      <c r="M40" s="113">
        <f>SUMIFS('Federal Data'!W2:W501,'Federal Data'!$G2:$G501,"Employee Protection",'Federal Data'!$D2:$D501,"Nongrant")</f>
        <v>1013700</v>
      </c>
      <c r="N40" s="113">
        <f>SUMIFS('Federal Data'!X2:X501,'Federal Data'!$G2:$G501,"Employee Protection",'Federal Data'!$D2:$D501,"Nongrant")</f>
        <v>948268</v>
      </c>
      <c r="O40" s="113">
        <f>SUMIFS('Federal Data'!Y2:Y501,'Federal Data'!$G2:$G501,"Employee Protection",'Federal Data'!$D2:$D501,"Nongrant")</f>
        <v>1074924</v>
      </c>
      <c r="P40" s="113">
        <f>SUMIFS('Federal Data'!Z2:Z501,'Federal Data'!$G2:$G501,"Employee Protection",'Federal Data'!$D2:$D501,"Nongrant")</f>
        <v>1075993</v>
      </c>
      <c r="Q40" s="113">
        <f>SUMIFS('Federal Data'!AA2:AA501,'Federal Data'!$G2:$G501,"Employee Protection",'Federal Data'!$D2:$D501,"Nongrant")</f>
        <v>1102305</v>
      </c>
      <c r="R40" s="113">
        <f>SUMIFS('Federal Data'!AB2:AB501,'Federal Data'!$G2:$G501,"Employee Protection",'Federal Data'!$D2:$D501,"Nongrant")</f>
        <v>1107000</v>
      </c>
      <c r="S40" s="113">
        <f>SUMIFS('Federal Data'!AC2:AC501,'Federal Data'!$G2:$G501,"Employee Protection",'Federal Data'!$D2:$D501,"Nongrant")</f>
        <v>1060000</v>
      </c>
      <c r="T40" s="113">
        <f>SUMIFS('Federal Data'!AD2:AD501,'Federal Data'!$G2:$G501,"Employee Protection",'Federal Data'!$D2:$D501,"Nongrant")</f>
        <v>1144000</v>
      </c>
      <c r="U40" s="113">
        <f>SUMIFS('Federal Data'!AE2:AE501,'Federal Data'!$G2:$G501,"Employee Protection",'Federal Data'!$D2:$D501,"Nongrant")</f>
        <v>1190000</v>
      </c>
      <c r="V40" s="113">
        <f>SUMIFS('Federal Data'!AF2:AF501,'Federal Data'!$G2:$G501,"Employee Protection",'Federal Data'!$D2:$D501,"Nongrant")</f>
        <v>1240000</v>
      </c>
      <c r="W40" s="113">
        <f>SUMIFS('Federal Data'!AG2:AG501,'Federal Data'!$G2:$G501,"Employee Protection",'Federal Data'!$D2:$D501,"Nongrant")</f>
        <v>1359000</v>
      </c>
      <c r="X40" s="113">
        <f>SUMIFS('Federal Data'!AH2:AH501,'Federal Data'!$G2:$G501,"Employee Protection",'Federal Data'!$D2:$D501,"Nongrant")</f>
        <v>1471000</v>
      </c>
      <c r="Y40" s="113">
        <f>SUMIFS('Federal Data'!AI2:AI501,'Federal Data'!$G2:$G501,"Employee Protection",'Federal Data'!$D2:$D501,"Nongrant")</f>
        <v>1609000</v>
      </c>
      <c r="Z40" s="113">
        <f>SUMIFS('Federal Data'!AJ2:AJ501,'Federal Data'!$G2:$G501,"Employee Protection",'Federal Data'!$D2:$D501,"Nongrant")</f>
        <v>1678000</v>
      </c>
      <c r="AA40" s="113">
        <f>SUMIFS('Federal Data'!AK2:AK501,'Federal Data'!$G2:$G501,"Employee Protection",'Federal Data'!$D2:$D501,"Nongrant")</f>
        <v>1754000</v>
      </c>
      <c r="AB40" s="113">
        <f>SUMIFS('Federal Data'!AL2:AL501,'Federal Data'!$G2:$G501,"Employee Protection",'Federal Data'!$D2:$D501,"Nongrant")</f>
        <v>1811000</v>
      </c>
      <c r="AC40" s="113">
        <f>SUMIFS('Federal Data'!AM2:AM501,'Federal Data'!$G2:$G501,"Employee Protection",'Federal Data'!$D2:$D501,"Nongrant")</f>
        <v>1843000</v>
      </c>
      <c r="AD40" s="113">
        <f>SUMIFS('Federal Data'!AN2:AN501,'Federal Data'!$G2:$G501,"Employee Protection",'Federal Data'!$D2:$D501,"Nongrant")</f>
        <v>1846000</v>
      </c>
      <c r="AE40" s="113">
        <f>SUMIFS('Federal Data'!AO2:AO501,'Federal Data'!$G2:$G501,"Employee Protection",'Federal Data'!$D2:$D501,"Nongrant")</f>
        <v>1904000</v>
      </c>
      <c r="AF40" s="113">
        <f>SUMIFS('Federal Data'!AP2:AP501,'Federal Data'!$G2:$G501,"Employee Protection",'Federal Data'!$D2:$D501,"Nongrant")</f>
        <v>1915000</v>
      </c>
      <c r="AG40" s="113">
        <f>SUMIFS('Federal Data'!AQ2:AQ501,'Federal Data'!$G2:$G501,"Employee Protection",'Federal Data'!$D2:$D501,"Nongrant")</f>
        <v>2040000</v>
      </c>
      <c r="AH40" s="113">
        <f>SUMIFS('Federal Data'!AR2:AR501,'Federal Data'!$G2:$G501,"Employee Protection",'Federal Data'!$D2:$D501,"Nongrant")</f>
        <v>2164000</v>
      </c>
      <c r="AI40" s="113">
        <f>SUMIFS('Federal Data'!AS2:AS501,'Federal Data'!$G2:$G501,"Employee Protection",'Federal Data'!$D2:$D501,"Nongrant")</f>
        <v>2162000</v>
      </c>
      <c r="AJ40" s="113">
        <f>SUMIFS('Federal Data'!AT2:AT501,'Federal Data'!$G2:$G501,"Employee Protection",'Federal Data'!$D2:$D501,"Nongrant")</f>
        <v>2184000</v>
      </c>
      <c r="AK40" s="113">
        <f>SUMIFS('Federal Data'!AU2:AU501,'Federal Data'!$G2:$G501,"Employee Protection",'Federal Data'!$D2:$D501,"Nongrant")</f>
        <v>2114000</v>
      </c>
      <c r="AL40" s="113">
        <f>SUMIFS('Federal Data'!AV2:AV501,'Federal Data'!$G2:$G501,"Employee Protection",'Federal Data'!$D2:$D501,"Nongrant")</f>
        <v>2115000</v>
      </c>
    </row>
    <row r="41" spans="1:38" outlineLevel="3">
      <c r="A41" s="22" t="str">
        <f>B38</f>
        <v>Safeguarding Consumers and Employees</v>
      </c>
      <c r="B41" s="29" t="s">
        <v>120</v>
      </c>
      <c r="C41" s="113">
        <f>SUMIFS('Federal Data'!M2:M501,'Federal Data'!$G2:$G501,"Patents and Copyrights",'Federal Data'!$D2:$D501,"Nongrant")</f>
        <v>111142</v>
      </c>
      <c r="D41" s="113">
        <f>SUMIFS('Federal Data'!N2:N501,'Federal Data'!$G2:$G501,"Patents and Copyrights",'Federal Data'!$D2:$D501,"Nongrant")</f>
        <v>119218</v>
      </c>
      <c r="E41" s="113">
        <f>SUMIFS('Federal Data'!O2:O501,'Federal Data'!$G2:$G501,"Patents and Copyrights",'Federal Data'!$D2:$D501,"Nongrant")</f>
        <v>156633</v>
      </c>
      <c r="F41" s="113">
        <f>SUMIFS('Federal Data'!P2:P501,'Federal Data'!$G2:$G501,"Patents and Copyrights",'Federal Data'!$D2:$D501,"Nongrant")</f>
        <v>118680</v>
      </c>
      <c r="G41" s="113">
        <f>SUMIFS('Federal Data'!Q2:Q501,'Federal Data'!$G2:$G501,"Patents and Copyrights",'Federal Data'!$D2:$D501,"Nongrant")</f>
        <v>126517</v>
      </c>
      <c r="H41" s="113">
        <f>SUMIFS('Federal Data'!R2:R501,'Federal Data'!$G2:$G501,"Patents and Copyrights",'Federal Data'!$D2:$D501,"Nongrant")</f>
        <v>157373</v>
      </c>
      <c r="I41" s="113">
        <f>SUMIFS('Federal Data'!S2:S501,'Federal Data'!$G2:$G501,"Patents and Copyrights",'Federal Data'!$D2:$D501,"Nongrant")</f>
        <v>195173</v>
      </c>
      <c r="J41" s="113">
        <f>SUMIFS('Federal Data'!T2:T501,'Federal Data'!$G2:$G501,"Patents and Copyrights",'Federal Data'!$D2:$D501,"Nongrant")</f>
        <v>250211</v>
      </c>
      <c r="K41" s="113">
        <f>SUMIFS('Federal Data'!U2:U501,'Federal Data'!$G2:$G501,"Patents and Copyrights",'Federal Data'!$D2:$D501,"Nongrant")</f>
        <v>167670</v>
      </c>
      <c r="L41" s="113">
        <f>SUMIFS('Federal Data'!V2:V501,'Federal Data'!$G2:$G501,"Patents and Copyrights",'Federal Data'!$D2:$D501,"Nongrant")</f>
        <v>354162</v>
      </c>
      <c r="M41" s="113">
        <f>SUMIFS('Federal Data'!W2:W501,'Federal Data'!$G2:$G501,"Patents and Copyrights",'Federal Data'!$D2:$D501,"Nongrant")</f>
        <v>331638</v>
      </c>
      <c r="N41" s="113">
        <f>SUMIFS('Federal Data'!X2:X501,'Federal Data'!$G2:$G501,"Patents and Copyrights",'Federal Data'!$D2:$D501,"Nongrant")</f>
        <v>186428</v>
      </c>
      <c r="O41" s="113">
        <f>SUMIFS('Federal Data'!Y2:Y501,'Federal Data'!$G2:$G501,"Patents and Copyrights",'Federal Data'!$D2:$D501,"Nongrant")</f>
        <v>207834</v>
      </c>
      <c r="P41" s="113">
        <f>SUMIFS('Federal Data'!Z2:Z501,'Federal Data'!$G2:$G501,"Patents and Copyrights",'Federal Data'!$D2:$D501,"Nongrant")</f>
        <v>-18601</v>
      </c>
      <c r="Q41" s="113">
        <f>SUMIFS('Federal Data'!AA2:AA501,'Federal Data'!$G2:$G501,"Patents and Copyrights",'Federal Data'!$D2:$D501,"Nongrant")</f>
        <v>129535</v>
      </c>
      <c r="R41" s="113">
        <f>SUMIFS('Federal Data'!AB2:AB501,'Federal Data'!$G2:$G501,"Patents and Copyrights",'Federal Data'!$D2:$D501,"Nongrant")</f>
        <v>206000</v>
      </c>
      <c r="S41" s="113">
        <f>SUMIFS('Federal Data'!AC2:AC501,'Federal Data'!$G2:$G501,"Patents and Copyrights",'Federal Data'!$D2:$D501,"Nongrant")</f>
        <v>-64000</v>
      </c>
      <c r="T41" s="113">
        <f>SUMIFS('Federal Data'!AD2:AD501,'Federal Data'!$G2:$G501,"Patents and Copyrights",'Federal Data'!$D2:$D501,"Nongrant")</f>
        <v>81000</v>
      </c>
      <c r="U41" s="113">
        <f>SUMIFS('Federal Data'!AE2:AE501,'Federal Data'!$G2:$G501,"Patents and Copyrights",'Federal Data'!$D2:$D501,"Nongrant")</f>
        <v>111000</v>
      </c>
      <c r="V41" s="113">
        <f>SUMIFS('Federal Data'!AF2:AF501,'Federal Data'!$G2:$G501,"Patents and Copyrights",'Federal Data'!$D2:$D501,"Nongrant")</f>
        <v>139000</v>
      </c>
      <c r="W41" s="113">
        <f>SUMIFS('Federal Data'!AG2:AG501,'Federal Data'!$G2:$G501,"Patents and Copyrights",'Federal Data'!$D2:$D501,"Nongrant")</f>
        <v>249000</v>
      </c>
      <c r="X41" s="113">
        <f>SUMIFS('Federal Data'!AH2:AH501,'Federal Data'!$G2:$G501,"Patents and Copyrights",'Federal Data'!$D2:$D501,"Nongrant")</f>
        <v>169000</v>
      </c>
      <c r="Y41" s="113">
        <f>SUMIFS('Federal Data'!AI2:AI501,'Federal Data'!$G2:$G501,"Patents and Copyrights",'Federal Data'!$D2:$D501,"Nongrant")</f>
        <v>140000</v>
      </c>
      <c r="Z41" s="113">
        <f>SUMIFS('Federal Data'!AJ2:AJ501,'Federal Data'!$G2:$G501,"Patents and Copyrights",'Federal Data'!$D2:$D501,"Nongrant")</f>
        <v>34000</v>
      </c>
      <c r="AA41" s="113">
        <f>SUMIFS('Federal Data'!AK2:AK501,'Federal Data'!$G2:$G501,"Patents and Copyrights",'Federal Data'!$D2:$D501,"Nongrant")</f>
        <v>100000</v>
      </c>
      <c r="AB41" s="113">
        <f>SUMIFS('Federal Data'!AL2:AL501,'Federal Data'!$G2:$G501,"Patents and Copyrights",'Federal Data'!$D2:$D501,"Nongrant")</f>
        <v>-41000</v>
      </c>
      <c r="AC41" s="113">
        <f>SUMIFS('Federal Data'!AM2:AM501,'Federal Data'!$G2:$G501,"Patents and Copyrights",'Federal Data'!$D2:$D501,"Nongrant")</f>
        <v>64000</v>
      </c>
      <c r="AD41" s="113">
        <f>SUMIFS('Federal Data'!AN2:AN501,'Federal Data'!$G2:$G501,"Patents and Copyrights",'Federal Data'!$D2:$D501,"Nongrant")</f>
        <v>320000</v>
      </c>
      <c r="AE41" s="113">
        <f>SUMIFS('Federal Data'!AO2:AO501,'Federal Data'!$G2:$G501,"Patents and Copyrights",'Federal Data'!$D2:$D501,"Nongrant")</f>
        <v>205000</v>
      </c>
      <c r="AF41" s="113">
        <f>SUMIFS('Federal Data'!AP2:AP501,'Federal Data'!$G2:$G501,"Patents and Copyrights",'Federal Data'!$D2:$D501,"Nongrant")</f>
        <v>396000</v>
      </c>
      <c r="AG41" s="113">
        <f>SUMIFS('Federal Data'!AQ2:AQ501,'Federal Data'!$G2:$G501,"Patents and Copyrights",'Federal Data'!$D2:$D501,"Nongrant")</f>
        <v>1082000</v>
      </c>
      <c r="AH41" s="113">
        <f>SUMIFS('Federal Data'!AR2:AR501,'Federal Data'!$G2:$G501,"Patents and Copyrights",'Federal Data'!$D2:$D501,"Nongrant")</f>
        <v>-166000</v>
      </c>
      <c r="AI41" s="113">
        <f>SUMIFS('Federal Data'!AS2:AS501,'Federal Data'!$G2:$G501,"Patents and Copyrights",'Federal Data'!$D2:$D501,"Nongrant")</f>
        <v>-56000</v>
      </c>
      <c r="AJ41" s="113">
        <f>SUMIFS('Federal Data'!AT2:AT501,'Federal Data'!$G2:$G501,"Patents and Copyrights",'Federal Data'!$D2:$D501,"Nongrant")</f>
        <v>-254000</v>
      </c>
      <c r="AK41" s="113">
        <f>SUMIFS('Federal Data'!AU2:AU501,'Federal Data'!$G2:$G501,"Patents and Copyrights",'Federal Data'!$D2:$D501,"Nongrant")</f>
        <v>-475000</v>
      </c>
      <c r="AL41" s="113">
        <f>SUMIFS('Federal Data'!AV2:AV501,'Federal Data'!$G2:$G501,"Patents and Copyrights",'Federal Data'!$D2:$D501,"Nongrant")</f>
        <v>40000</v>
      </c>
    </row>
    <row r="42" spans="1:38" outlineLevel="3">
      <c r="A42" s="22" t="str">
        <f>B38</f>
        <v>Safeguarding Consumers and Employees</v>
      </c>
      <c r="B42" s="29" t="s">
        <v>93</v>
      </c>
      <c r="C42" s="113">
        <f>SUMIFS('Federal Data'!M2:M501,'Federal Data'!$G2:$G501,"Other Business Regulation",'Federal Data'!$D2:$D501,"Nongrant")</f>
        <v>68516</v>
      </c>
      <c r="D42" s="113">
        <f>SUMIFS('Federal Data'!N2:N501,'Federal Data'!$G2:$G501,"Other Business Regulation",'Federal Data'!$D2:$D501,"Nongrant")</f>
        <v>70124</v>
      </c>
      <c r="E42" s="113">
        <f>SUMIFS('Federal Data'!O2:O501,'Federal Data'!$G2:$G501,"Other Business Regulation",'Federal Data'!$D2:$D501,"Nongrant")</f>
        <v>68006</v>
      </c>
      <c r="F42" s="113">
        <f>SUMIFS('Federal Data'!P2:P501,'Federal Data'!$G2:$G501,"Other Business Regulation",'Federal Data'!$D2:$D501,"Nongrant")</f>
        <v>65464</v>
      </c>
      <c r="G42" s="113">
        <f>SUMIFS('Federal Data'!Q2:Q501,'Federal Data'!$G2:$G501,"Other Business Regulation",'Federal Data'!$D2:$D501,"Nongrant")</f>
        <v>65864</v>
      </c>
      <c r="H42" s="113">
        <f>SUMIFS('Federal Data'!R2:R501,'Federal Data'!$G2:$G501,"Other Business Regulation",'Federal Data'!$D2:$D501,"Nongrant")</f>
        <v>65267</v>
      </c>
      <c r="I42" s="113">
        <f>SUMIFS('Federal Data'!S2:S501,'Federal Data'!$G2:$G501,"Other Business Regulation",'Federal Data'!$D2:$D501,"Nongrant")</f>
        <v>62014</v>
      </c>
      <c r="J42" s="113">
        <f>SUMIFS('Federal Data'!T2:T501,'Federal Data'!$G2:$G501,"Other Business Regulation",'Federal Data'!$D2:$D501,"Nongrant")</f>
        <v>66067</v>
      </c>
      <c r="K42" s="113">
        <f>SUMIFS('Federal Data'!U2:U501,'Federal Data'!$G2:$G501,"Other Business Regulation",'Federal Data'!$D2:$D501,"Nongrant")</f>
        <v>95421</v>
      </c>
      <c r="L42" s="113">
        <f>SUMIFS('Federal Data'!V2:V501,'Federal Data'!$G2:$G501,"Other Business Regulation",'Federal Data'!$D2:$D501,"Nongrant")</f>
        <v>108335</v>
      </c>
      <c r="M42" s="113">
        <f>SUMIFS('Federal Data'!W2:W501,'Federal Data'!$G2:$G501,"Other Business Regulation",'Federal Data'!$D2:$D501,"Nongrant")</f>
        <v>96977</v>
      </c>
      <c r="N42" s="113">
        <f>SUMIFS('Federal Data'!X2:X501,'Federal Data'!$G2:$G501,"Other Business Regulation",'Federal Data'!$D2:$D501,"Nongrant")</f>
        <v>104010</v>
      </c>
      <c r="O42" s="113">
        <f>SUMIFS('Federal Data'!Y2:Y501,'Federal Data'!$G2:$G501,"Other Business Regulation",'Federal Data'!$D2:$D501,"Nongrant")</f>
        <v>114641</v>
      </c>
      <c r="P42" s="113">
        <f>SUMIFS('Federal Data'!Z2:Z501,'Federal Data'!$G2:$G501,"Other Business Regulation",'Federal Data'!$D2:$D501,"Nongrant")</f>
        <v>105001</v>
      </c>
      <c r="Q42" s="113">
        <f>SUMIFS('Federal Data'!AA2:AA501,'Federal Data'!$G2:$G501,"Other Business Regulation",'Federal Data'!$D2:$D501,"Nongrant")</f>
        <v>103620</v>
      </c>
      <c r="R42" s="113">
        <f>SUMIFS('Federal Data'!AB2:AB501,'Federal Data'!$G2:$G501,"Other Business Regulation",'Federal Data'!$D2:$D501,"Nongrant")</f>
        <v>70000</v>
      </c>
      <c r="S42" s="113">
        <f>SUMIFS('Federal Data'!AC2:AC501,'Federal Data'!$G2:$G501,"Other Business Regulation",'Federal Data'!$D2:$D501,"Nongrant")</f>
        <v>77000</v>
      </c>
      <c r="T42" s="113">
        <f>SUMIFS('Federal Data'!AD2:AD501,'Federal Data'!$G2:$G501,"Other Business Regulation",'Federal Data'!$D2:$D501,"Nongrant")</f>
        <v>66000</v>
      </c>
      <c r="U42" s="113">
        <f>SUMIFS('Federal Data'!AE2:AE501,'Federal Data'!$G2:$G501,"Other Business Regulation",'Federal Data'!$D2:$D501,"Nongrant")</f>
        <v>45000</v>
      </c>
      <c r="V42" s="113">
        <f>SUMIFS('Federal Data'!AF2:AF501,'Federal Data'!$G2:$G501,"Other Business Regulation",'Federal Data'!$D2:$D501,"Nongrant")</f>
        <v>55000</v>
      </c>
      <c r="W42" s="113">
        <f>SUMIFS('Federal Data'!AG2:AG501,'Federal Data'!$G2:$G501,"Other Business Regulation",'Federal Data'!$D2:$D501,"Nongrant")</f>
        <v>68000</v>
      </c>
      <c r="X42" s="113">
        <f>SUMIFS('Federal Data'!AH2:AH501,'Federal Data'!$G2:$G501,"Other Business Regulation",'Federal Data'!$D2:$D501,"Nongrant")</f>
        <v>94000</v>
      </c>
      <c r="Y42" s="113">
        <f>SUMIFS('Federal Data'!AI2:AI501,'Federal Data'!$G2:$G501,"Other Business Regulation",'Federal Data'!$D2:$D501,"Nongrant")</f>
        <v>148000</v>
      </c>
      <c r="Z42" s="113">
        <f>SUMIFS('Federal Data'!AJ2:AJ501,'Federal Data'!$G2:$G501,"Other Business Regulation",'Federal Data'!$D2:$D501,"Nongrant")</f>
        <v>160000</v>
      </c>
      <c r="AA42" s="113">
        <f>SUMIFS('Federal Data'!AK2:AK501,'Federal Data'!$G2:$G501,"Other Business Regulation",'Federal Data'!$D2:$D501,"Nongrant")</f>
        <v>144000</v>
      </c>
      <c r="AB42" s="113">
        <f>SUMIFS('Federal Data'!AL2:AL501,'Federal Data'!$G2:$G501,"Other Business Regulation",'Federal Data'!$D2:$D501,"Nongrant")</f>
        <v>123000</v>
      </c>
      <c r="AC42" s="113">
        <f>SUMIFS('Federal Data'!AM2:AM501,'Federal Data'!$G2:$G501,"Other Business Regulation",'Federal Data'!$D2:$D501,"Nongrant")</f>
        <v>129000</v>
      </c>
      <c r="AD42" s="113">
        <f>SUMIFS('Federal Data'!AN2:AN501,'Federal Data'!$G2:$G501,"Other Business Regulation",'Federal Data'!$D2:$D501,"Nongrant")</f>
        <v>116000</v>
      </c>
      <c r="AE42" s="113">
        <f>SUMIFS('Federal Data'!AO2:AO501,'Federal Data'!$G2:$G501,"Other Business Regulation",'Federal Data'!$D2:$D501,"Nongrant")</f>
        <v>159000</v>
      </c>
      <c r="AF42" s="113">
        <f>SUMIFS('Federal Data'!AP2:AP501,'Federal Data'!$G2:$G501,"Other Business Regulation",'Federal Data'!$D2:$D501,"Nongrant")</f>
        <v>273000</v>
      </c>
      <c r="AG42" s="113">
        <f>SUMIFS('Federal Data'!AQ2:AQ501,'Federal Data'!$G2:$G501,"Other Business Regulation",'Federal Data'!$D2:$D501,"Nongrant")</f>
        <v>239000</v>
      </c>
      <c r="AH42" s="113">
        <f>SUMIFS('Federal Data'!AR2:AR501,'Federal Data'!$G2:$G501,"Other Business Regulation",'Federal Data'!$D2:$D501,"Nongrant")</f>
        <v>249000</v>
      </c>
      <c r="AI42" s="113">
        <f>SUMIFS('Federal Data'!AS2:AS501,'Federal Data'!$G2:$G501,"Other Business Regulation",'Federal Data'!$D2:$D501,"Nongrant")</f>
        <v>242000</v>
      </c>
      <c r="AJ42" s="113">
        <f>SUMIFS('Federal Data'!AT2:AT501,'Federal Data'!$G2:$G501,"Other Business Regulation",'Federal Data'!$D2:$D501,"Nongrant")</f>
        <v>250000</v>
      </c>
      <c r="AK42" s="113">
        <f>SUMIFS('Federal Data'!AU2:AU501,'Federal Data'!$G2:$G501,"Other Business Regulation",'Federal Data'!$D2:$D501,"Nongrant")</f>
        <v>271000</v>
      </c>
      <c r="AL42" s="113">
        <f>SUMIFS('Federal Data'!AV2:AV501,'Federal Data'!$G2:$G501,"Other Business Regulation",'Federal Data'!$D2:$D501,"Nongrant")</f>
        <v>233000</v>
      </c>
    </row>
    <row r="43" spans="1:38" outlineLevel="2">
      <c r="A43" s="22" t="str">
        <f>B31</f>
        <v>Establish Justice and Ensure Domestic Tranquility</v>
      </c>
      <c r="B43" s="42" t="s">
        <v>248</v>
      </c>
      <c r="C43" s="118">
        <f>SUMIFS('Federal Data'!M2:M501,'Federal Data'!$F2:$F501,"Child and Social Services",'Federal Data'!$D2:$D501,"Nongrant")</f>
        <v>332249</v>
      </c>
      <c r="D43" s="118">
        <f>SUMIFS('Federal Data'!N2:N501,'Federal Data'!$F2:$F501,"Child and Social Services",'Federal Data'!$D2:$D501,"Nongrant")</f>
        <v>389363</v>
      </c>
      <c r="E43" s="118">
        <f>SUMIFS('Federal Data'!O2:O501,'Federal Data'!$F2:$F501,"Child and Social Services",'Federal Data'!$D2:$D501,"Nongrant")</f>
        <v>317077</v>
      </c>
      <c r="F43" s="118">
        <f>SUMIFS('Federal Data'!P2:P501,'Federal Data'!$F2:$F501,"Child and Social Services",'Federal Data'!$D2:$D501,"Nongrant")</f>
        <v>390801</v>
      </c>
      <c r="G43" s="118">
        <f>SUMIFS('Federal Data'!Q2:Q501,'Federal Data'!$F2:$F501,"Child and Social Services",'Federal Data'!$D2:$D501,"Nongrant")</f>
        <v>420634</v>
      </c>
      <c r="H43" s="118">
        <f>SUMIFS('Federal Data'!R2:R501,'Federal Data'!$F2:$F501,"Child and Social Services",'Federal Data'!$D2:$D501,"Nongrant")</f>
        <v>370437</v>
      </c>
      <c r="I43" s="118">
        <f>SUMIFS('Federal Data'!S2:S501,'Federal Data'!$F2:$F501,"Child and Social Services",'Federal Data'!$D2:$D501,"Nongrant")</f>
        <v>384665</v>
      </c>
      <c r="J43" s="118">
        <f>SUMIFS('Federal Data'!T2:T501,'Federal Data'!$F2:$F501,"Child and Social Services",'Federal Data'!$D2:$D501,"Nongrant")</f>
        <v>492702</v>
      </c>
      <c r="K43" s="118">
        <f>SUMIFS('Federal Data'!U2:U501,'Federal Data'!$F2:$F501,"Child and Social Services",'Federal Data'!$D2:$D501,"Nongrant")</f>
        <v>511058</v>
      </c>
      <c r="L43" s="118">
        <f>SUMIFS('Federal Data'!V2:V501,'Federal Data'!$F2:$F501,"Child and Social Services",'Federal Data'!$D2:$D501,"Nongrant")</f>
        <v>578211</v>
      </c>
      <c r="M43" s="118">
        <f>SUMIFS('Federal Data'!W2:W501,'Federal Data'!$F2:$F501,"Child and Social Services",'Federal Data'!$D2:$D501,"Nongrant")</f>
        <v>608120</v>
      </c>
      <c r="N43" s="118">
        <f>SUMIFS('Federal Data'!X2:X501,'Federal Data'!$F2:$F501,"Child and Social Services",'Federal Data'!$D2:$D501,"Nongrant")</f>
        <v>662300</v>
      </c>
      <c r="O43" s="118">
        <f>SUMIFS('Federal Data'!Y2:Y501,'Federal Data'!$F2:$F501,"Child and Social Services",'Federal Data'!$D2:$D501,"Nongrant")</f>
        <v>601714</v>
      </c>
      <c r="P43" s="118">
        <f>SUMIFS('Federal Data'!Z2:Z501,'Federal Data'!$F2:$F501,"Child and Social Services",'Federal Data'!$D2:$D501,"Nongrant")</f>
        <v>589165</v>
      </c>
      <c r="Q43" s="118">
        <f>SUMIFS('Federal Data'!AA2:AA501,'Federal Data'!$F2:$F501,"Child and Social Services",'Federal Data'!$D2:$D501,"Nongrant")</f>
        <v>660178</v>
      </c>
      <c r="R43" s="118">
        <f>SUMIFS('Federal Data'!AB2:AB501,'Federal Data'!$F2:$F501,"Child and Social Services",'Federal Data'!$D2:$D501,"Nongrant")</f>
        <v>718000</v>
      </c>
      <c r="S43" s="118">
        <f>SUMIFS('Federal Data'!AC2:AC501,'Federal Data'!$F2:$F501,"Child and Social Services",'Federal Data'!$D2:$D501,"Nongrant")</f>
        <v>732000</v>
      </c>
      <c r="T43" s="118">
        <f>SUMIFS('Federal Data'!AD2:AD501,'Federal Data'!$F2:$F501,"Child and Social Services",'Federal Data'!$D2:$D501,"Nongrant")</f>
        <v>514000</v>
      </c>
      <c r="U43" s="118">
        <f>SUMIFS('Federal Data'!AE2:AE501,'Federal Data'!$F2:$F501,"Child and Social Services",'Federal Data'!$D2:$D501,"Nongrant")</f>
        <v>-77000</v>
      </c>
      <c r="V43" s="118">
        <f>SUMIFS('Federal Data'!AF2:AF501,'Federal Data'!$F2:$F501,"Child and Social Services",'Federal Data'!$D2:$D501,"Nongrant")</f>
        <v>-31000</v>
      </c>
      <c r="W43" s="118">
        <f>SUMIFS('Federal Data'!AG2:AG501,'Federal Data'!$F2:$F501,"Child and Social Services",'Federal Data'!$D2:$D501,"Nongrant")</f>
        <v>78000</v>
      </c>
      <c r="X43" s="118">
        <f>SUMIFS('Federal Data'!AH2:AH501,'Federal Data'!$F2:$F501,"Child and Social Services",'Federal Data'!$D2:$D501,"Nongrant")</f>
        <v>-251000</v>
      </c>
      <c r="Y43" s="118">
        <f>SUMIFS('Federal Data'!AI2:AI501,'Federal Data'!$F2:$F501,"Child and Social Services",'Federal Data'!$D2:$D501,"Nongrant")</f>
        <v>-107000</v>
      </c>
      <c r="Z43" s="118">
        <f>SUMIFS('Federal Data'!AJ2:AJ501,'Federal Data'!$F2:$F501,"Child and Social Services",'Federal Data'!$D2:$D501,"Nongrant")</f>
        <v>23000</v>
      </c>
      <c r="AA43" s="118">
        <f>SUMIFS('Federal Data'!AK2:AK501,'Federal Data'!$F2:$F501,"Child and Social Services",'Federal Data'!$D2:$D501,"Nongrant")</f>
        <v>74000</v>
      </c>
      <c r="AB43" s="118">
        <f>SUMIFS('Federal Data'!AL2:AL501,'Federal Data'!$F2:$F501,"Child and Social Services",'Federal Data'!$D2:$D501,"Nongrant")</f>
        <v>-13000</v>
      </c>
      <c r="AC43" s="118">
        <f>SUMIFS('Federal Data'!AM2:AM501,'Federal Data'!$F2:$F501,"Child and Social Services",'Federal Data'!$D2:$D501,"Nongrant")</f>
        <v>144000</v>
      </c>
      <c r="AD43" s="118">
        <f>SUMIFS('Federal Data'!AN2:AN501,'Federal Data'!$F2:$F501,"Child and Social Services",'Federal Data'!$D2:$D501,"Nongrant")</f>
        <v>270000</v>
      </c>
      <c r="AE43" s="118">
        <f>SUMIFS('Federal Data'!AO2:AO501,'Federal Data'!$F2:$F501,"Child and Social Services",'Federal Data'!$D2:$D501,"Nongrant")</f>
        <v>220000</v>
      </c>
      <c r="AF43" s="118">
        <f>SUMIFS('Federal Data'!AP2:AP501,'Federal Data'!$F2:$F501,"Child and Social Services",'Federal Data'!$D2:$D501,"Nongrant")</f>
        <v>246000</v>
      </c>
      <c r="AG43" s="118">
        <f>SUMIFS('Federal Data'!AQ2:AQ501,'Federal Data'!$F2:$F501,"Child and Social Services",'Federal Data'!$D2:$D501,"Nongrant")</f>
        <v>595000</v>
      </c>
      <c r="AH43" s="118">
        <f>SUMIFS('Federal Data'!AR2:AR501,'Federal Data'!$F2:$F501,"Child and Social Services",'Federal Data'!$D2:$D501,"Nongrant")</f>
        <v>631000</v>
      </c>
      <c r="AI43" s="118">
        <f>SUMIFS('Federal Data'!AS2:AS501,'Federal Data'!$F2:$F501,"Child and Social Services",'Federal Data'!$D2:$D501,"Nongrant")</f>
        <v>548000</v>
      </c>
      <c r="AJ43" s="118">
        <f>SUMIFS('Federal Data'!AT2:AT501,'Federal Data'!$F2:$F501,"Child and Social Services",'Federal Data'!$D2:$D501,"Nongrant")</f>
        <v>485000</v>
      </c>
      <c r="AK43" s="118">
        <f>SUMIFS('Federal Data'!AU2:AU501,'Federal Data'!$F2:$F501,"Child and Social Services",'Federal Data'!$D2:$D501,"Nongrant")</f>
        <v>616000</v>
      </c>
      <c r="AL43" s="118">
        <f>SUMIFS('Federal Data'!AV2:AV501,'Federal Data'!$F2:$F501,"Child and Social Services",'Federal Data'!$D2:$D501,"Nongrant")</f>
        <v>581000</v>
      </c>
    </row>
    <row r="44" spans="1:38" outlineLevel="1">
      <c r="A44" s="22" t="str">
        <f>B28</f>
        <v>Spending By Mission</v>
      </c>
      <c r="B44" s="45" t="s">
        <v>35</v>
      </c>
      <c r="C44" s="117">
        <f>SUMIFS('Federal Data'!M2:M501,'Federal Data'!$E2:$E501,"Common Defense",'Federal Data'!$D2:$D501,"Nongrant")</f>
        <v>168571621</v>
      </c>
      <c r="D44" s="117">
        <f>SUMIFS('Federal Data'!N2:N501,'Federal Data'!$E2:$E501,"Common Defense",'Federal Data'!$D2:$D501,"Nongrant")</f>
        <v>194400505</v>
      </c>
      <c r="E44" s="117">
        <f>SUMIFS('Federal Data'!O2:O501,'Federal Data'!$E2:$E501,"Common Defense",'Federal Data'!$D2:$D501,"Nongrant")</f>
        <v>222423450</v>
      </c>
      <c r="F44" s="117">
        <f>SUMIFS('Federal Data'!P2:P501,'Federal Data'!$E2:$E501,"Common Defense",'Federal Data'!$D2:$D501,"Nongrant")</f>
        <v>247554223</v>
      </c>
      <c r="G44" s="117">
        <f>SUMIFS('Federal Data'!Q2:Q501,'Federal Data'!$E2:$E501,"Common Defense",'Federal Data'!$D2:$D501,"Nongrant")</f>
        <v>269902036</v>
      </c>
      <c r="H44" s="117">
        <f>SUMIFS('Federal Data'!R2:R501,'Federal Data'!$E2:$E501,"Common Defense",'Federal Data'!$D2:$D501,"Nongrant")</f>
        <v>296212911</v>
      </c>
      <c r="I44" s="117">
        <f>SUMIFS('Federal Data'!S2:S501,'Federal Data'!$E2:$E501,"Common Defense",'Federal Data'!$D2:$D501,"Nongrant")</f>
        <v>314945187</v>
      </c>
      <c r="J44" s="117">
        <f>SUMIFS('Federal Data'!T2:T501,'Federal Data'!$E2:$E501,"Common Defense",'Federal Data'!$D2:$D501,"Nongrant")</f>
        <v>321789665</v>
      </c>
      <c r="K44" s="117">
        <f>SUMIFS('Federal Data'!U2:U501,'Federal Data'!$E2:$E501,"Common Defense",'Federal Data'!$D2:$D501,"Nongrant")</f>
        <v>332164297</v>
      </c>
      <c r="L44" s="117">
        <f>SUMIFS('Federal Data'!V2:V501,'Federal Data'!$E2:$E501,"Common Defense",'Federal Data'!$D2:$D501,"Nongrant")</f>
        <v>344451433</v>
      </c>
      <c r="M44" s="117">
        <f>SUMIFS('Federal Data'!W2:W501,'Federal Data'!$E2:$E501,"Common Defense",'Federal Data'!$D2:$D501,"Nongrant")</f>
        <v>343101182</v>
      </c>
      <c r="N44" s="117">
        <f>SUMIFS('Federal Data'!X2:X501,'Federal Data'!$E2:$E501,"Common Defense",'Federal Data'!$D2:$D501,"Nongrant")</f>
        <v>321823850</v>
      </c>
      <c r="O44" s="117">
        <f>SUMIFS('Federal Data'!Y2:Y501,'Federal Data'!$E2:$E501,"Common Defense",'Federal Data'!$D2:$D501,"Nongrant")</f>
        <v>349937694</v>
      </c>
      <c r="P44" s="117">
        <f>SUMIFS('Federal Data'!Z2:Z501,'Federal Data'!$E2:$E501,"Common Defense",'Federal Data'!$D2:$D501,"Nongrant")</f>
        <v>345611954</v>
      </c>
      <c r="Q44" s="117">
        <f>SUMIFS('Federal Data'!AA2:AA501,'Federal Data'!$E2:$E501,"Common Defense",'Federal Data'!$D2:$D501,"Nongrant")</f>
        <v>337854378</v>
      </c>
      <c r="R44" s="117">
        <f>SUMIFS('Federal Data'!AB2:AB501,'Federal Data'!$E2:$E501,"Common Defense",'Federal Data'!$D2:$D501,"Nongrant")</f>
        <v>327698000</v>
      </c>
      <c r="S44" s="117">
        <f>SUMIFS('Federal Data'!AC2:AC501,'Federal Data'!$E2:$E501,"Common Defense",'Federal Data'!$D2:$D501,"Nongrant")</f>
        <v>317866000</v>
      </c>
      <c r="T44" s="117">
        <f>SUMIFS('Federal Data'!AD2:AD501,'Federal Data'!$E2:$E501,"Common Defense",'Federal Data'!$D2:$D501,"Nongrant")</f>
        <v>326998000</v>
      </c>
      <c r="U44" s="117">
        <f>SUMIFS('Federal Data'!AE2:AE501,'Federal Data'!$E2:$E501,"Common Defense",'Federal Data'!$D2:$D501,"Nongrant")</f>
        <v>326063000</v>
      </c>
      <c r="V44" s="117">
        <f>SUMIFS('Federal Data'!AF2:AF501,'Federal Data'!$E2:$E501,"Common Defense",'Federal Data'!$D2:$D501,"Nongrant")</f>
        <v>336432000</v>
      </c>
      <c r="W44" s="117">
        <f>SUMIFS('Federal Data'!AG2:AG501,'Federal Data'!$E2:$E501,"Common Defense",'Federal Data'!$D2:$D501,"Nongrant")</f>
        <v>362035000</v>
      </c>
      <c r="X44" s="117">
        <f>SUMIFS('Federal Data'!AH2:AH501,'Federal Data'!$E2:$E501,"Common Defense",'Federal Data'!$D2:$D501,"Nongrant")</f>
        <v>369677000</v>
      </c>
      <c r="Y44" s="117">
        <f>SUMIFS('Federal Data'!AI2:AI501,'Federal Data'!$E2:$E501,"Common Defense",'Federal Data'!$D2:$D501,"Nongrant")</f>
        <v>426928000</v>
      </c>
      <c r="Z44" s="117">
        <f>SUMIFS('Federal Data'!AJ2:AJ501,'Federal Data'!$E2:$E501,"Common Defense",'Federal Data'!$D2:$D501,"Nongrant")</f>
        <v>488105000</v>
      </c>
      <c r="AA44" s="117">
        <f>SUMIFS('Federal Data'!AK2:AK501,'Federal Data'!$E2:$E501,"Common Defense",'Federal Data'!$D2:$D501,"Nongrant")</f>
        <v>548848000</v>
      </c>
      <c r="AB44" s="117">
        <f>SUMIFS('Federal Data'!AL2:AL501,'Federal Data'!$E2:$E501,"Common Defense",'Federal Data'!$D2:$D501,"Nongrant")</f>
        <v>606411000</v>
      </c>
      <c r="AC44" s="117">
        <f>SUMIFS('Federal Data'!AM2:AM501,'Federal Data'!$E2:$E501,"Common Defense",'Federal Data'!$D2:$D501,"Nongrant")</f>
        <v>628161000</v>
      </c>
      <c r="AD44" s="117">
        <f>SUMIFS('Federal Data'!AN2:AN501,'Federal Data'!$E2:$E501,"Common Defense",'Federal Data'!$D2:$D501,"Nongrant")</f>
        <v>660571000</v>
      </c>
      <c r="AE44" s="117">
        <f>SUMIFS('Federal Data'!AO2:AO501,'Federal Data'!$E2:$E501,"Common Defense",'Federal Data'!$D2:$D501,"Nongrant")</f>
        <v>740148000</v>
      </c>
      <c r="AF44" s="117">
        <f>SUMIFS('Federal Data'!AP2:AP501,'Federal Data'!$E2:$E501,"Common Defense",'Federal Data'!$D2:$D501,"Nongrant")</f>
        <v>808463000</v>
      </c>
      <c r="AG44" s="117">
        <f>SUMIFS('Federal Data'!AQ2:AQ501,'Federal Data'!$E2:$E501,"Common Defense",'Federal Data'!$D2:$D501,"Nongrant")</f>
        <v>860670000</v>
      </c>
      <c r="AH44" s="117">
        <f>SUMIFS('Federal Data'!AR2:AR501,'Federal Data'!$E2:$E501,"Common Defense",'Federal Data'!$D2:$D501,"Nongrant")</f>
        <v>892003000</v>
      </c>
      <c r="AI44" s="117">
        <f>SUMIFS('Federal Data'!AS2:AS501,'Federal Data'!$E2:$E501,"Common Defense",'Federal Data'!$D2:$D501,"Nongrant")</f>
        <v>863054000</v>
      </c>
      <c r="AJ44" s="117">
        <f>SUMIFS('Federal Data'!AT2:AT501,'Federal Data'!$E2:$E501,"Common Defense",'Federal Data'!$D2:$D501,"Nongrant")</f>
        <v>831329000</v>
      </c>
      <c r="AK44" s="117">
        <f>SUMIFS('Federal Data'!AU2:AU501,'Federal Data'!$E2:$E501,"Common Defense",'Federal Data'!$D2:$D501,"Nongrant")</f>
        <v>811964000</v>
      </c>
      <c r="AL44" s="117">
        <f>SUMIFS('Federal Data'!AV2:AV501,'Federal Data'!$E2:$E501,"Common Defense",'Federal Data'!$D2:$D501,"Nongrant")</f>
        <v>809837000</v>
      </c>
    </row>
    <row r="45" spans="1:38" outlineLevel="2">
      <c r="A45" s="22" t="str">
        <f>B44</f>
        <v>Provide for the Common Defense</v>
      </c>
      <c r="B45" s="28" t="s">
        <v>23</v>
      </c>
      <c r="C45" s="113">
        <f>SUMIFS('Federal Data'!M2:M501,'Federal Data'!$F2:$F501,"National Defense and Support for Veterans",'Federal Data'!$D2:$D501,"Nongrant")</f>
        <v>154981105</v>
      </c>
      <c r="D45" s="113">
        <f>SUMIFS('Federal Data'!N2:N501,'Federal Data'!$F2:$F501,"National Defense and Support for Veterans",'Federal Data'!$D2:$D501,"Nongrant")</f>
        <v>180336306</v>
      </c>
      <c r="E45" s="113">
        <f>SUMIFS('Federal Data'!O2:O501,'Federal Data'!$F2:$F501,"National Defense and Support for Veterans",'Federal Data'!$D2:$D501,"Nongrant")</f>
        <v>209116335</v>
      </c>
      <c r="F45" s="113">
        <f>SUMIFS('Federal Data'!P2:P501,'Federal Data'!$F2:$F501,"National Defense and Support for Veterans",'Federal Data'!$D2:$D501,"Nongrant")</f>
        <v>234574167</v>
      </c>
      <c r="G45" s="113">
        <f>SUMIFS('Federal Data'!Q2:Q501,'Federal Data'!$F2:$F501,"National Defense and Support for Veterans",'Federal Data'!$D2:$D501,"Nongrant")</f>
        <v>252824275</v>
      </c>
      <c r="H45" s="113">
        <f>SUMIFS('Federal Data'!R2:R501,'Federal Data'!$F2:$F501,"National Defense and Support for Veterans",'Federal Data'!$D2:$D501,"Nongrant")</f>
        <v>278745989</v>
      </c>
      <c r="I45" s="113">
        <f>SUMIFS('Federal Data'!S2:S501,'Federal Data'!$F2:$F501,"National Defense and Support for Veterans",'Federal Data'!$D2:$D501,"Nongrant")</f>
        <v>299420554</v>
      </c>
      <c r="J45" s="113">
        <f>SUMIFS('Federal Data'!T2:T501,'Federal Data'!$F2:$F501,"National Defense and Support for Veterans",'Federal Data'!$D2:$D501,"Nongrant")</f>
        <v>308436321</v>
      </c>
      <c r="K45" s="113">
        <f>SUMIFS('Federal Data'!U2:U501,'Federal Data'!$F2:$F501,"National Defense and Support for Veterans",'Federal Data'!$D2:$D501,"Nongrant")</f>
        <v>319432695</v>
      </c>
      <c r="L45" s="113">
        <f>SUMIFS('Federal Data'!V2:V501,'Federal Data'!$F2:$F501,"National Defense and Support for Veterans",'Federal Data'!$D2:$D501,"Nongrant")</f>
        <v>333177369</v>
      </c>
      <c r="M45" s="113">
        <f>SUMIFS('Federal Data'!W2:W501,'Federal Data'!$F2:$F501,"National Defense and Support for Veterans",'Federal Data'!$D2:$D501,"Nongrant")</f>
        <v>327979751</v>
      </c>
      <c r="N45" s="113">
        <f>SUMIFS('Federal Data'!X2:X501,'Federal Data'!$F2:$F501,"National Defense and Support for Veterans",'Federal Data'!$D2:$D501,"Nongrant")</f>
        <v>304234726</v>
      </c>
      <c r="O45" s="113">
        <f>SUMIFS('Federal Data'!Y2:Y501,'Federal Data'!$F2:$F501,"National Defense and Support for Veterans",'Federal Data'!$D2:$D501,"Nongrant")</f>
        <v>331901297</v>
      </c>
      <c r="P45" s="113">
        <f>SUMIFS('Federal Data'!Z2:Z501,'Federal Data'!$F2:$F501,"National Defense and Support for Veterans",'Federal Data'!$D2:$D501,"Nongrant")</f>
        <v>326384371</v>
      </c>
      <c r="Q45" s="113">
        <f>SUMIFS('Federal Data'!AA2:AA501,'Federal Data'!$F2:$F501,"National Defense and Support for Veterans",'Federal Data'!$D2:$D501,"Nongrant")</f>
        <v>318830505</v>
      </c>
      <c r="R45" s="113">
        <f>SUMIFS('Federal Data'!AB2:AB501,'Federal Data'!$F2:$F501,"National Defense and Support for Veterans",'Federal Data'!$D2:$D501,"Nongrant")</f>
        <v>309604000</v>
      </c>
      <c r="S45" s="113">
        <f>SUMIFS('Federal Data'!AC2:AC501,'Federal Data'!$F2:$F501,"National Defense and Support for Veterans",'Federal Data'!$D2:$D501,"Nongrant")</f>
        <v>302400000</v>
      </c>
      <c r="T45" s="113">
        <f>SUMIFS('Federal Data'!AD2:AD501,'Federal Data'!$F2:$F501,"National Defense and Support for Veterans",'Federal Data'!$D2:$D501,"Nongrant")</f>
        <v>309508000</v>
      </c>
      <c r="U45" s="113">
        <f>SUMIFS('Federal Data'!AE2:AE501,'Federal Data'!$F2:$F501,"National Defense and Support for Veterans",'Federal Data'!$D2:$D501,"Nongrant")</f>
        <v>309635000</v>
      </c>
      <c r="V45" s="113">
        <f>SUMIFS('Federal Data'!AF2:AF501,'Federal Data'!$F2:$F501,"National Defense and Support for Veterans",'Federal Data'!$D2:$D501,"Nongrant")</f>
        <v>317606000</v>
      </c>
      <c r="W45" s="113">
        <f>SUMIFS('Federal Data'!AG2:AG501,'Federal Data'!$F2:$F501,"National Defense and Support for Veterans",'Federal Data'!$D2:$D501,"Nongrant")</f>
        <v>340916000</v>
      </c>
      <c r="X45" s="113">
        <f>SUMIFS('Federal Data'!AH2:AH501,'Federal Data'!$F2:$F501,"National Defense and Support for Veterans",'Federal Data'!$D2:$D501,"Nongrant")</f>
        <v>349254000</v>
      </c>
      <c r="Y45" s="113">
        <f>SUMIFS('Federal Data'!AI2:AI501,'Federal Data'!$F2:$F501,"National Defense and Support for Veterans",'Federal Data'!$D2:$D501,"Nongrant")</f>
        <v>398906000</v>
      </c>
      <c r="Z45" s="113">
        <f>SUMIFS('Federal Data'!AJ2:AJ501,'Federal Data'!$F2:$F501,"National Defense and Support for Veterans",'Federal Data'!$D2:$D501,"Nongrant")</f>
        <v>461289000</v>
      </c>
      <c r="AA45" s="113">
        <f>SUMIFS('Federal Data'!AK2:AK501,'Federal Data'!$F2:$F501,"National Defense and Support for Veterans",'Federal Data'!$D2:$D501,"Nongrant")</f>
        <v>515066000</v>
      </c>
      <c r="AB45" s="113">
        <f>SUMIFS('Federal Data'!AL2:AL501,'Federal Data'!$F2:$F501,"National Defense and Support for Veterans",'Federal Data'!$D2:$D501,"Nongrant")</f>
        <v>564860000</v>
      </c>
      <c r="AC45" s="113">
        <f>SUMIFS('Federal Data'!AM2:AM501,'Federal Data'!$F2:$F501,"National Defense and Support for Veterans",'Federal Data'!$D2:$D501,"Nongrant")</f>
        <v>591004000</v>
      </c>
      <c r="AD45" s="113">
        <f>SUMIFS('Federal Data'!AN2:AN501,'Federal Data'!$F2:$F501,"National Defense and Support for Veterans",'Federal Data'!$D2:$D501,"Nongrant")</f>
        <v>623437000</v>
      </c>
      <c r="AE45" s="113">
        <f>SUMIFS('Federal Data'!AO2:AO501,'Federal Data'!$F2:$F501,"National Defense and Support for Veterans",'Federal Data'!$D2:$D501,"Nongrant")</f>
        <v>700023000</v>
      </c>
      <c r="AF45" s="113">
        <f>SUMIFS('Federal Data'!AP2:AP501,'Federal Data'!$F2:$F501,"National Defense and Support for Veterans",'Federal Data'!$D2:$D501,"Nongrant")</f>
        <v>755632000</v>
      </c>
      <c r="AG45" s="113">
        <f>SUMIFS('Federal Data'!AQ2:AQ501,'Federal Data'!$F2:$F501,"National Defense and Support for Veterans",'Federal Data'!$D2:$D501,"Nongrant")</f>
        <v>801033000</v>
      </c>
      <c r="AH45" s="113">
        <f>SUMIFS('Federal Data'!AR2:AR501,'Federal Data'!$F2:$F501,"National Defense and Support for Veterans",'Federal Data'!$D2:$D501,"Nongrant")</f>
        <v>831747000</v>
      </c>
      <c r="AI45" s="113">
        <f>SUMIFS('Federal Data'!AS2:AS501,'Federal Data'!$F2:$F501,"National Defense and Support for Veterans",'Federal Data'!$D2:$D501,"Nongrant")</f>
        <v>801366000</v>
      </c>
      <c r="AJ45" s="113">
        <f>SUMIFS('Federal Data'!AT2:AT501,'Federal Data'!$F2:$F501,"National Defense and Support for Veterans",'Federal Data'!$D2:$D501,"Nongrant")</f>
        <v>771297000</v>
      </c>
      <c r="AK45" s="113">
        <f>SUMIFS('Federal Data'!AU2:AU501,'Federal Data'!$F2:$F501,"National Defense and Support for Veterans",'Federal Data'!$D2:$D501,"Nongrant")</f>
        <v>751850000</v>
      </c>
      <c r="AL45" s="113">
        <f>SUMIFS('Federal Data'!AV2:AV501,'Federal Data'!$F2:$F501,"National Defense and Support for Veterans",'Federal Data'!$D2:$D501,"Nongrant")</f>
        <v>747481000</v>
      </c>
    </row>
    <row r="46" spans="1:38" outlineLevel="3">
      <c r="A46" s="22" t="str">
        <f>B45</f>
        <v>National Defense and Support for Veterans</v>
      </c>
      <c r="B46" s="29" t="s">
        <v>24</v>
      </c>
      <c r="C46" s="113">
        <f>SUMIFS('Federal Data'!M2:M501,'Federal Data'!$G2:$G501,"National Defense",'Federal Data'!$D2:$D501,"Nongrant")</f>
        <v>133902806</v>
      </c>
      <c r="D46" s="113">
        <f>SUMIFS('Federal Data'!N2:N501,'Federal Data'!$G2:$G501,"National Defense",'Federal Data'!$D2:$D501,"Nongrant")</f>
        <v>157437840</v>
      </c>
      <c r="E46" s="113">
        <f>SUMIFS('Federal Data'!O2:O501,'Federal Data'!$G2:$G501,"National Defense",'Federal Data'!$D2:$D501,"Nongrant")</f>
        <v>185240799</v>
      </c>
      <c r="F46" s="113">
        <f>SUMIFS('Federal Data'!P2:P501,'Federal Data'!$G2:$G501,"National Defense",'Federal Data'!$D2:$D501,"Nongrant")</f>
        <v>209816568</v>
      </c>
      <c r="G46" s="113">
        <f>SUMIFS('Federal Data'!Q2:Q501,'Federal Data'!$G2:$G501,"National Defense",'Federal Data'!$D2:$D501,"Nongrant")</f>
        <v>227315228</v>
      </c>
      <c r="H46" s="113">
        <f>SUMIFS('Federal Data'!R2:R501,'Federal Data'!$G2:$G501,"National Defense",'Federal Data'!$D2:$D501,"Nongrant")</f>
        <v>252586131</v>
      </c>
      <c r="I46" s="113">
        <f>SUMIFS('Federal Data'!S2:S501,'Federal Data'!$G2:$G501,"National Defense",'Federal Data'!$D2:$D501,"Nongrant")</f>
        <v>273196405</v>
      </c>
      <c r="J46" s="113">
        <f>SUMIFS('Federal Data'!T2:T501,'Federal Data'!$G2:$G501,"National Defense",'Federal Data'!$D2:$D501,"Nongrant")</f>
        <v>281802417</v>
      </c>
      <c r="K46" s="113">
        <f>SUMIFS('Federal Data'!U2:U501,'Federal Data'!$G2:$G501,"National Defense",'Federal Data'!$D2:$D501,"Nongrant")</f>
        <v>290172075</v>
      </c>
      <c r="L46" s="113">
        <f>SUMIFS('Federal Data'!V2:V501,'Federal Data'!$G2:$G501,"National Defense",'Federal Data'!$D2:$D501,"Nongrant")</f>
        <v>303301507</v>
      </c>
      <c r="M46" s="113">
        <f>SUMIFS('Federal Data'!W2:W501,'Federal Data'!$G2:$G501,"National Defense",'Federal Data'!$D2:$D501,"Nongrant")</f>
        <v>299079753</v>
      </c>
      <c r="N46" s="113">
        <f>SUMIFS('Federal Data'!X2:X501,'Federal Data'!$G2:$G501,"National Defense",'Federal Data'!$D2:$D501,"Nongrant")</f>
        <v>273100629</v>
      </c>
      <c r="O46" s="113">
        <f>SUMIFS('Federal Data'!Y2:Y501,'Federal Data'!$G2:$G501,"National Defense",'Federal Data'!$D2:$D501,"Nongrant")</f>
        <v>298027802</v>
      </c>
      <c r="P46" s="113">
        <f>SUMIFS('Federal Data'!Z2:Z501,'Federal Data'!$G2:$G501,"National Defense",'Federal Data'!$D2:$D501,"Nongrant")</f>
        <v>290932181</v>
      </c>
      <c r="Q46" s="113">
        <f>SUMIFS('Federal Data'!AA2:AA501,'Federal Data'!$G2:$G501,"National Defense",'Federal Data'!$D2:$D501,"Nongrant")</f>
        <v>281470450</v>
      </c>
      <c r="R46" s="113">
        <f>SUMIFS('Federal Data'!AB2:AB501,'Federal Data'!$G2:$G501,"National Defense",'Federal Data'!$D2:$D501,"Nongrant")</f>
        <v>271995000</v>
      </c>
      <c r="S46" s="113">
        <f>SUMIFS('Federal Data'!AC2:AC501,'Federal Data'!$G2:$G501,"National Defense",'Federal Data'!$D2:$D501,"Nongrant")</f>
        <v>265710000</v>
      </c>
      <c r="T46" s="113">
        <f>SUMIFS('Federal Data'!AD2:AD501,'Federal Data'!$G2:$G501,"National Defense",'Federal Data'!$D2:$D501,"Nongrant")</f>
        <v>270502000</v>
      </c>
      <c r="U46" s="113">
        <f>SUMIFS('Federal Data'!AE2:AE501,'Federal Data'!$G2:$G501,"National Defense",'Federal Data'!$D2:$D501,"Nongrant")</f>
        <v>268182000</v>
      </c>
      <c r="V46" s="113">
        <f>SUMIFS('Federal Data'!AF2:AF501,'Federal Data'!$G2:$G501,"National Defense",'Federal Data'!$D2:$D501,"Nongrant")</f>
        <v>274768000</v>
      </c>
      <c r="W46" s="113">
        <f>SUMIFS('Federal Data'!AG2:AG501,'Federal Data'!$G2:$G501,"National Defense",'Federal Data'!$D2:$D501,"Nongrant")</f>
        <v>294361000</v>
      </c>
      <c r="X46" s="113">
        <f>SUMIFS('Federal Data'!AH2:AH501,'Federal Data'!$G2:$G501,"National Defense",'Federal Data'!$D2:$D501,"Nongrant")</f>
        <v>304685000</v>
      </c>
      <c r="Y46" s="113">
        <f>SUMIFS('Federal Data'!AI2:AI501,'Federal Data'!$G2:$G501,"National Defense",'Federal Data'!$D2:$D501,"Nongrant")</f>
        <v>348365000</v>
      </c>
      <c r="Z46" s="113">
        <f>SUMIFS('Federal Data'!AJ2:AJ501,'Federal Data'!$G2:$G501,"National Defense",'Federal Data'!$D2:$D501,"Nongrant")</f>
        <v>404733000</v>
      </c>
      <c r="AA46" s="113">
        <f>SUMIFS('Federal Data'!AK2:AK501,'Federal Data'!$G2:$G501,"National Defense",'Federal Data'!$D2:$D501,"Nongrant")</f>
        <v>455813000</v>
      </c>
      <c r="AB46" s="113">
        <f>SUMIFS('Federal Data'!AL2:AL501,'Federal Data'!$G2:$G501,"National Defense",'Federal Data'!$D2:$D501,"Nongrant")</f>
        <v>495292000</v>
      </c>
      <c r="AC46" s="113">
        <f>SUMIFS('Federal Data'!AM2:AM501,'Federal Data'!$G2:$G501,"National Defense",'Federal Data'!$D2:$D501,"Nongrant")</f>
        <v>521818000</v>
      </c>
      <c r="AD46" s="113">
        <f>SUMIFS('Federal Data'!AN2:AN501,'Federal Data'!$G2:$G501,"National Defense",'Federal Data'!$D2:$D501,"Nongrant")</f>
        <v>551258000</v>
      </c>
      <c r="AE46" s="113">
        <f>SUMIFS('Federal Data'!AO2:AO501,'Federal Data'!$G2:$G501,"National Defense",'Federal Data'!$D2:$D501,"Nongrant")</f>
        <v>616065000</v>
      </c>
      <c r="AF46" s="113">
        <f>SUMIFS('Federal Data'!AP2:AP501,'Federal Data'!$G2:$G501,"National Defense",'Federal Data'!$D2:$D501,"Nongrant")</f>
        <v>661012000</v>
      </c>
      <c r="AG46" s="113">
        <f>SUMIFS('Federal Data'!AQ2:AQ501,'Federal Data'!$G2:$G501,"National Defense",'Federal Data'!$D2:$D501,"Nongrant")</f>
        <v>693485000</v>
      </c>
      <c r="AH46" s="113">
        <f>SUMIFS('Federal Data'!AR2:AR501,'Federal Data'!$G2:$G501,"National Defense",'Federal Data'!$D2:$D501,"Nongrant")</f>
        <v>705554000</v>
      </c>
      <c r="AI46" s="113">
        <f>SUMIFS('Federal Data'!AS2:AS501,'Federal Data'!$G2:$G501,"National Defense",'Federal Data'!$D2:$D501,"Nongrant")</f>
        <v>677852000</v>
      </c>
      <c r="AJ46" s="113">
        <f>SUMIFS('Federal Data'!AT2:AT501,'Federal Data'!$G2:$G501,"National Defense",'Federal Data'!$D2:$D501,"Nongrant")</f>
        <v>633446000</v>
      </c>
      <c r="AK46" s="113">
        <f>SUMIFS('Federal Data'!AU2:AU501,'Federal Data'!$G2:$G501,"National Defense",'Federal Data'!$D2:$D501,"Nongrant")</f>
        <v>603457000</v>
      </c>
      <c r="AL46" s="113">
        <f>SUMIFS('Federal Data'!AV2:AV501,'Federal Data'!$G2:$G501,"National Defense",'Federal Data'!$D2:$D501,"Nongrant")</f>
        <v>589564000</v>
      </c>
    </row>
    <row r="47" spans="1:38" outlineLevel="3">
      <c r="A47" s="22" t="str">
        <f>B45</f>
        <v>National Defense and Support for Veterans</v>
      </c>
      <c r="B47" s="29" t="s">
        <v>25</v>
      </c>
      <c r="C47" s="113">
        <f>SUMIFS('Federal Data'!M2:M501,'Federal Data'!$G2:$G501,"Support for Veterans",'Federal Data'!$D2:$D501,"Nongrant")</f>
        <v>21078299</v>
      </c>
      <c r="D47" s="113">
        <f>SUMIFS('Federal Data'!N2:N501,'Federal Data'!$G2:$G501,"Support for Veterans",'Federal Data'!$D2:$D501,"Nongrant")</f>
        <v>22898466</v>
      </c>
      <c r="E47" s="113">
        <f>SUMIFS('Federal Data'!O2:O501,'Federal Data'!$G2:$G501,"Support for Veterans",'Federal Data'!$D2:$D501,"Nongrant")</f>
        <v>23875536</v>
      </c>
      <c r="F47" s="113">
        <f>SUMIFS('Federal Data'!P2:P501,'Federal Data'!$G2:$G501,"Support for Veterans",'Federal Data'!$D2:$D501,"Nongrant")</f>
        <v>24757599</v>
      </c>
      <c r="G47" s="113">
        <f>SUMIFS('Federal Data'!Q2:Q501,'Federal Data'!$G2:$G501,"Support for Veterans",'Federal Data'!$D2:$D501,"Nongrant")</f>
        <v>25509047</v>
      </c>
      <c r="H47" s="113">
        <f>SUMIFS('Federal Data'!R2:R501,'Federal Data'!$G2:$G501,"Support for Veterans",'Federal Data'!$D2:$D501,"Nongrant")</f>
        <v>26159858</v>
      </c>
      <c r="I47" s="113">
        <f>SUMIFS('Federal Data'!S2:S501,'Federal Data'!$G2:$G501,"Support for Veterans",'Federal Data'!$D2:$D501,"Nongrant")</f>
        <v>26224149</v>
      </c>
      <c r="J47" s="113">
        <f>SUMIFS('Federal Data'!T2:T501,'Federal Data'!$G2:$G501,"Support for Veterans",'Federal Data'!$D2:$D501,"Nongrant")</f>
        <v>26633904</v>
      </c>
      <c r="K47" s="113">
        <f>SUMIFS('Federal Data'!U2:U501,'Federal Data'!$G2:$G501,"Support for Veterans",'Federal Data'!$D2:$D501,"Nongrant")</f>
        <v>29260620</v>
      </c>
      <c r="L47" s="113">
        <f>SUMIFS('Federal Data'!V2:V501,'Federal Data'!$G2:$G501,"Support for Veterans",'Federal Data'!$D2:$D501,"Nongrant")</f>
        <v>29875862</v>
      </c>
      <c r="M47" s="113">
        <f>SUMIFS('Federal Data'!W2:W501,'Federal Data'!$G2:$G501,"Support for Veterans",'Federal Data'!$D2:$D501,"Nongrant")</f>
        <v>28899998</v>
      </c>
      <c r="N47" s="113">
        <f>SUMIFS('Federal Data'!X2:X501,'Federal Data'!$G2:$G501,"Support for Veterans",'Federal Data'!$D2:$D501,"Nongrant")</f>
        <v>31134097</v>
      </c>
      <c r="O47" s="113">
        <f>SUMIFS('Federal Data'!Y2:Y501,'Federal Data'!$G2:$G501,"Support for Veterans",'Federal Data'!$D2:$D501,"Nongrant")</f>
        <v>33873495</v>
      </c>
      <c r="P47" s="113">
        <f>SUMIFS('Federal Data'!Z2:Z501,'Federal Data'!$G2:$G501,"Support for Veterans",'Federal Data'!$D2:$D501,"Nongrant")</f>
        <v>35452190</v>
      </c>
      <c r="Q47" s="113">
        <f>SUMIFS('Federal Data'!AA2:AA501,'Federal Data'!$G2:$G501,"Support for Veterans",'Federal Data'!$D2:$D501,"Nongrant")</f>
        <v>37360055</v>
      </c>
      <c r="R47" s="113">
        <f>SUMIFS('Federal Data'!AB2:AB501,'Federal Data'!$G2:$G501,"Support for Veterans",'Federal Data'!$D2:$D501,"Nongrant")</f>
        <v>37609000</v>
      </c>
      <c r="S47" s="113">
        <f>SUMIFS('Federal Data'!AC2:AC501,'Federal Data'!$G2:$G501,"Support for Veterans",'Federal Data'!$D2:$D501,"Nongrant")</f>
        <v>36690000</v>
      </c>
      <c r="T47" s="113">
        <f>SUMIFS('Federal Data'!AD2:AD501,'Federal Data'!$G2:$G501,"Support for Veterans",'Federal Data'!$D2:$D501,"Nongrant")</f>
        <v>39006000</v>
      </c>
      <c r="U47" s="113">
        <f>SUMIFS('Federal Data'!AE2:AE501,'Federal Data'!$G2:$G501,"Support for Veterans",'Federal Data'!$D2:$D501,"Nongrant")</f>
        <v>41453000</v>
      </c>
      <c r="V47" s="113">
        <f>SUMIFS('Federal Data'!AF2:AF501,'Federal Data'!$G2:$G501,"Support for Veterans",'Federal Data'!$D2:$D501,"Nongrant")</f>
        <v>42838000</v>
      </c>
      <c r="W47" s="113">
        <f>SUMIFS('Federal Data'!AG2:AG501,'Federal Data'!$G2:$G501,"Support for Veterans",'Federal Data'!$D2:$D501,"Nongrant")</f>
        <v>46555000</v>
      </c>
      <c r="X47" s="113">
        <f>SUMIFS('Federal Data'!AH2:AH501,'Federal Data'!$G2:$G501,"Support for Veterans",'Federal Data'!$D2:$D501,"Nongrant")</f>
        <v>44569000</v>
      </c>
      <c r="Y47" s="113">
        <f>SUMIFS('Federal Data'!AI2:AI501,'Federal Data'!$G2:$G501,"Support for Veterans",'Federal Data'!$D2:$D501,"Nongrant")</f>
        <v>50541000</v>
      </c>
      <c r="Z47" s="113">
        <f>SUMIFS('Federal Data'!AJ2:AJ501,'Federal Data'!$G2:$G501,"Support for Veterans",'Federal Data'!$D2:$D501,"Nongrant")</f>
        <v>56556000</v>
      </c>
      <c r="AA47" s="113">
        <f>SUMIFS('Federal Data'!AK2:AK501,'Federal Data'!$G2:$G501,"Support for Veterans",'Federal Data'!$D2:$D501,"Nongrant")</f>
        <v>59253000</v>
      </c>
      <c r="AB47" s="113">
        <f>SUMIFS('Federal Data'!AL2:AL501,'Federal Data'!$G2:$G501,"Support for Veterans",'Federal Data'!$D2:$D501,"Nongrant")</f>
        <v>69568000</v>
      </c>
      <c r="AC47" s="113">
        <f>SUMIFS('Federal Data'!AM2:AM501,'Federal Data'!$G2:$G501,"Support for Veterans",'Federal Data'!$D2:$D501,"Nongrant")</f>
        <v>69186000</v>
      </c>
      <c r="AD47" s="113">
        <f>SUMIFS('Federal Data'!AN2:AN501,'Federal Data'!$G2:$G501,"Support for Veterans",'Federal Data'!$D2:$D501,"Nongrant")</f>
        <v>72179000</v>
      </c>
      <c r="AE47" s="113">
        <f>SUMIFS('Federal Data'!AO2:AO501,'Federal Data'!$G2:$G501,"Support for Veterans",'Federal Data'!$D2:$D501,"Nongrant")</f>
        <v>83958000</v>
      </c>
      <c r="AF47" s="113">
        <f>SUMIFS('Federal Data'!AP2:AP501,'Federal Data'!$G2:$G501,"Support for Veterans",'Federal Data'!$D2:$D501,"Nongrant")</f>
        <v>94620000</v>
      </c>
      <c r="AG47" s="113">
        <f>SUMIFS('Federal Data'!AQ2:AQ501,'Federal Data'!$G2:$G501,"Support for Veterans",'Federal Data'!$D2:$D501,"Nongrant")</f>
        <v>107548000</v>
      </c>
      <c r="AH47" s="113">
        <f>SUMIFS('Federal Data'!AR2:AR501,'Federal Data'!$G2:$G501,"Support for Veterans",'Federal Data'!$D2:$D501,"Nongrant")</f>
        <v>126193000</v>
      </c>
      <c r="AI47" s="113">
        <f>SUMIFS('Federal Data'!AS2:AS501,'Federal Data'!$G2:$G501,"Support for Veterans",'Federal Data'!$D2:$D501,"Nongrant")</f>
        <v>123514000</v>
      </c>
      <c r="AJ47" s="113">
        <f>SUMIFS('Federal Data'!AT2:AT501,'Federal Data'!$G2:$G501,"Support for Veterans",'Federal Data'!$D2:$D501,"Nongrant")</f>
        <v>137851000</v>
      </c>
      <c r="AK47" s="113">
        <f>SUMIFS('Federal Data'!AU2:AU501,'Federal Data'!$G2:$G501,"Support for Veterans",'Federal Data'!$D2:$D501,"Nongrant")</f>
        <v>148393000</v>
      </c>
      <c r="AL47" s="113">
        <f>SUMIFS('Federal Data'!AV2:AV501,'Federal Data'!$G2:$G501,"Support for Veterans",'Federal Data'!$D2:$D501,"Nongrant")</f>
        <v>157917000</v>
      </c>
    </row>
    <row r="48" spans="1:38" outlineLevel="4">
      <c r="A48" s="22" t="str">
        <f>B47</f>
        <v>Support for Veterans</v>
      </c>
      <c r="B48" s="31" t="s">
        <v>86</v>
      </c>
      <c r="C48" s="113">
        <f>SUMIFS('Federal Data'!M2:M501,'Federal Data'!$H2:$H501,"Veterans Pension &amp; Disability Benefits",'Federal Data'!$D2:$D501,"Nongrant")</f>
        <v>11700182</v>
      </c>
      <c r="D48" s="113">
        <f>SUMIFS('Federal Data'!N2:N501,'Federal Data'!$H2:$H501,"Veterans Pension &amp; Disability Benefits",'Federal Data'!$D2:$D501,"Nongrant")</f>
        <v>12921119</v>
      </c>
      <c r="E48" s="113">
        <f>SUMIFS('Federal Data'!O2:O501,'Federal Data'!$H2:$H501,"Veterans Pension &amp; Disability Benefits",'Federal Data'!$D2:$D501,"Nongrant")</f>
        <v>13722931</v>
      </c>
      <c r="F48" s="113">
        <f>SUMIFS('Federal Data'!P2:P501,'Federal Data'!$H2:$H501,"Veterans Pension &amp; Disability Benefits",'Federal Data'!$D2:$D501,"Nongrant")</f>
        <v>14263302</v>
      </c>
      <c r="G48" s="113">
        <f>SUMIFS('Federal Data'!Q2:Q501,'Federal Data'!$H2:$H501,"Veterans Pension &amp; Disability Benefits",'Federal Data'!$D2:$D501,"Nongrant")</f>
        <v>14412051</v>
      </c>
      <c r="H48" s="113">
        <f>SUMIFS('Federal Data'!R2:R501,'Federal Data'!$H2:$H501,"Veterans Pension &amp; Disability Benefits",'Federal Data'!$D2:$D501,"Nongrant")</f>
        <v>14728405</v>
      </c>
      <c r="I48" s="113">
        <f>SUMIFS('Federal Data'!S2:S501,'Federal Data'!$H2:$H501,"Veterans Pension &amp; Disability Benefits",'Federal Data'!$D2:$D501,"Nongrant")</f>
        <v>15047209</v>
      </c>
      <c r="J48" s="113">
        <f>SUMIFS('Federal Data'!T2:T501,'Federal Data'!$H2:$H501,"Veterans Pension &amp; Disability Benefits",'Federal Data'!$D2:$D501,"Nongrant")</f>
        <v>14978316</v>
      </c>
      <c r="K48" s="113">
        <f>SUMIFS('Federal Data'!U2:U501,'Federal Data'!$H2:$H501,"Veterans Pension &amp; Disability Benefits",'Federal Data'!$D2:$D501,"Nongrant")</f>
        <v>15979720</v>
      </c>
      <c r="L48" s="113">
        <f>SUMIFS('Federal Data'!V2:V501,'Federal Data'!$H2:$H501,"Veterans Pension &amp; Disability Benefits",'Federal Data'!$D2:$D501,"Nongrant")</f>
        <v>16561994</v>
      </c>
      <c r="M48" s="113">
        <f>SUMIFS('Federal Data'!W2:W501,'Federal Data'!$H2:$H501,"Veterans Pension &amp; Disability Benefits",'Federal Data'!$D2:$D501,"Nongrant")</f>
        <v>15260684</v>
      </c>
      <c r="N48" s="113">
        <f>SUMIFS('Federal Data'!X2:X501,'Federal Data'!$H2:$H501,"Veterans Pension &amp; Disability Benefits",'Federal Data'!$D2:$D501,"Nongrant")</f>
        <v>16980707</v>
      </c>
      <c r="O48" s="113">
        <f>SUMIFS('Federal Data'!Y2:Y501,'Federal Data'!$H2:$H501,"Veterans Pension &amp; Disability Benefits",'Federal Data'!$D2:$D501,"Nongrant")</f>
        <v>17317559</v>
      </c>
      <c r="P48" s="113">
        <f>SUMIFS('Federal Data'!Z2:Z501,'Federal Data'!$H2:$H501,"Veterans Pension &amp; Disability Benefits",'Federal Data'!$D2:$D501,"Nongrant")</f>
        <v>17780614</v>
      </c>
      <c r="Q48" s="113">
        <f>SUMIFS('Federal Data'!AA2:AA501,'Federal Data'!$H2:$H501,"Veterans Pension &amp; Disability Benefits",'Federal Data'!$D2:$D501,"Nongrant")</f>
        <v>19638210</v>
      </c>
      <c r="R48" s="113">
        <f>SUMIFS('Federal Data'!AB2:AB501,'Federal Data'!$H2:$H501,"Veterans Pension &amp; Disability Benefits",'Federal Data'!$D2:$D501,"Nongrant")</f>
        <v>18993000</v>
      </c>
      <c r="S48" s="113">
        <f>SUMIFS('Federal Data'!AC2:AC501,'Federal Data'!$H2:$H501,"Veterans Pension &amp; Disability Benefits",'Federal Data'!$D2:$D501,"Nongrant")</f>
        <v>18228000</v>
      </c>
      <c r="T48" s="113">
        <f>SUMIFS('Federal Data'!AD2:AD501,'Federal Data'!$H2:$H501,"Veterans Pension &amp; Disability Benefits",'Federal Data'!$D2:$D501,"Nongrant")</f>
        <v>20435000</v>
      </c>
      <c r="U48" s="113">
        <f>SUMIFS('Federal Data'!AE2:AE501,'Federal Data'!$H2:$H501,"Veterans Pension &amp; Disability Benefits",'Federal Data'!$D2:$D501,"Nongrant")</f>
        <v>21350000</v>
      </c>
      <c r="V48" s="113">
        <f>SUMIFS('Federal Data'!AF2:AF501,'Federal Data'!$H2:$H501,"Veterans Pension &amp; Disability Benefits",'Federal Data'!$D2:$D501,"Nongrant")</f>
        <v>22184000</v>
      </c>
      <c r="W48" s="113">
        <f>SUMIFS('Federal Data'!AG2:AG501,'Federal Data'!$H2:$H501,"Veterans Pension &amp; Disability Benefits",'Federal Data'!$D2:$D501,"Nongrant")</f>
        <v>24907000</v>
      </c>
      <c r="X48" s="113">
        <f>SUMIFS('Federal Data'!AH2:AH501,'Federal Data'!$H2:$H501,"Veterans Pension &amp; Disability Benefits",'Federal Data'!$D2:$D501,"Nongrant")</f>
        <v>22498000</v>
      </c>
      <c r="Y48" s="113">
        <f>SUMIFS('Federal Data'!AI2:AI501,'Federal Data'!$H2:$H501,"Veterans Pension &amp; Disability Benefits",'Federal Data'!$D2:$D501,"Nongrant")</f>
        <v>26720000</v>
      </c>
      <c r="Z48" s="113">
        <f>SUMIFS('Federal Data'!AJ2:AJ501,'Federal Data'!$H2:$H501,"Veterans Pension &amp; Disability Benefits",'Federal Data'!$D2:$D501,"Nongrant")</f>
        <v>29091000</v>
      </c>
      <c r="AA48" s="113">
        <f>SUMIFS('Federal Data'!AK2:AK501,'Federal Data'!$H2:$H501,"Veterans Pension &amp; Disability Benefits",'Federal Data'!$D2:$D501,"Nongrant")</f>
        <v>30849000</v>
      </c>
      <c r="AB48" s="113">
        <f>SUMIFS('Federal Data'!AL2:AL501,'Federal Data'!$H2:$H501,"Veterans Pension &amp; Disability Benefits",'Federal Data'!$D2:$D501,"Nongrant")</f>
        <v>35767000</v>
      </c>
      <c r="AC48" s="113">
        <f>SUMIFS('Federal Data'!AM2:AM501,'Federal Data'!$H2:$H501,"Veterans Pension &amp; Disability Benefits",'Federal Data'!$D2:$D501,"Nongrant")</f>
        <v>35771000</v>
      </c>
      <c r="AD48" s="113">
        <f>SUMIFS('Federal Data'!AN2:AN501,'Federal Data'!$H2:$H501,"Veterans Pension &amp; Disability Benefits",'Federal Data'!$D2:$D501,"Nongrant")</f>
        <v>35684000</v>
      </c>
      <c r="AE48" s="113">
        <f>SUMIFS('Federal Data'!AO2:AO501,'Federal Data'!$H2:$H501,"Veterans Pension &amp; Disability Benefits",'Federal Data'!$D2:$D501,"Nongrant")</f>
        <v>41338000</v>
      </c>
      <c r="AF48" s="113">
        <f>SUMIFS('Federal Data'!AP2:AP501,'Federal Data'!$H2:$H501,"Veterans Pension &amp; Disability Benefits",'Federal Data'!$D2:$D501,"Nongrant")</f>
        <v>45952000</v>
      </c>
      <c r="AG48" s="113">
        <f>SUMIFS('Federal Data'!AQ2:AQ501,'Federal Data'!$H2:$H501,"Veterans Pension &amp; Disability Benefits",'Federal Data'!$D2:$D501,"Nongrant")</f>
        <v>49163000</v>
      </c>
      <c r="AH48" s="113">
        <f>SUMIFS('Federal Data'!AR2:AR501,'Federal Data'!$H2:$H501,"Veterans Pension &amp; Disability Benefits",'Federal Data'!$D2:$D501,"Nongrant")</f>
        <v>58747000</v>
      </c>
      <c r="AI48" s="113">
        <f>SUMIFS('Federal Data'!AS2:AS501,'Federal Data'!$H2:$H501,"Veterans Pension &amp; Disability Benefits",'Federal Data'!$D2:$D501,"Nongrant")</f>
        <v>55899000</v>
      </c>
      <c r="AJ48" s="113">
        <f>SUMIFS('Federal Data'!AT2:AT501,'Federal Data'!$H2:$H501,"Veterans Pension &amp; Disability Benefits",'Federal Data'!$D2:$D501,"Nongrant")</f>
        <v>65890000</v>
      </c>
      <c r="AK48" s="113">
        <f>SUMIFS('Federal Data'!AU2:AU501,'Federal Data'!$H2:$H501,"Veterans Pension &amp; Disability Benefits",'Federal Data'!$D2:$D501,"Nongrant")</f>
        <v>70906000</v>
      </c>
      <c r="AL48" s="113">
        <f>SUMIFS('Federal Data'!AV2:AV501,'Federal Data'!$H2:$H501,"Veterans Pension &amp; Disability Benefits",'Federal Data'!$D2:$D501,"Nongrant")</f>
        <v>76360000</v>
      </c>
    </row>
    <row r="49" spans="1:38" outlineLevel="4">
      <c r="A49" s="22" t="str">
        <f>B47</f>
        <v>Support for Veterans</v>
      </c>
      <c r="B49" s="31" t="s">
        <v>83</v>
      </c>
      <c r="C49" s="113">
        <f>SUMIFS('Federal Data'!M2:M501,'Federal Data'!$H2:$H501,"Veterans Medical Care",'Federal Data'!$D2:$D501,"Nongrant")</f>
        <v>6423098</v>
      </c>
      <c r="D49" s="113">
        <f>SUMIFS('Federal Data'!N2:N501,'Federal Data'!$H2:$H501,"Veterans Medical Care",'Federal Data'!$D2:$D501,"Nongrant")</f>
        <v>6890772</v>
      </c>
      <c r="E49" s="113">
        <f>SUMIFS('Federal Data'!O2:O501,'Federal Data'!$H2:$H501,"Veterans Medical Care",'Federal Data'!$D2:$D501,"Nongrant")</f>
        <v>7454720</v>
      </c>
      <c r="F49" s="113">
        <f>SUMIFS('Federal Data'!P2:P501,'Federal Data'!$H2:$H501,"Veterans Medical Care",'Federal Data'!$D2:$D501,"Nongrant")</f>
        <v>8207541</v>
      </c>
      <c r="G49" s="113">
        <f>SUMIFS('Federal Data'!Q2:Q501,'Federal Data'!$H2:$H501,"Veterans Medical Care",'Federal Data'!$D2:$D501,"Nongrant")</f>
        <v>8795347</v>
      </c>
      <c r="H49" s="113">
        <f>SUMIFS('Federal Data'!R2:R501,'Federal Data'!$H2:$H501,"Veterans Medical Care",'Federal Data'!$D2:$D501,"Nongrant")</f>
        <v>9455720</v>
      </c>
      <c r="I49" s="113">
        <f>SUMIFS('Federal Data'!S2:S501,'Federal Data'!$H2:$H501,"Veterans Medical Care",'Federal Data'!$D2:$D501,"Nongrant")</f>
        <v>9784349</v>
      </c>
      <c r="J49" s="113">
        <f>SUMIFS('Federal Data'!T2:T501,'Federal Data'!$H2:$H501,"Veterans Medical Care",'Federal Data'!$D2:$D501,"Nongrant")</f>
        <v>10171825</v>
      </c>
      <c r="K49" s="113">
        <f>SUMIFS('Federal Data'!U2:U501,'Federal Data'!$H2:$H501,"Veterans Medical Care",'Federal Data'!$D2:$D501,"Nongrant")</f>
        <v>10735386</v>
      </c>
      <c r="L49" s="113">
        <f>SUMIFS('Federal Data'!V2:V501,'Federal Data'!$H2:$H501,"Veterans Medical Care",'Federal Data'!$D2:$D501,"Nongrant")</f>
        <v>11217949</v>
      </c>
      <c r="M49" s="113">
        <f>SUMIFS('Federal Data'!W2:W501,'Federal Data'!$H2:$H501,"Veterans Medical Care",'Federal Data'!$D2:$D501,"Nongrant")</f>
        <v>12002648</v>
      </c>
      <c r="N49" s="113">
        <f>SUMIFS('Federal Data'!X2:X501,'Federal Data'!$H2:$H501,"Veterans Medical Care",'Federal Data'!$D2:$D501,"Nongrant")</f>
        <v>12750674</v>
      </c>
      <c r="O49" s="113">
        <f>SUMIFS('Federal Data'!Y2:Y501,'Federal Data'!$H2:$H501,"Veterans Medical Care",'Federal Data'!$D2:$D501,"Nongrant")</f>
        <v>13936184</v>
      </c>
      <c r="P49" s="113">
        <f>SUMIFS('Federal Data'!Z2:Z501,'Federal Data'!$H2:$H501,"Veterans Medical Care",'Federal Data'!$D2:$D501,"Nongrant")</f>
        <v>14626950</v>
      </c>
      <c r="Q49" s="113">
        <f>SUMIFS('Federal Data'!AA2:AA501,'Federal Data'!$H2:$H501,"Veterans Medical Care",'Federal Data'!$D2:$D501,"Nongrant")</f>
        <v>15479397</v>
      </c>
      <c r="R49" s="113">
        <f>SUMIFS('Federal Data'!AB2:AB501,'Federal Data'!$H2:$H501,"Veterans Medical Care",'Federal Data'!$D2:$D501,"Nongrant")</f>
        <v>16178000</v>
      </c>
      <c r="S49" s="113">
        <f>SUMIFS('Federal Data'!AC2:AC501,'Federal Data'!$H2:$H501,"Veterans Medical Care",'Federal Data'!$D2:$D501,"Nongrant")</f>
        <v>16322000</v>
      </c>
      <c r="T49" s="113">
        <f>SUMIFS('Federal Data'!AD2:AD501,'Federal Data'!$H2:$H501,"Veterans Medical Care",'Federal Data'!$D2:$D501,"Nongrant")</f>
        <v>16822000</v>
      </c>
      <c r="U49" s="113">
        <f>SUMIFS('Federal Data'!AE2:AE501,'Federal Data'!$H2:$H501,"Veterans Medical Care",'Federal Data'!$D2:$D501,"Nongrant")</f>
        <v>17260000</v>
      </c>
      <c r="V49" s="113">
        <f>SUMIFS('Federal Data'!AF2:AF501,'Federal Data'!$H2:$H501,"Veterans Medical Care",'Federal Data'!$D2:$D501,"Nongrant")</f>
        <v>17855000</v>
      </c>
      <c r="W49" s="113">
        <f>SUMIFS('Federal Data'!AG2:AG501,'Federal Data'!$H2:$H501,"Veterans Medical Care",'Federal Data'!$D2:$D501,"Nongrant")</f>
        <v>19094000</v>
      </c>
      <c r="X49" s="113">
        <f>SUMIFS('Federal Data'!AH2:AH501,'Federal Data'!$H2:$H501,"Veterans Medical Care",'Federal Data'!$D2:$D501,"Nongrant")</f>
        <v>20571000</v>
      </c>
      <c r="Y49" s="113">
        <f>SUMIFS('Federal Data'!AI2:AI501,'Federal Data'!$H2:$H501,"Veterans Medical Care",'Federal Data'!$D2:$D501,"Nongrant")</f>
        <v>21930000</v>
      </c>
      <c r="Z49" s="113">
        <f>SUMIFS('Federal Data'!AJ2:AJ501,'Federal Data'!$H2:$H501,"Veterans Medical Care",'Federal Data'!$D2:$D501,"Nongrant")</f>
        <v>23679000</v>
      </c>
      <c r="AA49" s="113">
        <f>SUMIFS('Federal Data'!AK2:AK501,'Federal Data'!$H2:$H501,"Veterans Medical Care",'Federal Data'!$D2:$D501,"Nongrant")</f>
        <v>26405000</v>
      </c>
      <c r="AB49" s="113">
        <f>SUMIFS('Federal Data'!AL2:AL501,'Federal Data'!$H2:$H501,"Veterans Medical Care",'Federal Data'!$D2:$D501,"Nongrant")</f>
        <v>28223000</v>
      </c>
      <c r="AC49" s="113">
        <f>SUMIFS('Federal Data'!AM2:AM501,'Federal Data'!$H2:$H501,"Veterans Medical Care",'Federal Data'!$D2:$D501,"Nongrant")</f>
        <v>29300000</v>
      </c>
      <c r="AD49" s="113">
        <f>SUMIFS('Federal Data'!AN2:AN501,'Federal Data'!$H2:$H501,"Veterans Medical Care",'Federal Data'!$D2:$D501,"Nongrant")</f>
        <v>31681000</v>
      </c>
      <c r="AE49" s="113">
        <f>SUMIFS('Federal Data'!AO2:AO501,'Federal Data'!$H2:$H501,"Veterans Medical Care",'Federal Data'!$D2:$D501,"Nongrant")</f>
        <v>36310000</v>
      </c>
      <c r="AF49" s="113">
        <f>SUMIFS('Federal Data'!AP2:AP501,'Federal Data'!$H2:$H501,"Veterans Medical Care",'Federal Data'!$D2:$D501,"Nongrant")</f>
        <v>41103000</v>
      </c>
      <c r="AG49" s="113">
        <f>SUMIFS('Federal Data'!AQ2:AQ501,'Federal Data'!$H2:$H501,"Veterans Medical Care",'Federal Data'!$D2:$D501,"Nongrant")</f>
        <v>44914000</v>
      </c>
      <c r="AH49" s="113">
        <f>SUMIFS('Federal Data'!AR2:AR501,'Federal Data'!$H2:$H501,"Veterans Medical Care",'Federal Data'!$D2:$D501,"Nongrant")</f>
        <v>49116000</v>
      </c>
      <c r="AI49" s="113">
        <f>SUMIFS('Federal Data'!AS2:AS501,'Federal Data'!$H2:$H501,"Veterans Medical Care",'Federal Data'!$D2:$D501,"Nongrant")</f>
        <v>49535000</v>
      </c>
      <c r="AJ49" s="113">
        <f>SUMIFS('Federal Data'!AT2:AT501,'Federal Data'!$H2:$H501,"Veterans Medical Care",'Federal Data'!$D2:$D501,"Nongrant")</f>
        <v>51512000</v>
      </c>
      <c r="AK49" s="113">
        <f>SUMIFS('Federal Data'!AU2:AU501,'Federal Data'!$H2:$H501,"Veterans Medical Care",'Federal Data'!$D2:$D501,"Nongrant")</f>
        <v>55043000</v>
      </c>
      <c r="AL49" s="113">
        <f>SUMIFS('Federal Data'!AV2:AV501,'Federal Data'!$H2:$H501,"Veterans Medical Care",'Federal Data'!$D2:$D501,"Nongrant")</f>
        <v>60131000</v>
      </c>
    </row>
    <row r="50" spans="1:38" outlineLevel="4">
      <c r="A50" s="22" t="str">
        <f>B47</f>
        <v>Support for Veterans</v>
      </c>
      <c r="B50" s="31" t="s">
        <v>316</v>
      </c>
      <c r="C50" s="113">
        <f>SUMIFS('Federal Data'!M2:M501,'Federal Data'!$H2:$H501,"Veterans Housing",'Federal Data'!$D2:$D501,"Nongrant")</f>
        <v>-3835</v>
      </c>
      <c r="D50" s="113">
        <f>SUMIFS('Federal Data'!N2:N501,'Federal Data'!$H2:$H501,"Veterans Housing",'Federal Data'!$D2:$D501,"Nongrant")</f>
        <v>216723</v>
      </c>
      <c r="E50" s="113">
        <f>SUMIFS('Federal Data'!O2:O501,'Federal Data'!$H2:$H501,"Veterans Housing",'Federal Data'!$D2:$D501,"Nongrant")</f>
        <v>119681</v>
      </c>
      <c r="F50" s="113">
        <f>SUMIFS('Federal Data'!P2:P501,'Federal Data'!$H2:$H501,"Veterans Housing",'Federal Data'!$D2:$D501,"Nongrant")</f>
        <v>16876</v>
      </c>
      <c r="G50" s="113">
        <f>SUMIFS('Federal Data'!Q2:Q501,'Federal Data'!$H2:$H501,"Veterans Housing",'Federal Data'!$D2:$D501,"Nongrant")</f>
        <v>257267</v>
      </c>
      <c r="H50" s="113">
        <f>SUMIFS('Federal Data'!R2:R501,'Federal Data'!$H2:$H501,"Veterans Housing",'Federal Data'!$D2:$D501,"Nongrant")</f>
        <v>229652</v>
      </c>
      <c r="I50" s="113">
        <f>SUMIFS('Federal Data'!S2:S501,'Federal Data'!$H2:$H501,"Veterans Housing",'Federal Data'!$D2:$D501,"Nongrant")</f>
        <v>128141</v>
      </c>
      <c r="J50" s="113">
        <f>SUMIFS('Federal Data'!T2:T501,'Federal Data'!$H2:$H501,"Veterans Housing",'Federal Data'!$D2:$D501,"Nongrant")</f>
        <v>344474</v>
      </c>
      <c r="K50" s="113">
        <f>SUMIFS('Federal Data'!U2:U501,'Federal Data'!$H2:$H501,"Veterans Housing",'Federal Data'!$D2:$D501,"Nongrant")</f>
        <v>1305185</v>
      </c>
      <c r="L50" s="113">
        <f>SUMIFS('Federal Data'!V2:V501,'Federal Data'!$H2:$H501,"Veterans Housing",'Federal Data'!$D2:$D501,"Nongrant")</f>
        <v>891942</v>
      </c>
      <c r="M50" s="113">
        <f>SUMIFS('Federal Data'!W2:W501,'Federal Data'!$H2:$H501,"Veterans Housing",'Federal Data'!$D2:$D501,"Nongrant")</f>
        <v>530044</v>
      </c>
      <c r="N50" s="113">
        <f>SUMIFS('Federal Data'!X2:X501,'Federal Data'!$H2:$H501,"Veterans Housing",'Federal Data'!$D2:$D501,"Nongrant")</f>
        <v>99815</v>
      </c>
      <c r="O50" s="113">
        <f>SUMIFS('Federal Data'!Y2:Y501,'Federal Data'!$H2:$H501,"Veterans Housing",'Federal Data'!$D2:$D501,"Nongrant")</f>
        <v>917139</v>
      </c>
      <c r="P50" s="113">
        <f>SUMIFS('Federal Data'!Z2:Z501,'Federal Data'!$H2:$H501,"Veterans Housing",'Federal Data'!$D2:$D501,"Nongrant")</f>
        <v>1313879</v>
      </c>
      <c r="Q50" s="113">
        <f>SUMIFS('Federal Data'!AA2:AA501,'Federal Data'!$H2:$H501,"Veterans Housing",'Federal Data'!$D2:$D501,"Nongrant")</f>
        <v>211502</v>
      </c>
      <c r="R50" s="113">
        <f>SUMIFS('Federal Data'!AB2:AB501,'Federal Data'!$H2:$H501,"Veterans Housing",'Federal Data'!$D2:$D501,"Nongrant")</f>
        <v>344000</v>
      </c>
      <c r="S50" s="113">
        <f>SUMIFS('Federal Data'!AC2:AC501,'Federal Data'!$H2:$H501,"Veterans Housing",'Federal Data'!$D2:$D501,"Nongrant")</f>
        <v>80000</v>
      </c>
      <c r="T50" s="113">
        <f>SUMIFS('Federal Data'!AD2:AD501,'Federal Data'!$H2:$H501,"Veterans Housing",'Federal Data'!$D2:$D501,"Nongrant")</f>
        <v>-327000</v>
      </c>
      <c r="U50" s="113">
        <f>SUMIFS('Federal Data'!AE2:AE501,'Federal Data'!$H2:$H501,"Veterans Housing",'Federal Data'!$D2:$D501,"Nongrant")</f>
        <v>853000</v>
      </c>
      <c r="V50" s="113">
        <f>SUMIFS('Federal Data'!AF2:AF501,'Federal Data'!$H2:$H501,"Veterans Housing",'Federal Data'!$D2:$D501,"Nongrant")</f>
        <v>580000</v>
      </c>
      <c r="W50" s="113">
        <f>SUMIFS('Federal Data'!AG2:AG501,'Federal Data'!$H2:$H501,"Veterans Housing",'Federal Data'!$D2:$D501,"Nongrant")</f>
        <v>364000</v>
      </c>
      <c r="X50" s="113">
        <f>SUMIFS('Federal Data'!AH2:AH501,'Federal Data'!$H2:$H501,"Veterans Housing",'Federal Data'!$D2:$D501,"Nongrant")</f>
        <v>-904000</v>
      </c>
      <c r="Y50" s="113">
        <f>SUMIFS('Federal Data'!AI2:AI501,'Federal Data'!$H2:$H501,"Veterans Housing",'Federal Data'!$D2:$D501,"Nongrant")</f>
        <v>-1006000</v>
      </c>
      <c r="Z50" s="113">
        <f>SUMIFS('Federal Data'!AJ2:AJ501,'Federal Data'!$H2:$H501,"Veterans Housing",'Federal Data'!$D2:$D501,"Nongrant")</f>
        <v>505000</v>
      </c>
      <c r="AA50" s="113">
        <f>SUMIFS('Federal Data'!AK2:AK501,'Federal Data'!$H2:$H501,"Veterans Housing",'Federal Data'!$D2:$D501,"Nongrant")</f>
        <v>-1982000</v>
      </c>
      <c r="AB50" s="113">
        <f>SUMIFS('Federal Data'!AL2:AL501,'Federal Data'!$H2:$H501,"Veterans Housing",'Federal Data'!$D2:$D501,"Nongrant")</f>
        <v>860000</v>
      </c>
      <c r="AC50" s="113">
        <f>SUMIFS('Federal Data'!AM2:AM501,'Federal Data'!$H2:$H501,"Veterans Housing",'Federal Data'!$D2:$D501,"Nongrant")</f>
        <v>-1242000</v>
      </c>
      <c r="AD50" s="113">
        <f>SUMIFS('Federal Data'!AN2:AN501,'Federal Data'!$H2:$H501,"Veterans Housing",'Federal Data'!$D2:$D501,"Nongrant")</f>
        <v>-868000</v>
      </c>
      <c r="AE50" s="113">
        <f>SUMIFS('Federal Data'!AO2:AO501,'Federal Data'!$H2:$H501,"Veterans Housing",'Federal Data'!$D2:$D501,"Nongrant")</f>
        <v>-419000</v>
      </c>
      <c r="AF50" s="113">
        <f>SUMIFS('Federal Data'!AP2:AP501,'Federal Data'!$H2:$H501,"Veterans Housing",'Federal Data'!$D2:$D501,"Nongrant")</f>
        <v>-578000</v>
      </c>
      <c r="AG50" s="113">
        <f>SUMIFS('Federal Data'!AQ2:AQ501,'Federal Data'!$H2:$H501,"Veterans Housing",'Federal Data'!$D2:$D501,"Nongrant")</f>
        <v>540000</v>
      </c>
      <c r="AH50" s="113">
        <f>SUMIFS('Federal Data'!AR2:AR501,'Federal Data'!$H2:$H501,"Veterans Housing",'Federal Data'!$D2:$D501,"Nongrant")</f>
        <v>1262000</v>
      </c>
      <c r="AI50" s="113">
        <f>SUMIFS('Federal Data'!AS2:AS501,'Federal Data'!$H2:$H501,"Veterans Housing",'Federal Data'!$D2:$D501,"Nongrant")</f>
        <v>1413000</v>
      </c>
      <c r="AJ50" s="113">
        <f>SUMIFS('Federal Data'!AT2:AT501,'Federal Data'!$H2:$H501,"Veterans Housing",'Federal Data'!$D2:$D501,"Nongrant")</f>
        <v>1328000</v>
      </c>
      <c r="AK50" s="113">
        <f>SUMIFS('Federal Data'!AU2:AU501,'Federal Data'!$H2:$H501,"Veterans Housing",'Federal Data'!$D2:$D501,"Nongrant")</f>
        <v>2143000</v>
      </c>
      <c r="AL50" s="113">
        <f>SUMIFS('Federal Data'!AV2:AV501,'Federal Data'!$H2:$H501,"Veterans Housing",'Federal Data'!$D2:$D501,"Nongrant")</f>
        <v>743000</v>
      </c>
    </row>
    <row r="51" spans="1:38" outlineLevel="4">
      <c r="A51" s="22" t="str">
        <f>B47</f>
        <v>Support for Veterans</v>
      </c>
      <c r="B51" s="31" t="s">
        <v>85</v>
      </c>
      <c r="C51" s="113">
        <f>SUMIFS('Federal Data'!M2:M501,'Federal Data'!$H2:$H501,"Veterans Readjustment Benefits",'Federal Data'!$D2:$D501,"Nongrant")</f>
        <v>2309735</v>
      </c>
      <c r="D51" s="113">
        <f>SUMIFS('Federal Data'!N2:N501,'Federal Data'!$H2:$H501,"Veterans Readjustment Benefits",'Federal Data'!$D2:$D501,"Nongrant")</f>
        <v>2225844</v>
      </c>
      <c r="E51" s="113">
        <f>SUMIFS('Federal Data'!O2:O501,'Federal Data'!$H2:$H501,"Veterans Readjustment Benefits",'Federal Data'!$D2:$D501,"Nongrant")</f>
        <v>1916709</v>
      </c>
      <c r="F51" s="113">
        <f>SUMIFS('Federal Data'!P2:P501,'Federal Data'!$H2:$H501,"Veterans Readjustment Benefits",'Federal Data'!$D2:$D501,"Nongrant")</f>
        <v>1598064</v>
      </c>
      <c r="G51" s="113">
        <f>SUMIFS('Federal Data'!Q2:Q501,'Federal Data'!$H2:$H501,"Veterans Readjustment Benefits",'Federal Data'!$D2:$D501,"Nongrant")</f>
        <v>1332936</v>
      </c>
      <c r="H51" s="113">
        <f>SUMIFS('Federal Data'!R2:R501,'Federal Data'!$H2:$H501,"Veterans Readjustment Benefits",'Federal Data'!$D2:$D501,"Nongrant")</f>
        <v>1028616</v>
      </c>
      <c r="I51" s="113">
        <f>SUMIFS('Federal Data'!S2:S501,'Federal Data'!$H2:$H501,"Veterans Readjustment Benefits",'Federal Data'!$D2:$D501,"Nongrant")</f>
        <v>496098</v>
      </c>
      <c r="J51" s="113">
        <f>SUMIFS('Federal Data'!T2:T501,'Federal Data'!$H2:$H501,"Veterans Readjustment Benefits",'Federal Data'!$D2:$D501,"Nongrant")</f>
        <v>423961</v>
      </c>
      <c r="K51" s="113">
        <f>SUMIFS('Federal Data'!U2:U501,'Federal Data'!$H2:$H501,"Veterans Readjustment Benefits",'Federal Data'!$D2:$D501,"Nongrant")</f>
        <v>424241</v>
      </c>
      <c r="L51" s="113">
        <f>SUMIFS('Federal Data'!V2:V501,'Federal Data'!$H2:$H501,"Veterans Readjustment Benefits",'Federal Data'!$D2:$D501,"Nongrant")</f>
        <v>426383</v>
      </c>
      <c r="M51" s="113">
        <f>SUMIFS('Federal Data'!W2:W501,'Federal Data'!$H2:$H501,"Veterans Readjustment Benefits",'Federal Data'!$D2:$D501,"Nongrant")</f>
        <v>245029</v>
      </c>
      <c r="N51" s="113">
        <f>SUMIFS('Federal Data'!X2:X501,'Federal Data'!$H2:$H501,"Veterans Readjustment Benefits",'Federal Data'!$D2:$D501,"Nongrant")</f>
        <v>392764</v>
      </c>
      <c r="O51" s="113">
        <f>SUMIFS('Federal Data'!Y2:Y501,'Federal Data'!$H2:$H501,"Veterans Readjustment Benefits",'Federal Data'!$D2:$D501,"Nongrant")</f>
        <v>745879</v>
      </c>
      <c r="P51" s="113">
        <f>SUMIFS('Federal Data'!Z2:Z501,'Federal Data'!$H2:$H501,"Veterans Readjustment Benefits",'Federal Data'!$D2:$D501,"Nongrant")</f>
        <v>788334</v>
      </c>
      <c r="Q51" s="113">
        <f>SUMIFS('Federal Data'!AA2:AA501,'Federal Data'!$H2:$H501,"Veterans Readjustment Benefits",'Federal Data'!$D2:$D501,"Nongrant")</f>
        <v>1075369</v>
      </c>
      <c r="R51" s="113">
        <f>SUMIFS('Federal Data'!AB2:AB501,'Federal Data'!$H2:$H501,"Veterans Readjustment Benefits",'Federal Data'!$D2:$D501,"Nongrant")</f>
        <v>1082000</v>
      </c>
      <c r="S51" s="113">
        <f>SUMIFS('Federal Data'!AC2:AC501,'Federal Data'!$H2:$H501,"Veterans Readjustment Benefits",'Federal Data'!$D2:$D501,"Nongrant")</f>
        <v>1073000</v>
      </c>
      <c r="T51" s="113">
        <f>SUMIFS('Federal Data'!AD2:AD501,'Federal Data'!$H2:$H501,"Veterans Readjustment Benefits",'Federal Data'!$D2:$D501,"Nongrant")</f>
        <v>1113000</v>
      </c>
      <c r="U51" s="113">
        <f>SUMIFS('Federal Data'!AE2:AE501,'Federal Data'!$H2:$H501,"Veterans Readjustment Benefits",'Federal Data'!$D2:$D501,"Nongrant")</f>
        <v>1058000</v>
      </c>
      <c r="V51" s="113">
        <f>SUMIFS('Federal Data'!AF2:AF501,'Federal Data'!$H2:$H501,"Veterans Readjustment Benefits",'Federal Data'!$D2:$D501,"Nongrant")</f>
        <v>1222000</v>
      </c>
      <c r="W51" s="113">
        <f>SUMIFS('Federal Data'!AG2:AG501,'Federal Data'!$H2:$H501,"Veterans Readjustment Benefits",'Federal Data'!$D2:$D501,"Nongrant")</f>
        <v>1285000</v>
      </c>
      <c r="X51" s="113">
        <f>SUMIFS('Federal Data'!AH2:AH501,'Federal Data'!$H2:$H501,"Veterans Readjustment Benefits",'Federal Data'!$D2:$D501,"Nongrant")</f>
        <v>1193000</v>
      </c>
      <c r="Y51" s="113">
        <f>SUMIFS('Federal Data'!AI2:AI501,'Federal Data'!$H2:$H501,"Veterans Readjustment Benefits",'Federal Data'!$D2:$D501,"Nongrant")</f>
        <v>1726000</v>
      </c>
      <c r="Z51" s="113">
        <f>SUMIFS('Federal Data'!AJ2:AJ501,'Federal Data'!$H2:$H501,"Veterans Readjustment Benefits",'Federal Data'!$D2:$D501,"Nongrant")</f>
        <v>2106000</v>
      </c>
      <c r="AA51" s="113">
        <f>SUMIFS('Federal Data'!AK2:AK501,'Federal Data'!$H2:$H501,"Veterans Readjustment Benefits",'Federal Data'!$D2:$D501,"Nongrant")</f>
        <v>2562000</v>
      </c>
      <c r="AB51" s="113">
        <f>SUMIFS('Federal Data'!AL2:AL501,'Federal Data'!$H2:$H501,"Veterans Readjustment Benefits",'Federal Data'!$D2:$D501,"Nongrant")</f>
        <v>2790000</v>
      </c>
      <c r="AC51" s="113">
        <f>SUMIFS('Federal Data'!AM2:AM501,'Federal Data'!$H2:$H501,"Veterans Readjustment Benefits",'Federal Data'!$D2:$D501,"Nongrant")</f>
        <v>2638000</v>
      </c>
      <c r="AD51" s="113">
        <f>SUMIFS('Federal Data'!AN2:AN501,'Federal Data'!$H2:$H501,"Veterans Readjustment Benefits",'Federal Data'!$D2:$D501,"Nongrant")</f>
        <v>2713000</v>
      </c>
      <c r="AE51" s="113">
        <f>SUMIFS('Federal Data'!AO2:AO501,'Federal Data'!$H2:$H501,"Veterans Readjustment Benefits",'Federal Data'!$D2:$D501,"Nongrant")</f>
        <v>2730000</v>
      </c>
      <c r="AF51" s="113">
        <f>SUMIFS('Federal Data'!AP2:AP501,'Federal Data'!$H2:$H501,"Veterans Readjustment Benefits",'Federal Data'!$D2:$D501,"Nongrant")</f>
        <v>3495000</v>
      </c>
      <c r="AG51" s="113">
        <f>SUMIFS('Federal Data'!AQ2:AQ501,'Federal Data'!$H2:$H501,"Veterans Readjustment Benefits",'Federal Data'!$D2:$D501,"Nongrant")</f>
        <v>8089000</v>
      </c>
      <c r="AH51" s="113">
        <f>SUMIFS('Federal Data'!AR2:AR501,'Federal Data'!$H2:$H501,"Veterans Readjustment Benefits",'Federal Data'!$D2:$D501,"Nongrant")</f>
        <v>10683000</v>
      </c>
      <c r="AI51" s="113">
        <f>SUMIFS('Federal Data'!AS2:AS501,'Federal Data'!$H2:$H501,"Veterans Readjustment Benefits",'Federal Data'!$D2:$D501,"Nongrant")</f>
        <v>10402000</v>
      </c>
      <c r="AJ51" s="113">
        <f>SUMIFS('Federal Data'!AT2:AT501,'Federal Data'!$H2:$H501,"Veterans Readjustment Benefits",'Federal Data'!$D2:$D501,"Nongrant")</f>
        <v>12893000</v>
      </c>
      <c r="AK51" s="113">
        <f>SUMIFS('Federal Data'!AU2:AU501,'Federal Data'!$H2:$H501,"Veterans Readjustment Benefits",'Federal Data'!$D2:$D501,"Nongrant")</f>
        <v>13506000</v>
      </c>
      <c r="AL51" s="113">
        <f>SUMIFS('Federal Data'!AV2:AV501,'Federal Data'!$H2:$H501,"Veterans Readjustment Benefits",'Federal Data'!$D2:$D501,"Nongrant")</f>
        <v>13383000</v>
      </c>
    </row>
    <row r="52" spans="1:38" outlineLevel="4">
      <c r="A52" s="22" t="str">
        <f>B47</f>
        <v>Support for Veterans</v>
      </c>
      <c r="B52" s="31" t="s">
        <v>87</v>
      </c>
      <c r="C52" s="113">
        <f>SUMIFS('Federal Data'!M2:M501,'Federal Data'!$H2:$H501,"Other Veterans SErvices",'Federal Data'!$D2:$D501,"Nongrant")</f>
        <v>649119</v>
      </c>
      <c r="D52" s="113">
        <f>SUMIFS('Federal Data'!N2:N501,'Federal Data'!$H2:$H501,"Other Veterans SErvices",'Federal Data'!$D2:$D501,"Nongrant")</f>
        <v>644008</v>
      </c>
      <c r="E52" s="113">
        <f>SUMIFS('Federal Data'!O2:O501,'Federal Data'!$H2:$H501,"Other Veterans SErvices",'Federal Data'!$D2:$D501,"Nongrant")</f>
        <v>661495</v>
      </c>
      <c r="F52" s="113">
        <f>SUMIFS('Federal Data'!P2:P501,'Federal Data'!$H2:$H501,"Other Veterans SErvices",'Federal Data'!$D2:$D501,"Nongrant")</f>
        <v>671816</v>
      </c>
      <c r="G52" s="113">
        <f>SUMIFS('Federal Data'!Q2:Q501,'Federal Data'!$H2:$H501,"Other Veterans SErvices",'Federal Data'!$D2:$D501,"Nongrant")</f>
        <v>711446</v>
      </c>
      <c r="H52" s="113">
        <f>SUMIFS('Federal Data'!R2:R501,'Federal Data'!$H2:$H501,"Other Veterans SErvices",'Federal Data'!$D2:$D501,"Nongrant")</f>
        <v>717465</v>
      </c>
      <c r="I52" s="113">
        <f>SUMIFS('Federal Data'!S2:S501,'Federal Data'!$H2:$H501,"Other Veterans SErvices",'Federal Data'!$D2:$D501,"Nongrant")</f>
        <v>768352</v>
      </c>
      <c r="J52" s="113">
        <f>SUMIFS('Federal Data'!T2:T501,'Federal Data'!$H2:$H501,"Other Veterans SErvices",'Federal Data'!$D2:$D501,"Nongrant")</f>
        <v>715328</v>
      </c>
      <c r="K52" s="113">
        <f>SUMIFS('Federal Data'!U2:U501,'Federal Data'!$H2:$H501,"Other Veterans SErvices",'Federal Data'!$D2:$D501,"Nongrant")</f>
        <v>816088</v>
      </c>
      <c r="L52" s="113">
        <f>SUMIFS('Federal Data'!V2:V501,'Federal Data'!$H2:$H501,"Other Veterans SErvices",'Federal Data'!$D2:$D501,"Nongrant")</f>
        <v>777594</v>
      </c>
      <c r="M52" s="113">
        <f>SUMIFS('Federal Data'!W2:W501,'Federal Data'!$H2:$H501,"Other Veterans SErvices",'Federal Data'!$D2:$D501,"Nongrant")</f>
        <v>861593</v>
      </c>
      <c r="N52" s="113">
        <f>SUMIFS('Federal Data'!X2:X501,'Federal Data'!$H2:$H501,"Other Veterans SErvices",'Federal Data'!$D2:$D501,"Nongrant")</f>
        <v>910137</v>
      </c>
      <c r="O52" s="113">
        <f>SUMIFS('Federal Data'!Y2:Y501,'Federal Data'!$H2:$H501,"Other Veterans SErvices",'Federal Data'!$D2:$D501,"Nongrant")</f>
        <v>956734</v>
      </c>
      <c r="P52" s="113">
        <f>SUMIFS('Federal Data'!Z2:Z501,'Federal Data'!$H2:$H501,"Other Veterans SErvices",'Federal Data'!$D2:$D501,"Nongrant")</f>
        <v>942413</v>
      </c>
      <c r="Q52" s="113">
        <f>SUMIFS('Federal Data'!AA2:AA501,'Federal Data'!$H2:$H501,"Other Veterans SErvices",'Federal Data'!$D2:$D501,"Nongrant")</f>
        <v>955577</v>
      </c>
      <c r="R52" s="113">
        <f>SUMIFS('Federal Data'!AB2:AB501,'Federal Data'!$H2:$H501,"Other Veterans SErvices",'Federal Data'!$D2:$D501,"Nongrant")</f>
        <v>1012000</v>
      </c>
      <c r="S52" s="113">
        <f>SUMIFS('Federal Data'!AC2:AC501,'Federal Data'!$H2:$H501,"Other Veterans SErvices",'Federal Data'!$D2:$D501,"Nongrant")</f>
        <v>987000</v>
      </c>
      <c r="T52" s="113">
        <f>SUMIFS('Federal Data'!AD2:AD501,'Federal Data'!$H2:$H501,"Other Veterans SErvices",'Federal Data'!$D2:$D501,"Nongrant")</f>
        <v>963000</v>
      </c>
      <c r="U52" s="113">
        <f>SUMIFS('Federal Data'!AE2:AE501,'Federal Data'!$H2:$H501,"Other Veterans SErvices",'Federal Data'!$D2:$D501,"Nongrant")</f>
        <v>932000</v>
      </c>
      <c r="V52" s="113">
        <f>SUMIFS('Federal Data'!AF2:AF501,'Federal Data'!$H2:$H501,"Other Veterans SErvices",'Federal Data'!$D2:$D501,"Nongrant")</f>
        <v>997000</v>
      </c>
      <c r="W52" s="113">
        <f>SUMIFS('Federal Data'!AG2:AG501,'Federal Data'!$H2:$H501,"Other Veterans SErvices",'Federal Data'!$D2:$D501,"Nongrant")</f>
        <v>905000</v>
      </c>
      <c r="X52" s="113">
        <f>SUMIFS('Federal Data'!AH2:AH501,'Federal Data'!$H2:$H501,"Other Veterans SErvices",'Federal Data'!$D2:$D501,"Nongrant")</f>
        <v>1211000</v>
      </c>
      <c r="Y52" s="113">
        <f>SUMIFS('Federal Data'!AI2:AI501,'Federal Data'!$H2:$H501,"Other Veterans SErvices",'Federal Data'!$D2:$D501,"Nongrant")</f>
        <v>1171000</v>
      </c>
      <c r="Z52" s="113">
        <f>SUMIFS('Federal Data'!AJ2:AJ501,'Federal Data'!$H2:$H501,"Other Veterans SErvices",'Federal Data'!$D2:$D501,"Nongrant")</f>
        <v>1175000</v>
      </c>
      <c r="AA52" s="113">
        <f>SUMIFS('Federal Data'!AK2:AK501,'Federal Data'!$H2:$H501,"Other Veterans SErvices",'Federal Data'!$D2:$D501,"Nongrant")</f>
        <v>1419000</v>
      </c>
      <c r="AB52" s="113">
        <f>SUMIFS('Federal Data'!AL2:AL501,'Federal Data'!$H2:$H501,"Other Veterans SErvices",'Federal Data'!$D2:$D501,"Nongrant")</f>
        <v>1928000</v>
      </c>
      <c r="AC52" s="113">
        <f>SUMIFS('Federal Data'!AM2:AM501,'Federal Data'!$H2:$H501,"Other Veterans SErvices",'Federal Data'!$D2:$D501,"Nongrant")</f>
        <v>2719000</v>
      </c>
      <c r="AD52" s="113">
        <f>SUMIFS('Federal Data'!AN2:AN501,'Federal Data'!$H2:$H501,"Other Veterans SErvices",'Federal Data'!$D2:$D501,"Nongrant")</f>
        <v>2969000</v>
      </c>
      <c r="AE52" s="113">
        <f>SUMIFS('Federal Data'!AO2:AO501,'Federal Data'!$H2:$H501,"Other Veterans SErvices",'Federal Data'!$D2:$D501,"Nongrant")</f>
        <v>3999000</v>
      </c>
      <c r="AF52" s="113">
        <f>SUMIFS('Federal Data'!AP2:AP501,'Federal Data'!$H2:$H501,"Other Veterans SErvices",'Federal Data'!$D2:$D501,"Nongrant")</f>
        <v>4648000</v>
      </c>
      <c r="AG52" s="113">
        <f>SUMIFS('Federal Data'!AQ2:AQ501,'Federal Data'!$H2:$H501,"Other Veterans SErvices",'Federal Data'!$D2:$D501,"Nongrant")</f>
        <v>4842000</v>
      </c>
      <c r="AH52" s="113">
        <f>SUMIFS('Federal Data'!AR2:AR501,'Federal Data'!$H2:$H501,"Other Veterans SErvices",'Federal Data'!$D2:$D501,"Nongrant")</f>
        <v>6385000</v>
      </c>
      <c r="AI52" s="113">
        <f>SUMIFS('Federal Data'!AS2:AS501,'Federal Data'!$H2:$H501,"Other Veterans SErvices",'Federal Data'!$D2:$D501,"Nongrant")</f>
        <v>6265000</v>
      </c>
      <c r="AJ52" s="113">
        <f>SUMIFS('Federal Data'!AT2:AT501,'Federal Data'!$H2:$H501,"Other Veterans SErvices",'Federal Data'!$D2:$D501,"Nongrant")</f>
        <v>6228000</v>
      </c>
      <c r="AK52" s="113">
        <f>SUMIFS('Federal Data'!AU2:AU501,'Federal Data'!$H2:$H501,"Other Veterans SErvices",'Federal Data'!$D2:$D501,"Nongrant")</f>
        <v>6795000</v>
      </c>
      <c r="AL52" s="113">
        <f>SUMIFS('Federal Data'!AV2:AV501,'Federal Data'!$H2:$H501,"Other Veterans SErvices",'Federal Data'!$D2:$D501,"Nongrant")</f>
        <v>7300000</v>
      </c>
    </row>
    <row r="53" spans="1:38" outlineLevel="2">
      <c r="A53" s="22" t="str">
        <f>B44</f>
        <v>Provide for the Common Defense</v>
      </c>
      <c r="B53" s="28" t="s">
        <v>160</v>
      </c>
      <c r="C53" s="113">
        <f>SUMIFS('Federal Data'!M2:M501,'Federal Data'!$F2:$F501,"Foreign Affairs",'Federal Data'!$D2:$D501,"Nongrant")</f>
        <v>12713963</v>
      </c>
      <c r="D53" s="113">
        <f>SUMIFS('Federal Data'!N2:N501,'Federal Data'!$F2:$F501,"Foreign Affairs",'Federal Data'!$D2:$D501,"Nongrant")</f>
        <v>13104204</v>
      </c>
      <c r="E53" s="113">
        <f>SUMIFS('Federal Data'!O2:O501,'Federal Data'!$F2:$F501,"Foreign Affairs",'Federal Data'!$D2:$D501,"Nongrant")</f>
        <v>12299579</v>
      </c>
      <c r="F53" s="113">
        <f>SUMIFS('Federal Data'!P2:P501,'Federal Data'!$F2:$F501,"Foreign Affairs",'Federal Data'!$D2:$D501,"Nongrant")</f>
        <v>11847552</v>
      </c>
      <c r="G53" s="113">
        <f>SUMIFS('Federal Data'!Q2:Q501,'Federal Data'!$F2:$F501,"Foreign Affairs",'Federal Data'!$D2:$D501,"Nongrant")</f>
        <v>15868975</v>
      </c>
      <c r="H53" s="113">
        <f>SUMIFS('Federal Data'!R2:R501,'Federal Data'!$F2:$F501,"Foreign Affairs",'Federal Data'!$D2:$D501,"Nongrant")</f>
        <v>16169296</v>
      </c>
      <c r="I53" s="113">
        <f>SUMIFS('Federal Data'!S2:S501,'Federal Data'!$F2:$F501,"Foreign Affairs",'Federal Data'!$D2:$D501,"Nongrant")</f>
        <v>14145803</v>
      </c>
      <c r="J53" s="113">
        <f>SUMIFS('Federal Data'!T2:T501,'Federal Data'!$F2:$F501,"Foreign Affairs",'Federal Data'!$D2:$D501,"Nongrant")</f>
        <v>11644938</v>
      </c>
      <c r="K53" s="113">
        <f>SUMIFS('Federal Data'!U2:U501,'Federal Data'!$F2:$F501,"Foreign Affairs",'Federal Data'!$D2:$D501,"Nongrant")</f>
        <v>10465812</v>
      </c>
      <c r="L53" s="113">
        <f>SUMIFS('Federal Data'!V2:V501,'Federal Data'!$F2:$F501,"Foreign Affairs",'Federal Data'!$D2:$D501,"Nongrant")</f>
        <v>9583322</v>
      </c>
      <c r="M53" s="113">
        <f>SUMIFS('Federal Data'!W2:W501,'Federal Data'!$F2:$F501,"Foreign Affairs",'Federal Data'!$D2:$D501,"Nongrant")</f>
        <v>13758498</v>
      </c>
      <c r="N53" s="113">
        <f>SUMIFS('Federal Data'!X2:X501,'Federal Data'!$F2:$F501,"Foreign Affairs",'Federal Data'!$D2:$D501,"Nongrant")</f>
        <v>15846157</v>
      </c>
      <c r="O53" s="113">
        <f>SUMIFS('Federal Data'!Y2:Y501,'Federal Data'!$F2:$F501,"Foreign Affairs",'Federal Data'!$D2:$D501,"Nongrant")</f>
        <v>16090130</v>
      </c>
      <c r="P53" s="113">
        <f>SUMIFS('Federal Data'!Z2:Z501,'Federal Data'!$F2:$F501,"Foreign Affairs",'Federal Data'!$D2:$D501,"Nongrant")</f>
        <v>17218058</v>
      </c>
      <c r="Q53" s="113">
        <f>SUMIFS('Federal Data'!AA2:AA501,'Federal Data'!$F2:$F501,"Foreign Affairs",'Federal Data'!$D2:$D501,"Nongrant")</f>
        <v>17067433</v>
      </c>
      <c r="R53" s="113">
        <f>SUMIFS('Federal Data'!AB2:AB501,'Federal Data'!$F2:$F501,"Foreign Affairs",'Federal Data'!$D2:$D501,"Nongrant")</f>
        <v>16429000</v>
      </c>
      <c r="S53" s="113">
        <f>SUMIFS('Federal Data'!AC2:AC501,'Federal Data'!$F2:$F501,"Foreign Affairs",'Federal Data'!$D2:$D501,"Nongrant")</f>
        <v>13487000</v>
      </c>
      <c r="T53" s="113">
        <f>SUMIFS('Federal Data'!AD2:AD501,'Federal Data'!$F2:$F501,"Foreign Affairs",'Federal Data'!$D2:$D501,"Nongrant")</f>
        <v>15173000</v>
      </c>
      <c r="U53" s="113">
        <f>SUMIFS('Federal Data'!AE2:AE501,'Federal Data'!$F2:$F501,"Foreign Affairs",'Federal Data'!$D2:$D501,"Nongrant")</f>
        <v>13047000</v>
      </c>
      <c r="V53" s="113">
        <f>SUMIFS('Federal Data'!AF2:AF501,'Federal Data'!$F2:$F501,"Foreign Affairs",'Federal Data'!$D2:$D501,"Nongrant")</f>
        <v>15204000</v>
      </c>
      <c r="W53" s="113">
        <f>SUMIFS('Federal Data'!AG2:AG501,'Federal Data'!$F2:$F501,"Foreign Affairs",'Federal Data'!$D2:$D501,"Nongrant")</f>
        <v>17222000</v>
      </c>
      <c r="X53" s="113">
        <f>SUMIFS('Federal Data'!AH2:AH501,'Federal Data'!$F2:$F501,"Foreign Affairs",'Federal Data'!$D2:$D501,"Nongrant")</f>
        <v>16463000</v>
      </c>
      <c r="Y53" s="113">
        <f>SUMIFS('Federal Data'!AI2:AI501,'Federal Data'!$F2:$F501,"Foreign Affairs",'Federal Data'!$D2:$D501,"Nongrant")</f>
        <v>22300000</v>
      </c>
      <c r="Z53" s="113">
        <f>SUMIFS('Federal Data'!AJ2:AJ501,'Federal Data'!$F2:$F501,"Foreign Affairs",'Federal Data'!$D2:$D501,"Nongrant")</f>
        <v>21173000</v>
      </c>
      <c r="AA53" s="113">
        <f>SUMIFS('Federal Data'!AK2:AK501,'Federal Data'!$F2:$F501,"Foreign Affairs",'Federal Data'!$D2:$D501,"Nongrant")</f>
        <v>26908000</v>
      </c>
      <c r="AB53" s="113">
        <f>SUMIFS('Federal Data'!AL2:AL501,'Federal Data'!$F2:$F501,"Foreign Affairs",'Federal Data'!$D2:$D501,"Nongrant")</f>
        <v>34578000</v>
      </c>
      <c r="AC53" s="113">
        <f>SUMIFS('Federal Data'!AM2:AM501,'Federal Data'!$F2:$F501,"Foreign Affairs",'Federal Data'!$D2:$D501,"Nongrant")</f>
        <v>29513000</v>
      </c>
      <c r="AD53" s="113">
        <f>SUMIFS('Federal Data'!AN2:AN501,'Federal Data'!$F2:$F501,"Foreign Affairs",'Federal Data'!$D2:$D501,"Nongrant")</f>
        <v>28470000</v>
      </c>
      <c r="AE53" s="113">
        <f>SUMIFS('Federal Data'!AO2:AO501,'Federal Data'!$F2:$F501,"Foreign Affairs",'Federal Data'!$D2:$D501,"Nongrant")</f>
        <v>28855000</v>
      </c>
      <c r="AF53" s="113">
        <f>SUMIFS('Federal Data'!AP2:AP501,'Federal Data'!$F2:$F501,"Foreign Affairs",'Federal Data'!$D2:$D501,"Nongrant")</f>
        <v>37532000</v>
      </c>
      <c r="AG53" s="113">
        <f>SUMIFS('Federal Data'!AQ2:AQ501,'Federal Data'!$F2:$F501,"Foreign Affairs",'Federal Data'!$D2:$D501,"Nongrant")</f>
        <v>45210000</v>
      </c>
      <c r="AH53" s="113">
        <f>SUMIFS('Federal Data'!AR2:AR501,'Federal Data'!$F2:$F501,"Foreign Affairs",'Federal Data'!$D2:$D501,"Nongrant")</f>
        <v>45668000</v>
      </c>
      <c r="AI53" s="113">
        <f>SUMIFS('Federal Data'!AS2:AS501,'Federal Data'!$F2:$F501,"Foreign Affairs",'Federal Data'!$D2:$D501,"Nongrant")</f>
        <v>47168000</v>
      </c>
      <c r="AJ53" s="113">
        <f>SUMIFS('Federal Data'!AT2:AT501,'Federal Data'!$F2:$F501,"Foreign Affairs",'Federal Data'!$D2:$D501,"Nongrant")</f>
        <v>46208000</v>
      </c>
      <c r="AK53" s="113">
        <f>SUMIFS('Federal Data'!AU2:AU501,'Federal Data'!$F2:$F501,"Foreign Affairs",'Federal Data'!$D2:$D501,"Nongrant")</f>
        <v>46732000</v>
      </c>
      <c r="AL53" s="113">
        <f>SUMIFS('Federal Data'!AV2:AV501,'Federal Data'!$F2:$F501,"Foreign Affairs",'Federal Data'!$D2:$D501,"Nongrant")</f>
        <v>48503000</v>
      </c>
    </row>
    <row r="54" spans="1:38" outlineLevel="3">
      <c r="A54" s="22" t="str">
        <f>B53</f>
        <v>Foreign Affairs and Foreign Aid</v>
      </c>
      <c r="B54" s="29" t="s">
        <v>88</v>
      </c>
      <c r="C54" s="113">
        <f>SUMIFS('Federal Data'!M2:M501,'Federal Data'!$G2:$G501,"International Development and Humanitarian Assistance",'Federal Data'!$D2:$D501,"Nongrant")</f>
        <v>3625760</v>
      </c>
      <c r="D54" s="113">
        <f>SUMIFS('Federal Data'!N2:N501,'Federal Data'!$G2:$G501,"International Development and Humanitarian Assistance",'Federal Data'!$D2:$D501,"Nongrant")</f>
        <v>4130841</v>
      </c>
      <c r="E54" s="113">
        <f>SUMIFS('Federal Data'!O2:O501,'Federal Data'!$G2:$G501,"International Development and Humanitarian Assistance",'Federal Data'!$D2:$D501,"Nongrant")</f>
        <v>3772481</v>
      </c>
      <c r="F54" s="113">
        <f>SUMIFS('Federal Data'!P2:P501,'Federal Data'!$G2:$G501,"International Development and Humanitarian Assistance",'Federal Data'!$D2:$D501,"Nongrant")</f>
        <v>3955152</v>
      </c>
      <c r="G54" s="113">
        <f>SUMIFS('Federal Data'!Q2:Q501,'Federal Data'!$G2:$G501,"International Development and Humanitarian Assistance",'Federal Data'!$D2:$D501,"Nongrant")</f>
        <v>4478229</v>
      </c>
      <c r="H54" s="113">
        <f>SUMIFS('Federal Data'!R2:R501,'Federal Data'!$G2:$G501,"International Development and Humanitarian Assistance",'Federal Data'!$D2:$D501,"Nongrant")</f>
        <v>5408412</v>
      </c>
      <c r="I54" s="113">
        <f>SUMIFS('Federal Data'!S2:S501,'Federal Data'!$G2:$G501,"International Development and Humanitarian Assistance",'Federal Data'!$D2:$D501,"Nongrant")</f>
        <v>4966772</v>
      </c>
      <c r="J54" s="113">
        <f>SUMIFS('Federal Data'!T2:T501,'Federal Data'!$G2:$G501,"International Development and Humanitarian Assistance",'Federal Data'!$D2:$D501,"Nongrant")</f>
        <v>4319164</v>
      </c>
      <c r="K54" s="113">
        <f>SUMIFS('Federal Data'!U2:U501,'Federal Data'!$G2:$G501,"International Development and Humanitarian Assistance",'Federal Data'!$D2:$D501,"Nongrant")</f>
        <v>4703138</v>
      </c>
      <c r="L54" s="113">
        <f>SUMIFS('Federal Data'!V2:V501,'Federal Data'!$G2:$G501,"International Development and Humanitarian Assistance",'Federal Data'!$D2:$D501,"Nongrant")</f>
        <v>4836033</v>
      </c>
      <c r="M54" s="113">
        <f>SUMIFS('Federal Data'!W2:W501,'Federal Data'!$G2:$G501,"International Development and Humanitarian Assistance",'Federal Data'!$D2:$D501,"Nongrant")</f>
        <v>5497574</v>
      </c>
      <c r="N54" s="113">
        <f>SUMIFS('Federal Data'!X2:X501,'Federal Data'!$G2:$G501,"International Development and Humanitarian Assistance",'Federal Data'!$D2:$D501,"Nongrant")</f>
        <v>5140663</v>
      </c>
      <c r="O54" s="113">
        <f>SUMIFS('Federal Data'!Y2:Y501,'Federal Data'!$G2:$G501,"International Development and Humanitarian Assistance",'Federal Data'!$D2:$D501,"Nongrant")</f>
        <v>6131674</v>
      </c>
      <c r="P54" s="113">
        <f>SUMIFS('Federal Data'!Z2:Z501,'Federal Data'!$G2:$G501,"International Development and Humanitarian Assistance",'Federal Data'!$D2:$D501,"Nongrant")</f>
        <v>5824988</v>
      </c>
      <c r="Q54" s="113">
        <f>SUMIFS('Federal Data'!AA2:AA501,'Federal Data'!$G2:$G501,"International Development and Humanitarian Assistance",'Federal Data'!$D2:$D501,"Nongrant")</f>
        <v>7047935</v>
      </c>
      <c r="R54" s="113">
        <f>SUMIFS('Federal Data'!AB2:AB501,'Federal Data'!$G2:$G501,"International Development and Humanitarian Assistance",'Federal Data'!$D2:$D501,"Nongrant")</f>
        <v>7598000</v>
      </c>
      <c r="S54" s="113">
        <f>SUMIFS('Federal Data'!AC2:AC501,'Federal Data'!$G2:$G501,"International Development and Humanitarian Assistance",'Federal Data'!$D2:$D501,"Nongrant")</f>
        <v>6160000</v>
      </c>
      <c r="T54" s="113">
        <f>SUMIFS('Federal Data'!AD2:AD501,'Federal Data'!$G2:$G501,"International Development and Humanitarian Assistance",'Federal Data'!$D2:$D501,"Nongrant")</f>
        <v>6003000</v>
      </c>
      <c r="U54" s="113">
        <f>SUMIFS('Federal Data'!AE2:AE501,'Federal Data'!$G2:$G501,"International Development and Humanitarian Assistance",'Federal Data'!$D2:$D501,"Nongrant")</f>
        <v>5395000</v>
      </c>
      <c r="V54" s="113">
        <f>SUMIFS('Federal Data'!AF2:AF501,'Federal Data'!$G2:$G501,"International Development and Humanitarian Assistance",'Federal Data'!$D2:$D501,"Nongrant")</f>
        <v>5653000</v>
      </c>
      <c r="W54" s="113">
        <f>SUMIFS('Federal Data'!AG2:AG501,'Federal Data'!$G2:$G501,"International Development and Humanitarian Assistance",'Federal Data'!$D2:$D501,"Nongrant")</f>
        <v>6516000</v>
      </c>
      <c r="X54" s="113">
        <f>SUMIFS('Federal Data'!AH2:AH501,'Federal Data'!$G2:$G501,"International Development and Humanitarian Assistance",'Federal Data'!$D2:$D501,"Nongrant")</f>
        <v>7185000</v>
      </c>
      <c r="Y54" s="113">
        <f>SUMIFS('Federal Data'!AI2:AI501,'Federal Data'!$G2:$G501,"International Development and Humanitarian Assistance",'Federal Data'!$D2:$D501,"Nongrant")</f>
        <v>7811000</v>
      </c>
      <c r="Z54" s="113">
        <f>SUMIFS('Federal Data'!AJ2:AJ501,'Federal Data'!$G2:$G501,"International Development and Humanitarian Assistance",'Federal Data'!$D2:$D501,"Nongrant")</f>
        <v>10324000</v>
      </c>
      <c r="AA54" s="113">
        <f>SUMIFS('Federal Data'!AK2:AK501,'Federal Data'!$G2:$G501,"International Development and Humanitarian Assistance",'Federal Data'!$D2:$D501,"Nongrant")</f>
        <v>13807000</v>
      </c>
      <c r="AB54" s="113">
        <f>SUMIFS('Federal Data'!AL2:AL501,'Federal Data'!$G2:$G501,"International Development and Humanitarian Assistance",'Federal Data'!$D2:$D501,"Nongrant")</f>
        <v>17696000</v>
      </c>
      <c r="AC54" s="113">
        <f>SUMIFS('Federal Data'!AM2:AM501,'Federal Data'!$G2:$G501,"International Development and Humanitarian Assistance",'Federal Data'!$D2:$D501,"Nongrant")</f>
        <v>16693000</v>
      </c>
      <c r="AD54" s="113">
        <f>SUMIFS('Federal Data'!AN2:AN501,'Federal Data'!$G2:$G501,"International Development and Humanitarian Assistance",'Federal Data'!$D2:$D501,"Nongrant")</f>
        <v>15524000</v>
      </c>
      <c r="AE54" s="113">
        <f>SUMIFS('Federal Data'!AO2:AO501,'Federal Data'!$G2:$G501,"International Development and Humanitarian Assistance",'Federal Data'!$D2:$D501,"Nongrant")</f>
        <v>14074000</v>
      </c>
      <c r="AF54" s="113">
        <f>SUMIFS('Federal Data'!AP2:AP501,'Federal Data'!$G2:$G501,"International Development and Humanitarian Assistance",'Federal Data'!$D2:$D501,"Nongrant")</f>
        <v>22095000</v>
      </c>
      <c r="AG54" s="113">
        <f>SUMIFS('Federal Data'!AQ2:AQ501,'Federal Data'!$G2:$G501,"International Development and Humanitarian Assistance",'Federal Data'!$D2:$D501,"Nongrant")</f>
        <v>19014000</v>
      </c>
      <c r="AH54" s="113">
        <f>SUMIFS('Federal Data'!AR2:AR501,'Federal Data'!$G2:$G501,"International Development and Humanitarian Assistance",'Federal Data'!$D2:$D501,"Nongrant")</f>
        <v>21255000</v>
      </c>
      <c r="AI54" s="113">
        <f>SUMIFS('Federal Data'!AS2:AS501,'Federal Data'!$G2:$G501,"International Development and Humanitarian Assistance",'Federal Data'!$D2:$D501,"Nongrant")</f>
        <v>21882000</v>
      </c>
      <c r="AJ54" s="113">
        <f>SUMIFS('Federal Data'!AT2:AT501,'Federal Data'!$G2:$G501,"International Development and Humanitarian Assistance",'Federal Data'!$D2:$D501,"Nongrant")</f>
        <v>22551000</v>
      </c>
      <c r="AK54" s="113">
        <f>SUMIFS('Federal Data'!AU2:AU501,'Federal Data'!$G2:$G501,"International Development and Humanitarian Assistance",'Federal Data'!$D2:$D501,"Nongrant")</f>
        <v>23534000</v>
      </c>
      <c r="AL54" s="113">
        <f>SUMIFS('Federal Data'!AV2:AV501,'Federal Data'!$G2:$G501,"International Development and Humanitarian Assistance",'Federal Data'!$D2:$D501,"Nongrant")</f>
        <v>24087000</v>
      </c>
    </row>
    <row r="55" spans="1:38" outlineLevel="3">
      <c r="A55" s="22" t="str">
        <f>B53</f>
        <v>Foreign Affairs and Foreign Aid</v>
      </c>
      <c r="B55" s="29" t="s">
        <v>89</v>
      </c>
      <c r="C55" s="113">
        <f>SUMIFS('Federal Data'!M2:M501,'Federal Data'!$G2:$G501,"International Security Assistance",'Federal Data'!$D2:$D501,"Nongrant")</f>
        <v>4763123</v>
      </c>
      <c r="D55" s="113">
        <f>SUMIFS('Federal Data'!N2:N501,'Federal Data'!$G2:$G501,"International Security Assistance",'Federal Data'!$D2:$D501,"Nongrant")</f>
        <v>5095148</v>
      </c>
      <c r="E55" s="113">
        <f>SUMIFS('Federal Data'!O2:O501,'Federal Data'!$G2:$G501,"International Security Assistance",'Federal Data'!$D2:$D501,"Nongrant")</f>
        <v>5415882</v>
      </c>
      <c r="F55" s="113">
        <f>SUMIFS('Federal Data'!P2:P501,'Federal Data'!$G2:$G501,"International Security Assistance",'Federal Data'!$D2:$D501,"Nongrant")</f>
        <v>6612800</v>
      </c>
      <c r="G55" s="113">
        <f>SUMIFS('Federal Data'!Q2:Q501,'Federal Data'!$G2:$G501,"International Security Assistance",'Federal Data'!$D2:$D501,"Nongrant")</f>
        <v>7923974</v>
      </c>
      <c r="H55" s="113">
        <f>SUMIFS('Federal Data'!R2:R501,'Federal Data'!$G2:$G501,"International Security Assistance",'Federal Data'!$D2:$D501,"Nongrant")</f>
        <v>9390685</v>
      </c>
      <c r="I55" s="113">
        <f>SUMIFS('Federal Data'!S2:S501,'Federal Data'!$G2:$G501,"International Security Assistance",'Federal Data'!$D2:$D501,"Nongrant")</f>
        <v>10499135</v>
      </c>
      <c r="J55" s="113">
        <f>SUMIFS('Federal Data'!T2:T501,'Federal Data'!$G2:$G501,"International Security Assistance",'Federal Data'!$D2:$D501,"Nongrant")</f>
        <v>7106397</v>
      </c>
      <c r="K55" s="113">
        <f>SUMIFS('Federal Data'!U2:U501,'Federal Data'!$G2:$G501,"International Security Assistance",'Federal Data'!$D2:$D501,"Nongrant")</f>
        <v>4499936</v>
      </c>
      <c r="L55" s="113">
        <f>SUMIFS('Federal Data'!V2:V501,'Federal Data'!$G2:$G501,"International Security Assistance",'Federal Data'!$D2:$D501,"Nongrant")</f>
        <v>1466908</v>
      </c>
      <c r="M55" s="113">
        <f>SUMIFS('Federal Data'!W2:W501,'Federal Data'!$G2:$G501,"International Security Assistance",'Federal Data'!$D2:$D501,"Nongrant")</f>
        <v>8652217</v>
      </c>
      <c r="N55" s="113">
        <f>SUMIFS('Federal Data'!X2:X501,'Federal Data'!$G2:$G501,"International Security Assistance",'Federal Data'!$D2:$D501,"Nongrant")</f>
        <v>9823009</v>
      </c>
      <c r="O55" s="113">
        <f>SUMIFS('Federal Data'!Y2:Y501,'Federal Data'!$G2:$G501,"International Security Assistance",'Federal Data'!$D2:$D501,"Nongrant")</f>
        <v>7490443</v>
      </c>
      <c r="P55" s="113">
        <f>SUMIFS('Federal Data'!Z2:Z501,'Federal Data'!$G2:$G501,"International Security Assistance",'Federal Data'!$D2:$D501,"Nongrant")</f>
        <v>7639174</v>
      </c>
      <c r="Q55" s="113">
        <f>SUMIFS('Federal Data'!AA2:AA501,'Federal Data'!$G2:$G501,"International Security Assistance",'Federal Data'!$D2:$D501,"Nongrant")</f>
        <v>6642325</v>
      </c>
      <c r="R55" s="113">
        <f>SUMIFS('Federal Data'!AB2:AB501,'Federal Data'!$G2:$G501,"International Security Assistance",'Federal Data'!$D2:$D501,"Nongrant")</f>
        <v>5252000</v>
      </c>
      <c r="S55" s="113">
        <f>SUMIFS('Federal Data'!AC2:AC501,'Federal Data'!$G2:$G501,"International Security Assistance",'Federal Data'!$D2:$D501,"Nongrant")</f>
        <v>4565000</v>
      </c>
      <c r="T55" s="113">
        <f>SUMIFS('Federal Data'!AD2:AD501,'Federal Data'!$G2:$G501,"International Security Assistance",'Federal Data'!$D2:$D501,"Nongrant")</f>
        <v>4632000</v>
      </c>
      <c r="U55" s="113">
        <f>SUMIFS('Federal Data'!AE2:AE501,'Federal Data'!$G2:$G501,"International Security Assistance",'Federal Data'!$D2:$D501,"Nongrant")</f>
        <v>5135000</v>
      </c>
      <c r="V55" s="113">
        <f>SUMIFS('Federal Data'!AF2:AF501,'Federal Data'!$G2:$G501,"International Security Assistance",'Federal Data'!$D2:$D501,"Nongrant")</f>
        <v>5531000</v>
      </c>
      <c r="W55" s="113">
        <f>SUMIFS('Federal Data'!AG2:AG501,'Federal Data'!$G2:$G501,"International Security Assistance",'Federal Data'!$D2:$D501,"Nongrant")</f>
        <v>6387000</v>
      </c>
      <c r="X55" s="113">
        <f>SUMIFS('Federal Data'!AH2:AH501,'Federal Data'!$G2:$G501,"International Security Assistance",'Federal Data'!$D2:$D501,"Nongrant")</f>
        <v>6560000</v>
      </c>
      <c r="Y55" s="113">
        <f>SUMIFS('Federal Data'!AI2:AI501,'Federal Data'!$G2:$G501,"International Security Assistance",'Federal Data'!$D2:$D501,"Nongrant")</f>
        <v>7907000</v>
      </c>
      <c r="Z55" s="113">
        <f>SUMIFS('Federal Data'!AJ2:AJ501,'Federal Data'!$G2:$G501,"International Security Assistance",'Federal Data'!$D2:$D501,"Nongrant")</f>
        <v>8620000</v>
      </c>
      <c r="AA55" s="113">
        <f>SUMIFS('Federal Data'!AK2:AK501,'Federal Data'!$G2:$G501,"International Security Assistance",'Federal Data'!$D2:$D501,"Nongrant")</f>
        <v>8369000</v>
      </c>
      <c r="AB55" s="113">
        <f>SUMIFS('Federal Data'!AL2:AL501,'Federal Data'!$G2:$G501,"International Security Assistance",'Federal Data'!$D2:$D501,"Nongrant")</f>
        <v>7895000</v>
      </c>
      <c r="AC55" s="113">
        <f>SUMIFS('Federal Data'!AM2:AM501,'Federal Data'!$G2:$G501,"International Security Assistance",'Federal Data'!$D2:$D501,"Nongrant")</f>
        <v>7811000</v>
      </c>
      <c r="AD55" s="113">
        <f>SUMIFS('Federal Data'!AN2:AN501,'Federal Data'!$G2:$G501,"International Security Assistance",'Federal Data'!$D2:$D501,"Nongrant")</f>
        <v>7982000</v>
      </c>
      <c r="AE55" s="113">
        <f>SUMIFS('Federal Data'!AO2:AO501,'Federal Data'!$G2:$G501,"International Security Assistance",'Federal Data'!$D2:$D501,"Nongrant")</f>
        <v>9480000</v>
      </c>
      <c r="AF55" s="113">
        <f>SUMIFS('Federal Data'!AP2:AP501,'Federal Data'!$G2:$G501,"International Security Assistance",'Federal Data'!$D2:$D501,"Nongrant")</f>
        <v>6247000</v>
      </c>
      <c r="AG55" s="113">
        <f>SUMIFS('Federal Data'!AQ2:AQ501,'Federal Data'!$G2:$G501,"International Security Assistance",'Federal Data'!$D2:$D501,"Nongrant")</f>
        <v>11363000</v>
      </c>
      <c r="AH55" s="113">
        <f>SUMIFS('Federal Data'!AR2:AR501,'Federal Data'!$G2:$G501,"International Security Assistance",'Federal Data'!$D2:$D501,"Nongrant")</f>
        <v>12042000</v>
      </c>
      <c r="AI55" s="113">
        <f>SUMIFS('Federal Data'!AS2:AS501,'Federal Data'!$G2:$G501,"International Security Assistance",'Federal Data'!$D2:$D501,"Nongrant")</f>
        <v>11464000</v>
      </c>
      <c r="AJ55" s="113">
        <f>SUMIFS('Federal Data'!AT2:AT501,'Federal Data'!$G2:$G501,"International Security Assistance",'Federal Data'!$D2:$D501,"Nongrant")</f>
        <v>9954000</v>
      </c>
      <c r="AK55" s="113">
        <f>SUMIFS('Federal Data'!AU2:AU501,'Federal Data'!$G2:$G501,"International Security Assistance",'Federal Data'!$D2:$D501,"Nongrant")</f>
        <v>11381000</v>
      </c>
      <c r="AL55" s="113">
        <f>SUMIFS('Federal Data'!AV2:AV501,'Federal Data'!$G2:$G501,"International Security Assistance",'Federal Data'!$D2:$D501,"Nongrant")</f>
        <v>12907000</v>
      </c>
    </row>
    <row r="56" spans="1:38" outlineLevel="3">
      <c r="A56" s="22" t="str">
        <f>B53</f>
        <v>Foreign Affairs and Foreign Aid</v>
      </c>
      <c r="B56" s="29" t="s">
        <v>90</v>
      </c>
      <c r="C56" s="113">
        <f>SUMIFS('Federal Data'!M2:M501,'Federal Data'!$G2:$G501,"Other Foreign Affairs",'Federal Data'!$D2:$D501,"Nongrant")</f>
        <v>4325080</v>
      </c>
      <c r="D56" s="113">
        <f>SUMIFS('Federal Data'!N2:N501,'Federal Data'!$G2:$G501,"Other Foreign Affairs",'Federal Data'!$D2:$D501,"Nongrant")</f>
        <v>3878215</v>
      </c>
      <c r="E56" s="113">
        <f>SUMIFS('Federal Data'!O2:O501,'Federal Data'!$G2:$G501,"Other Foreign Affairs",'Federal Data'!$D2:$D501,"Nongrant")</f>
        <v>3111216</v>
      </c>
      <c r="F56" s="113">
        <f>SUMIFS('Federal Data'!P2:P501,'Federal Data'!$G2:$G501,"Other Foreign Affairs",'Federal Data'!$D2:$D501,"Nongrant")</f>
        <v>1279600</v>
      </c>
      <c r="G56" s="113">
        <f>SUMIFS('Federal Data'!Q2:Q501,'Federal Data'!$G2:$G501,"Other Foreign Affairs",'Federal Data'!$D2:$D501,"Nongrant")</f>
        <v>3466772</v>
      </c>
      <c r="H56" s="113">
        <f>SUMIFS('Federal Data'!R2:R501,'Federal Data'!$G2:$G501,"Other Foreign Affairs",'Federal Data'!$D2:$D501,"Nongrant")</f>
        <v>1370199</v>
      </c>
      <c r="I56" s="113">
        <f>SUMIFS('Federal Data'!S2:S501,'Federal Data'!$G2:$G501,"Other Foreign Affairs",'Federal Data'!$D2:$D501,"Nongrant")</f>
        <v>-1320104</v>
      </c>
      <c r="J56" s="113">
        <f>SUMIFS('Federal Data'!T2:T501,'Federal Data'!$G2:$G501,"Other Foreign Affairs",'Federal Data'!$D2:$D501,"Nongrant")</f>
        <v>219377</v>
      </c>
      <c r="K56" s="113">
        <f>SUMIFS('Federal Data'!U2:U501,'Federal Data'!$G2:$G501,"Other Foreign Affairs",'Federal Data'!$D2:$D501,"Nongrant")</f>
        <v>1262738</v>
      </c>
      <c r="L56" s="113">
        <f>SUMIFS('Federal Data'!V2:V501,'Federal Data'!$G2:$G501,"Other Foreign Affairs",'Federal Data'!$D2:$D501,"Nongrant")</f>
        <v>3280381</v>
      </c>
      <c r="M56" s="113">
        <f>SUMIFS('Federal Data'!W2:W501,'Federal Data'!$G2:$G501,"Other Foreign Affairs",'Federal Data'!$D2:$D501,"Nongrant")</f>
        <v>-391293</v>
      </c>
      <c r="N56" s="113">
        <f>SUMIFS('Federal Data'!X2:X501,'Federal Data'!$G2:$G501,"Other Foreign Affairs",'Federal Data'!$D2:$D501,"Nongrant")</f>
        <v>882485</v>
      </c>
      <c r="O56" s="113">
        <f>SUMIFS('Federal Data'!Y2:Y501,'Federal Data'!$G2:$G501,"Other Foreign Affairs",'Federal Data'!$D2:$D501,"Nongrant")</f>
        <v>2468013</v>
      </c>
      <c r="P56" s="113">
        <f>SUMIFS('Federal Data'!Z2:Z501,'Federal Data'!$G2:$G501,"Other Foreign Affairs",'Federal Data'!$D2:$D501,"Nongrant")</f>
        <v>3753896</v>
      </c>
      <c r="Q56" s="113">
        <f>SUMIFS('Federal Data'!AA2:AA501,'Federal Data'!$G2:$G501,"Other Foreign Affairs",'Federal Data'!$D2:$D501,"Nongrant")</f>
        <v>3377173</v>
      </c>
      <c r="R56" s="113">
        <f>SUMIFS('Federal Data'!AB2:AB501,'Federal Data'!$G2:$G501,"Other Foreign Affairs",'Federal Data'!$D2:$D501,"Nongrant")</f>
        <v>3579000</v>
      </c>
      <c r="S56" s="113">
        <f>SUMIFS('Federal Data'!AC2:AC501,'Federal Data'!$G2:$G501,"Other Foreign Affairs",'Federal Data'!$D2:$D501,"Nongrant")</f>
        <v>2762000</v>
      </c>
      <c r="T56" s="113">
        <f>SUMIFS('Federal Data'!AD2:AD501,'Federal Data'!$G2:$G501,"Other Foreign Affairs",'Federal Data'!$D2:$D501,"Nongrant")</f>
        <v>4538000</v>
      </c>
      <c r="U56" s="113">
        <f>SUMIFS('Federal Data'!AE2:AE501,'Federal Data'!$G2:$G501,"Other Foreign Affairs",'Federal Data'!$D2:$D501,"Nongrant")</f>
        <v>2517000</v>
      </c>
      <c r="V56" s="113">
        <f>SUMIFS('Federal Data'!AF2:AF501,'Federal Data'!$G2:$G501,"Other Foreign Affairs",'Federal Data'!$D2:$D501,"Nongrant")</f>
        <v>4020000</v>
      </c>
      <c r="W56" s="113">
        <f>SUMIFS('Federal Data'!AG2:AG501,'Federal Data'!$G2:$G501,"Other Foreign Affairs",'Federal Data'!$D2:$D501,"Nongrant")</f>
        <v>4319000</v>
      </c>
      <c r="X56" s="113">
        <f>SUMIFS('Federal Data'!AH2:AH501,'Federal Data'!$G2:$G501,"Other Foreign Affairs",'Federal Data'!$D2:$D501,"Nongrant")</f>
        <v>2718000</v>
      </c>
      <c r="Y56" s="113">
        <f>SUMIFS('Federal Data'!AI2:AI501,'Federal Data'!$G2:$G501,"Other Foreign Affairs",'Federal Data'!$D2:$D501,"Nongrant")</f>
        <v>6582000</v>
      </c>
      <c r="Z56" s="113">
        <f>SUMIFS('Federal Data'!AJ2:AJ501,'Federal Data'!$G2:$G501,"Other Foreign Affairs",'Federal Data'!$D2:$D501,"Nongrant")</f>
        <v>2229000</v>
      </c>
      <c r="AA56" s="113">
        <f>SUMIFS('Federal Data'!AK2:AK501,'Federal Data'!$G2:$G501,"Other Foreign Affairs",'Federal Data'!$D2:$D501,"Nongrant")</f>
        <v>4732000</v>
      </c>
      <c r="AB56" s="113">
        <f>SUMIFS('Federal Data'!AL2:AL501,'Federal Data'!$G2:$G501,"Other Foreign Affairs",'Federal Data'!$D2:$D501,"Nongrant")</f>
        <v>8987000</v>
      </c>
      <c r="AC56" s="113">
        <f>SUMIFS('Federal Data'!AM2:AM501,'Federal Data'!$G2:$G501,"Other Foreign Affairs",'Federal Data'!$D2:$D501,"Nongrant")</f>
        <v>5009000</v>
      </c>
      <c r="AD56" s="113">
        <f>SUMIFS('Federal Data'!AN2:AN501,'Federal Data'!$G2:$G501,"Other Foreign Affairs",'Federal Data'!$D2:$D501,"Nongrant")</f>
        <v>4964000</v>
      </c>
      <c r="AE56" s="113">
        <f>SUMIFS('Federal Data'!AO2:AO501,'Federal Data'!$G2:$G501,"Other Foreign Affairs",'Federal Data'!$D2:$D501,"Nongrant")</f>
        <v>5301000</v>
      </c>
      <c r="AF56" s="113">
        <f>SUMIFS('Federal Data'!AP2:AP501,'Federal Data'!$G2:$G501,"Other Foreign Affairs",'Federal Data'!$D2:$D501,"Nongrant")</f>
        <v>9190000</v>
      </c>
      <c r="AG56" s="113">
        <f>SUMIFS('Federal Data'!AQ2:AQ501,'Federal Data'!$G2:$G501,"Other Foreign Affairs",'Federal Data'!$D2:$D501,"Nongrant")</f>
        <v>14833000</v>
      </c>
      <c r="AH56" s="113">
        <f>SUMIFS('Federal Data'!AR2:AR501,'Federal Data'!$G2:$G501,"Other Foreign Affairs",'Federal Data'!$D2:$D501,"Nongrant")</f>
        <v>12371000</v>
      </c>
      <c r="AI56" s="113">
        <f>SUMIFS('Federal Data'!AS2:AS501,'Federal Data'!$G2:$G501,"Other Foreign Affairs",'Federal Data'!$D2:$D501,"Nongrant")</f>
        <v>13822000</v>
      </c>
      <c r="AJ56" s="113">
        <f>SUMIFS('Federal Data'!AT2:AT501,'Federal Data'!$G2:$G501,"Other Foreign Affairs",'Federal Data'!$D2:$D501,"Nongrant")</f>
        <v>13703000</v>
      </c>
      <c r="AK56" s="113">
        <f>SUMIFS('Federal Data'!AU2:AU501,'Federal Data'!$G2:$G501,"Other Foreign Affairs",'Federal Data'!$D2:$D501,"Nongrant")</f>
        <v>11817000</v>
      </c>
      <c r="AL56" s="113">
        <f>SUMIFS('Federal Data'!AV2:AV501,'Federal Data'!$G2:$G501,"Other Foreign Affairs",'Federal Data'!$D2:$D501,"Nongrant")</f>
        <v>11509000</v>
      </c>
    </row>
    <row r="57" spans="1:38" outlineLevel="2">
      <c r="A57" s="22" t="str">
        <f>B44</f>
        <v>Provide for the Common Defense</v>
      </c>
      <c r="B57" s="42" t="s">
        <v>301</v>
      </c>
      <c r="C57" s="118">
        <f>SUMIFS('Federal Data'!M2:M501,'Federal Data'!$F2:$F501,"Immigration and Border Security",'Federal Data'!$D2:$D501,"Nongrant")</f>
        <v>876553</v>
      </c>
      <c r="D57" s="118">
        <f>SUMIFS('Federal Data'!N2:N501,'Federal Data'!$F2:$F501,"Immigration and Border Security",'Federal Data'!$D2:$D501,"Nongrant")</f>
        <v>959995</v>
      </c>
      <c r="E57" s="118">
        <f>SUMIFS('Federal Data'!O2:O501,'Federal Data'!$F2:$F501,"Immigration and Border Security",'Federal Data'!$D2:$D501,"Nongrant")</f>
        <v>1007536</v>
      </c>
      <c r="F57" s="118">
        <f>SUMIFS('Federal Data'!P2:P501,'Federal Data'!$F2:$F501,"Immigration and Border Security",'Federal Data'!$D2:$D501,"Nongrant")</f>
        <v>1132504</v>
      </c>
      <c r="G57" s="118">
        <f>SUMIFS('Federal Data'!Q2:Q501,'Federal Data'!$F2:$F501,"Immigration and Border Security",'Federal Data'!$D2:$D501,"Nongrant")</f>
        <v>1208786</v>
      </c>
      <c r="H57" s="118">
        <f>SUMIFS('Federal Data'!R2:R501,'Federal Data'!$F2:$F501,"Immigration and Border Security",'Federal Data'!$D2:$D501,"Nongrant")</f>
        <v>1297626</v>
      </c>
      <c r="I57" s="118">
        <f>SUMIFS('Federal Data'!S2:S501,'Federal Data'!$F2:$F501,"Immigration and Border Security",'Federal Data'!$D2:$D501,"Nongrant")</f>
        <v>1378830</v>
      </c>
      <c r="J57" s="118">
        <f>SUMIFS('Federal Data'!T2:T501,'Federal Data'!$F2:$F501,"Immigration and Border Security",'Federal Data'!$D2:$D501,"Nongrant")</f>
        <v>1708406</v>
      </c>
      <c r="K57" s="118">
        <f>SUMIFS('Federal Data'!U2:U501,'Federal Data'!$F2:$F501,"Immigration and Border Security",'Federal Data'!$D2:$D501,"Nongrant")</f>
        <v>2265790</v>
      </c>
      <c r="L57" s="118">
        <f>SUMIFS('Federal Data'!V2:V501,'Federal Data'!$F2:$F501,"Immigration and Border Security",'Federal Data'!$D2:$D501,"Nongrant")</f>
        <v>1690742</v>
      </c>
      <c r="M57" s="118">
        <f>SUMIFS('Federal Data'!W2:W501,'Federal Data'!$F2:$F501,"Immigration and Border Security",'Federal Data'!$D2:$D501,"Nongrant")</f>
        <v>1362933</v>
      </c>
      <c r="N57" s="118">
        <f>SUMIFS('Federal Data'!X2:X501,'Federal Data'!$F2:$F501,"Immigration and Border Security",'Federal Data'!$D2:$D501,"Nongrant")</f>
        <v>1742967</v>
      </c>
      <c r="O57" s="118">
        <f>SUMIFS('Federal Data'!Y2:Y501,'Federal Data'!$F2:$F501,"Immigration and Border Security",'Federal Data'!$D2:$D501,"Nongrant")</f>
        <v>1946267</v>
      </c>
      <c r="P57" s="118">
        <f>SUMIFS('Federal Data'!Z2:Z501,'Federal Data'!$F2:$F501,"Immigration and Border Security",'Federal Data'!$D2:$D501,"Nongrant")</f>
        <v>2009525</v>
      </c>
      <c r="Q57" s="118">
        <f>SUMIFS('Federal Data'!AA2:AA501,'Federal Data'!$F2:$F501,"Immigration and Border Security",'Federal Data'!$D2:$D501,"Nongrant")</f>
        <v>1956440</v>
      </c>
      <c r="R57" s="118">
        <f>SUMIFS('Federal Data'!AB2:AB501,'Federal Data'!$F2:$F501,"Immigration and Border Security",'Federal Data'!$D2:$D501,"Nongrant")</f>
        <v>1665000</v>
      </c>
      <c r="S57" s="118">
        <f>SUMIFS('Federal Data'!AC2:AC501,'Federal Data'!$F2:$F501,"Immigration and Border Security",'Federal Data'!$D2:$D501,"Nongrant")</f>
        <v>1979000</v>
      </c>
      <c r="T57" s="118">
        <f>SUMIFS('Federal Data'!AD2:AD501,'Federal Data'!$F2:$F501,"Immigration and Border Security",'Federal Data'!$D2:$D501,"Nongrant")</f>
        <v>2317000</v>
      </c>
      <c r="U57" s="118">
        <f>SUMIFS('Federal Data'!AE2:AE501,'Federal Data'!$F2:$F501,"Immigration and Border Security",'Federal Data'!$D2:$D501,"Nongrant")</f>
        <v>3381000</v>
      </c>
      <c r="V57" s="118">
        <f>SUMIFS('Federal Data'!AF2:AF501,'Federal Data'!$F2:$F501,"Immigration and Border Security",'Federal Data'!$D2:$D501,"Nongrant")</f>
        <v>3622000</v>
      </c>
      <c r="W57" s="118">
        <f>SUMIFS('Federal Data'!AG2:AG501,'Federal Data'!$F2:$F501,"Immigration and Border Security",'Federal Data'!$D2:$D501,"Nongrant")</f>
        <v>3897000</v>
      </c>
      <c r="X57" s="118">
        <f>SUMIFS('Federal Data'!AH2:AH501,'Federal Data'!$F2:$F501,"Immigration and Border Security",'Federal Data'!$D2:$D501,"Nongrant")</f>
        <v>3960000</v>
      </c>
      <c r="Y57" s="118">
        <f>SUMIFS('Federal Data'!AI2:AI501,'Federal Data'!$F2:$F501,"Immigration and Border Security",'Federal Data'!$D2:$D501,"Nongrant")</f>
        <v>5722000</v>
      </c>
      <c r="Z57" s="118">
        <f>SUMIFS('Federal Data'!AJ2:AJ501,'Federal Data'!$F2:$F501,"Immigration and Border Security",'Federal Data'!$D2:$D501,"Nongrant")</f>
        <v>5643000</v>
      </c>
      <c r="AA57" s="118">
        <f>SUMIFS('Federal Data'!AK2:AK501,'Federal Data'!$F2:$F501,"Immigration and Border Security",'Federal Data'!$D2:$D501,"Nongrant")</f>
        <v>6874000</v>
      </c>
      <c r="AB57" s="118">
        <f>SUMIFS('Federal Data'!AL2:AL501,'Federal Data'!$F2:$F501,"Immigration and Border Security",'Federal Data'!$D2:$D501,"Nongrant")</f>
        <v>6973000</v>
      </c>
      <c r="AC57" s="118">
        <f>SUMIFS('Federal Data'!AM2:AM501,'Federal Data'!$F2:$F501,"Immigration and Border Security",'Federal Data'!$D2:$D501,"Nongrant")</f>
        <v>7644000</v>
      </c>
      <c r="AD57" s="118">
        <f>SUMIFS('Federal Data'!AN2:AN501,'Federal Data'!$F2:$F501,"Immigration and Border Security",'Federal Data'!$D2:$D501,"Nongrant")</f>
        <v>8664000</v>
      </c>
      <c r="AE57" s="118">
        <f>SUMIFS('Federal Data'!AO2:AO501,'Federal Data'!$F2:$F501,"Immigration and Border Security",'Federal Data'!$D2:$D501,"Nongrant")</f>
        <v>11270000</v>
      </c>
      <c r="AF57" s="118">
        <f>SUMIFS('Federal Data'!AP2:AP501,'Federal Data'!$F2:$F501,"Immigration and Border Security",'Federal Data'!$D2:$D501,"Nongrant")</f>
        <v>15299000</v>
      </c>
      <c r="AG57" s="118">
        <f>SUMIFS('Federal Data'!AQ2:AQ501,'Federal Data'!$F2:$F501,"Immigration and Border Security",'Federal Data'!$D2:$D501,"Nongrant")</f>
        <v>14427000</v>
      </c>
      <c r="AH57" s="118">
        <f>SUMIFS('Federal Data'!AR2:AR501,'Federal Data'!$F2:$F501,"Immigration and Border Security",'Federal Data'!$D2:$D501,"Nongrant")</f>
        <v>14588000</v>
      </c>
      <c r="AI57" s="118">
        <f>SUMIFS('Federal Data'!AS2:AS501,'Federal Data'!$F2:$F501,"Immigration and Border Security",'Federal Data'!$D2:$D501,"Nongrant")</f>
        <v>14520000</v>
      </c>
      <c r="AJ57" s="118">
        <f>SUMIFS('Federal Data'!AT2:AT501,'Federal Data'!$F2:$F501,"Immigration and Border Security",'Federal Data'!$D2:$D501,"Nongrant")</f>
        <v>13824000</v>
      </c>
      <c r="AK57" s="118">
        <f>SUMIFS('Federal Data'!AU2:AU501,'Federal Data'!$F2:$F501,"Immigration and Border Security",'Federal Data'!$D2:$D501,"Nongrant")</f>
        <v>13382000</v>
      </c>
      <c r="AL57" s="118">
        <f>SUMIFS('Federal Data'!AV2:AV501,'Federal Data'!$F2:$F501,"Immigration and Border Security",'Federal Data'!$D2:$D501,"Nongrant")</f>
        <v>13853000</v>
      </c>
    </row>
    <row r="58" spans="1:38" outlineLevel="1">
      <c r="A58" s="22" t="str">
        <f>B28</f>
        <v>Spending By Mission</v>
      </c>
      <c r="B58" s="47" t="s">
        <v>36</v>
      </c>
      <c r="C58" s="112">
        <f>SUMIFS('Federal Data'!M2:M501,'Federal Data'!$E2:$E501,"General Welfare",'Federal Data'!$D2:$D501,"Nongrant")</f>
        <v>67351640</v>
      </c>
      <c r="D58" s="112">
        <f>SUMIFS('Federal Data'!N2:N501,'Federal Data'!$E2:$E501,"General Welfare",'Federal Data'!$D2:$D501,"Nongrant")</f>
        <v>74421456</v>
      </c>
      <c r="E58" s="112">
        <f>SUMIFS('Federal Data'!O2:O501,'Federal Data'!$E2:$E501,"General Welfare",'Federal Data'!$D2:$D501,"Nongrant")</f>
        <v>75012268</v>
      </c>
      <c r="F58" s="112">
        <f>SUMIFS('Federal Data'!P2:P501,'Federal Data'!$E2:$E501,"General Welfare",'Federal Data'!$D2:$D501,"Nongrant")</f>
        <v>87362985</v>
      </c>
      <c r="G58" s="112">
        <f>SUMIFS('Federal Data'!Q2:Q501,'Federal Data'!$E2:$E501,"General Welfare",'Federal Data'!$D2:$D501,"Nongrant")</f>
        <v>76310295</v>
      </c>
      <c r="H58" s="112">
        <f>SUMIFS('Federal Data'!R2:R501,'Federal Data'!$E2:$E501,"General Welfare",'Federal Data'!$D2:$D501,"Nongrant")</f>
        <v>90002748</v>
      </c>
      <c r="I58" s="112">
        <f>SUMIFS('Federal Data'!S2:S501,'Federal Data'!$E2:$E501,"General Welfare",'Federal Data'!$D2:$D501,"Nongrant")</f>
        <v>81965836</v>
      </c>
      <c r="J58" s="112">
        <f>SUMIFS('Federal Data'!T2:T501,'Federal Data'!$E2:$E501,"General Welfare",'Federal Data'!$D2:$D501,"Nongrant")</f>
        <v>83331890</v>
      </c>
      <c r="K58" s="112">
        <f>SUMIFS('Federal Data'!U2:U501,'Federal Data'!$E2:$E501,"General Welfare",'Federal Data'!$D2:$D501,"Nongrant")</f>
        <v>96173503</v>
      </c>
      <c r="L58" s="112">
        <f>SUMIFS('Federal Data'!V2:V501,'Federal Data'!$E2:$E501,"General Welfare",'Federal Data'!$D2:$D501,"Nongrant")</f>
        <v>113679381</v>
      </c>
      <c r="M58" s="112">
        <f>SUMIFS('Federal Data'!W2:W501,'Federal Data'!$E2:$E501,"General Welfare",'Federal Data'!$D2:$D501,"Nongrant")</f>
        <v>163424096</v>
      </c>
      <c r="N58" s="112">
        <f>SUMIFS('Federal Data'!X2:X501,'Federal Data'!$E2:$E501,"General Welfare",'Federal Data'!$D2:$D501,"Nongrant")</f>
        <v>190186330</v>
      </c>
      <c r="O58" s="112">
        <f>SUMIFS('Federal Data'!Y2:Y501,'Federal Data'!$E2:$E501,"General Welfare",'Federal Data'!$D2:$D501,"Nongrant")</f>
        <v>150376604</v>
      </c>
      <c r="P58" s="112">
        <f>SUMIFS('Federal Data'!Z2:Z501,'Federal Data'!$E2:$E501,"General Welfare",'Federal Data'!$D2:$D501,"Nongrant")</f>
        <v>129604221</v>
      </c>
      <c r="Q58" s="112">
        <f>SUMIFS('Federal Data'!AA2:AA501,'Federal Data'!$E2:$E501,"General Welfare",'Federal Data'!$D2:$D501,"Nongrant")</f>
        <v>147899044</v>
      </c>
      <c r="R58" s="112">
        <f>SUMIFS('Federal Data'!AB2:AB501,'Federal Data'!$E2:$E501,"General Welfare",'Federal Data'!$D2:$D501,"Nongrant")</f>
        <v>134901000</v>
      </c>
      <c r="S58" s="112">
        <f>SUMIFS('Federal Data'!AC2:AC501,'Federal Data'!$E2:$E501,"General Welfare",'Federal Data'!$D2:$D501,"Nongrant")</f>
        <v>150325000</v>
      </c>
      <c r="T58" s="112">
        <f>SUMIFS('Federal Data'!AD2:AD501,'Federal Data'!$E2:$E501,"General Welfare",'Federal Data'!$D2:$D501,"Nongrant")</f>
        <v>149733000</v>
      </c>
      <c r="U58" s="112">
        <f>SUMIFS('Federal Data'!AE2:AE501,'Federal Data'!$E2:$E501,"General Welfare",'Federal Data'!$D2:$D501,"Nongrant")</f>
        <v>164736000</v>
      </c>
      <c r="V58" s="112">
        <f>SUMIFS('Federal Data'!AF2:AF501,'Federal Data'!$E2:$E501,"General Welfare",'Federal Data'!$D2:$D501,"Nongrant")</f>
        <v>163432000</v>
      </c>
      <c r="W58" s="112">
        <f>SUMIFS('Federal Data'!AG2:AG501,'Federal Data'!$E2:$E501,"General Welfare",'Federal Data'!$D2:$D501,"Nongrant")</f>
        <v>178009000</v>
      </c>
      <c r="X58" s="112">
        <f>SUMIFS('Federal Data'!AH2:AH501,'Federal Data'!$E2:$E501,"General Welfare",'Federal Data'!$D2:$D501,"Nongrant")</f>
        <v>191201000</v>
      </c>
      <c r="Y58" s="112">
        <f>SUMIFS('Federal Data'!AI2:AI501,'Federal Data'!$E2:$E501,"General Welfare",'Federal Data'!$D2:$D501,"Nongrant")</f>
        <v>237246000</v>
      </c>
      <c r="Z58" s="112">
        <f>SUMIFS('Federal Data'!AJ2:AJ501,'Federal Data'!$E2:$E501,"General Welfare",'Federal Data'!$D2:$D501,"Nongrant")</f>
        <v>260324000</v>
      </c>
      <c r="AA58" s="112">
        <f>SUMIFS('Federal Data'!AK2:AK501,'Federal Data'!$E2:$E501,"General Welfare",'Federal Data'!$D2:$D501,"Nongrant")</f>
        <v>256950000</v>
      </c>
      <c r="AB58" s="112">
        <f>SUMIFS('Federal Data'!AL2:AL501,'Federal Data'!$E2:$E501,"General Welfare",'Federal Data'!$D2:$D501,"Nongrant")</f>
        <v>269602000</v>
      </c>
      <c r="AC58" s="112">
        <f>SUMIFS('Federal Data'!AM2:AM501,'Federal Data'!$E2:$E501,"General Welfare",'Federal Data'!$D2:$D501,"Nongrant")</f>
        <v>272157000</v>
      </c>
      <c r="AD58" s="112">
        <f>SUMIFS('Federal Data'!AN2:AN501,'Federal Data'!$E2:$E501,"General Welfare",'Federal Data'!$D2:$D501,"Nongrant")</f>
        <v>286426000</v>
      </c>
      <c r="AE58" s="112">
        <f>SUMIFS('Federal Data'!AO2:AO501,'Federal Data'!$E2:$E501,"General Welfare",'Federal Data'!$D2:$D501,"Nongrant")</f>
        <v>368400000</v>
      </c>
      <c r="AF58" s="112">
        <f>SUMIFS('Federal Data'!AP2:AP501,'Federal Data'!$E2:$E501,"General Welfare",'Federal Data'!$D2:$D501,"Nongrant")</f>
        <v>623420000</v>
      </c>
      <c r="AG58" s="112">
        <f>SUMIFS('Federal Data'!AQ2:AQ501,'Federal Data'!$E2:$E501,"General Welfare",'Federal Data'!$D2:$D501,"Nongrant")</f>
        <v>425489000</v>
      </c>
      <c r="AH58" s="112">
        <f>SUMIFS('Federal Data'!AR2:AR501,'Federal Data'!$E2:$E501,"General Welfare",'Federal Data'!$D2:$D501,"Nongrant")</f>
        <v>491275000</v>
      </c>
      <c r="AI58" s="112">
        <f>SUMIFS('Federal Data'!AS2:AS501,'Federal Data'!$E2:$E501,"General Welfare",'Federal Data'!$D2:$D501,"Nongrant")</f>
        <v>516115000</v>
      </c>
      <c r="AJ58" s="112">
        <f>SUMIFS('Federal Data'!AT2:AT501,'Federal Data'!$E2:$E501,"General Welfare",'Federal Data'!$D2:$D501,"Nongrant")</f>
        <v>451528000</v>
      </c>
      <c r="AK58" s="112">
        <f>SUMIFS('Federal Data'!AU2:AU501,'Federal Data'!$E2:$E501,"General Welfare",'Federal Data'!$D2:$D501,"Nongrant")</f>
        <v>419578000</v>
      </c>
      <c r="AL58" s="112">
        <f>SUMIFS('Federal Data'!AV2:AV501,'Federal Data'!$E2:$E501,"General Welfare",'Federal Data'!$D2:$D501,"Nongrant")</f>
        <v>440486000</v>
      </c>
    </row>
    <row r="59" spans="1:38" outlineLevel="2">
      <c r="A59" s="22" t="str">
        <f>B58</f>
        <v>Promote the General Welfare</v>
      </c>
      <c r="B59" s="28" t="s">
        <v>302</v>
      </c>
      <c r="C59" s="113">
        <f>SUMIFS('Federal Data'!M2:M501,'Federal Data'!$F2:$F501,"Economic Growth, GDP, and Jobs",'Federal Data'!$D2:$D501,"Nongrant")</f>
        <v>20413150</v>
      </c>
      <c r="D59" s="113">
        <f>SUMIFS('Federal Data'!N2:N501,'Federal Data'!$F2:$F501,"Economic Growth, GDP, and Jobs",'Federal Data'!$D2:$D501,"Nongrant")</f>
        <v>21262745</v>
      </c>
      <c r="E59" s="113">
        <f>SUMIFS('Federal Data'!O2:O501,'Federal Data'!$F2:$F501,"Economic Growth, GDP, and Jobs",'Federal Data'!$D2:$D501,"Nongrant")</f>
        <v>18693379</v>
      </c>
      <c r="F59" s="113">
        <f>SUMIFS('Federal Data'!P2:P501,'Federal Data'!$F2:$F501,"Economic Growth, GDP, and Jobs",'Federal Data'!$D2:$D501,"Nongrant")</f>
        <v>20082065</v>
      </c>
      <c r="G59" s="113">
        <f>SUMIFS('Federal Data'!Q2:Q501,'Federal Data'!$F2:$F501,"Economic Growth, GDP, and Jobs",'Federal Data'!$D2:$D501,"Nongrant")</f>
        <v>21882984</v>
      </c>
      <c r="H59" s="113">
        <f>SUMIFS('Federal Data'!R2:R501,'Federal Data'!$F2:$F501,"Economic Growth, GDP, and Jobs",'Federal Data'!$D2:$D501,"Nongrant")</f>
        <v>21096139</v>
      </c>
      <c r="I59" s="113">
        <f>SUMIFS('Federal Data'!S2:S501,'Federal Data'!$F2:$F501,"Economic Growth, GDP, and Jobs",'Federal Data'!$D2:$D501,"Nongrant")</f>
        <v>24832955</v>
      </c>
      <c r="J59" s="113">
        <f>SUMIFS('Federal Data'!T2:T501,'Federal Data'!$F2:$F501,"Economic Growth, GDP, and Jobs",'Federal Data'!$D2:$D501,"Nongrant")</f>
        <v>25834441</v>
      </c>
      <c r="K59" s="113">
        <f>SUMIFS('Federal Data'!U2:U501,'Federal Data'!$F2:$F501,"Economic Growth, GDP, and Jobs",'Federal Data'!$D2:$D501,"Nongrant")</f>
        <v>35283251</v>
      </c>
      <c r="L59" s="113">
        <f>SUMIFS('Federal Data'!V2:V501,'Federal Data'!$F2:$F501,"Economic Growth, GDP, and Jobs",'Federal Data'!$D2:$D501,"Nongrant")</f>
        <v>48099031</v>
      </c>
      <c r="M59" s="113">
        <f>SUMIFS('Federal Data'!W2:W501,'Federal Data'!$F2:$F501,"Economic Growth, GDP, and Jobs",'Federal Data'!$D2:$D501,"Nongrant")</f>
        <v>90634359</v>
      </c>
      <c r="N59" s="113">
        <f>SUMIFS('Federal Data'!X2:X501,'Federal Data'!$F2:$F501,"Economic Growth, GDP, and Jobs",'Federal Data'!$D2:$D501,"Nongrant")</f>
        <v>100426106</v>
      </c>
      <c r="O59" s="113">
        <f>SUMIFS('Federal Data'!Y2:Y501,'Federal Data'!$F2:$F501,"Economic Growth, GDP, and Jobs",'Federal Data'!$D2:$D501,"Nongrant")</f>
        <v>37485724</v>
      </c>
      <c r="P59" s="113">
        <f>SUMIFS('Federal Data'!Z2:Z501,'Federal Data'!$F2:$F501,"Economic Growth, GDP, and Jobs",'Federal Data'!$D2:$D501,"Nongrant")</f>
        <v>8622975</v>
      </c>
      <c r="Q59" s="113">
        <f>SUMIFS('Federal Data'!AA2:AA501,'Federal Data'!$F2:$F501,"Economic Growth, GDP, and Jobs",'Federal Data'!$D2:$D501,"Nongrant")</f>
        <v>28547475</v>
      </c>
      <c r="R59" s="113">
        <f>SUMIFS('Federal Data'!AB2:AB501,'Federal Data'!$F2:$F501,"Economic Growth, GDP, and Jobs",'Federal Data'!$D2:$D501,"Nongrant")</f>
        <v>15094000</v>
      </c>
      <c r="S59" s="113">
        <f>SUMIFS('Federal Data'!AC2:AC501,'Federal Data'!$F2:$F501,"Economic Growth, GDP, and Jobs",'Federal Data'!$D2:$D501,"Nongrant")</f>
        <v>26550000</v>
      </c>
      <c r="T59" s="113">
        <f>SUMIFS('Federal Data'!AD2:AD501,'Federal Data'!$F2:$F501,"Economic Growth, GDP, and Jobs",'Federal Data'!$D2:$D501,"Nongrant")</f>
        <v>22177000</v>
      </c>
      <c r="U59" s="113">
        <f>SUMIFS('Federal Data'!AE2:AE501,'Federal Data'!$F2:$F501,"Economic Growth, GDP, and Jobs",'Federal Data'!$D2:$D501,"Nongrant")</f>
        <v>38326000</v>
      </c>
      <c r="V59" s="113">
        <f>SUMIFS('Federal Data'!AF2:AF501,'Federal Data'!$F2:$F501,"Economic Growth, GDP, and Jobs",'Federal Data'!$D2:$D501,"Nongrant")</f>
        <v>34855000</v>
      </c>
      <c r="W59" s="113">
        <f>SUMIFS('Federal Data'!AG2:AG501,'Federal Data'!$F2:$F501,"Economic Growth, GDP, and Jobs",'Federal Data'!$D2:$D501,"Nongrant")</f>
        <v>40839000</v>
      </c>
      <c r="X59" s="113">
        <f>SUMIFS('Federal Data'!AH2:AH501,'Federal Data'!$F2:$F501,"Economic Growth, GDP, and Jobs",'Federal Data'!$D2:$D501,"Nongrant")</f>
        <v>45018000</v>
      </c>
      <c r="Y59" s="113">
        <f>SUMIFS('Federal Data'!AI2:AI501,'Federal Data'!$F2:$F501,"Economic Growth, GDP, and Jobs",'Federal Data'!$D2:$D501,"Nongrant")</f>
        <v>49108000</v>
      </c>
      <c r="Z59" s="113">
        <f>SUMIFS('Federal Data'!AJ2:AJ501,'Federal Data'!$F2:$F501,"Economic Growth, GDP, and Jobs",'Federal Data'!$D2:$D501,"Nongrant")</f>
        <v>53307000</v>
      </c>
      <c r="AA59" s="113">
        <f>SUMIFS('Federal Data'!AK2:AK501,'Federal Data'!$F2:$F501,"Economic Growth, GDP, and Jobs",'Federal Data'!$D2:$D501,"Nongrant")</f>
        <v>49884000</v>
      </c>
      <c r="AB59" s="113">
        <f>SUMIFS('Federal Data'!AL2:AL501,'Federal Data'!$F2:$F501,"Economic Growth, GDP, and Jobs",'Federal Data'!$D2:$D501,"Nongrant")</f>
        <v>58318000</v>
      </c>
      <c r="AC59" s="113">
        <f>SUMIFS('Federal Data'!AM2:AM501,'Federal Data'!$F2:$F501,"Economic Growth, GDP, and Jobs",'Federal Data'!$D2:$D501,"Nongrant")</f>
        <v>55643000</v>
      </c>
      <c r="AD59" s="113">
        <f>SUMIFS('Federal Data'!AN2:AN501,'Federal Data'!$F2:$F501,"Economic Growth, GDP, and Jobs",'Federal Data'!$D2:$D501,"Nongrant")</f>
        <v>64451000</v>
      </c>
      <c r="AE59" s="113">
        <f>SUMIFS('Federal Data'!AO2:AO501,'Federal Data'!$F2:$F501,"Economic Growth, GDP, and Jobs",'Federal Data'!$D2:$D501,"Nongrant")</f>
        <v>87505000</v>
      </c>
      <c r="AF59" s="113">
        <f>SUMIFS('Federal Data'!AP2:AP501,'Federal Data'!$F2:$F501,"Economic Growth, GDP, and Jobs",'Federal Data'!$D2:$D501,"Nongrant")</f>
        <v>247820000</v>
      </c>
      <c r="AG59" s="113">
        <f>SUMIFS('Federal Data'!AQ2:AQ501,'Federal Data'!$F2:$F501,"Economic Growth, GDP, and Jobs",'Federal Data'!$D2:$D501,"Nongrant")</f>
        <v>-51500000</v>
      </c>
      <c r="AH59" s="113">
        <f>SUMIFS('Federal Data'!AR2:AR501,'Federal Data'!$F2:$F501,"Economic Growth, GDP, and Jobs",'Federal Data'!$D2:$D501,"Nongrant")</f>
        <v>36073000</v>
      </c>
      <c r="AI59" s="113">
        <f>SUMIFS('Federal Data'!AS2:AS501,'Federal Data'!$F2:$F501,"Economic Growth, GDP, and Jobs",'Federal Data'!$D2:$D501,"Nongrant")</f>
        <v>111134000</v>
      </c>
      <c r="AJ59" s="113">
        <f>SUMIFS('Federal Data'!AT2:AT501,'Federal Data'!$F2:$F501,"Economic Growth, GDP, and Jobs",'Federal Data'!$D2:$D501,"Nongrant")</f>
        <v>62715000</v>
      </c>
      <c r="AK59" s="113">
        <f>SUMIFS('Federal Data'!AU2:AU501,'Federal Data'!$F2:$F501,"Economic Growth, GDP, and Jobs",'Federal Data'!$D2:$D501,"Nongrant")</f>
        <v>47809000</v>
      </c>
      <c r="AL59" s="113">
        <f>SUMIFS('Federal Data'!AV2:AV501,'Federal Data'!$F2:$F501,"Economic Growth, GDP, and Jobs",'Federal Data'!$D2:$D501,"Nongrant")</f>
        <v>56725000</v>
      </c>
    </row>
    <row r="60" spans="1:38" outlineLevel="3">
      <c r="A60" s="22" t="str">
        <f>B59</f>
        <v>Economy and Infrastructure</v>
      </c>
      <c r="B60" s="29" t="s">
        <v>251</v>
      </c>
      <c r="C60" s="113">
        <f>SUMIFS('Federal Data'!M2:M501,'Federal Data'!$G2:$G501,"Transportation",'Federal Data'!$D2:$D501,"Nongrant")</f>
        <v>8307648</v>
      </c>
      <c r="D60" s="113">
        <f>SUMIFS('Federal Data'!N2:N501,'Federal Data'!$G2:$G501,"Transportation",'Federal Data'!$D2:$D501,"Nongrant")</f>
        <v>9974674</v>
      </c>
      <c r="E60" s="113">
        <f>SUMIFS('Federal Data'!O2:O501,'Federal Data'!$G2:$G501,"Transportation",'Federal Data'!$D2:$D501,"Nongrant")</f>
        <v>8514466</v>
      </c>
      <c r="F60" s="113">
        <f>SUMIFS('Federal Data'!P2:P501,'Federal Data'!$G2:$G501,"Transportation",'Federal Data'!$D2:$D501,"Nongrant")</f>
        <v>8133806</v>
      </c>
      <c r="G60" s="113">
        <f>SUMIFS('Federal Data'!Q2:Q501,'Federal Data'!$G2:$G501,"Transportation",'Federal Data'!$D2:$D501,"Nongrant")</f>
        <v>8680831</v>
      </c>
      <c r="H60" s="113">
        <f>SUMIFS('Federal Data'!R2:R501,'Federal Data'!$G2:$G501,"Transportation",'Federal Data'!$D2:$D501,"Nongrant")</f>
        <v>8828616</v>
      </c>
      <c r="I60" s="113">
        <f>SUMIFS('Federal Data'!S2:S501,'Federal Data'!$G2:$G501,"Transportation",'Federal Data'!$D2:$D501,"Nongrant")</f>
        <v>9795045</v>
      </c>
      <c r="J60" s="113">
        <f>SUMIFS('Federal Data'!T2:T501,'Federal Data'!$G2:$G501,"Transportation",'Federal Data'!$D2:$D501,"Nongrant")</f>
        <v>9348928</v>
      </c>
      <c r="K60" s="113">
        <f>SUMIFS('Federal Data'!U2:U501,'Federal Data'!$G2:$G501,"Transportation",'Federal Data'!$D2:$D501,"Nongrant")</f>
        <v>9229093</v>
      </c>
      <c r="L60" s="113">
        <f>SUMIFS('Federal Data'!V2:V501,'Federal Data'!$G2:$G501,"Transportation",'Federal Data'!$D2:$D501,"Nongrant")</f>
        <v>9432107</v>
      </c>
      <c r="M60" s="113">
        <f>SUMIFS('Federal Data'!W2:W501,'Federal Data'!$G2:$G501,"Transportation",'Federal Data'!$D2:$D501,"Nongrant")</f>
        <v>10311233</v>
      </c>
      <c r="N60" s="113">
        <f>SUMIFS('Federal Data'!X2:X501,'Federal Data'!$G2:$G501,"Transportation",'Federal Data'!$D2:$D501,"Nongrant")</f>
        <v>11273149</v>
      </c>
      <c r="O60" s="113">
        <f>SUMIFS('Federal Data'!Y2:Y501,'Federal Data'!$G2:$G501,"Transportation",'Federal Data'!$D2:$D501,"Nongrant")</f>
        <v>12775853</v>
      </c>
      <c r="P60" s="113">
        <f>SUMIFS('Federal Data'!Z2:Z501,'Federal Data'!$G2:$G501,"Transportation",'Federal Data'!$D2:$D501,"Nongrant")</f>
        <v>12712851</v>
      </c>
      <c r="Q60" s="113">
        <f>SUMIFS('Federal Data'!AA2:AA501,'Federal Data'!$G2:$G501,"Transportation",'Federal Data'!$D2:$D501,"Nongrant")</f>
        <v>14432988</v>
      </c>
      <c r="R60" s="113">
        <f>SUMIFS('Federal Data'!AB2:AB501,'Federal Data'!$G2:$G501,"Transportation",'Federal Data'!$D2:$D501,"Nongrant")</f>
        <v>13563000</v>
      </c>
      <c r="S60" s="113">
        <f>SUMIFS('Federal Data'!AC2:AC501,'Federal Data'!$G2:$G501,"Transportation",'Federal Data'!$D2:$D501,"Nongrant")</f>
        <v>13608000</v>
      </c>
      <c r="T60" s="113">
        <f>SUMIFS('Federal Data'!AD2:AD501,'Federal Data'!$G2:$G501,"Transportation",'Federal Data'!$D2:$D501,"Nongrant")</f>
        <v>13921000</v>
      </c>
      <c r="U60" s="113">
        <f>SUMIFS('Federal Data'!AE2:AE501,'Federal Data'!$G2:$G501,"Transportation",'Federal Data'!$D2:$D501,"Nongrant")</f>
        <v>14199000</v>
      </c>
      <c r="V60" s="113">
        <f>SUMIFS('Federal Data'!AF2:AF501,'Federal Data'!$G2:$G501,"Transportation",'Federal Data'!$D2:$D501,"Nongrant")</f>
        <v>13628000</v>
      </c>
      <c r="W60" s="113">
        <f>SUMIFS('Federal Data'!AG2:AG501,'Federal Data'!$G2:$G501,"Transportation",'Federal Data'!$D2:$D501,"Nongrant")</f>
        <v>14631000</v>
      </c>
      <c r="X60" s="113">
        <f>SUMIFS('Federal Data'!AH2:AH501,'Federal Data'!$G2:$G501,"Transportation",'Federal Data'!$D2:$D501,"Nongrant")</f>
        <v>17800000</v>
      </c>
      <c r="Y60" s="113">
        <f>SUMIFS('Federal Data'!AI2:AI501,'Federal Data'!$G2:$G501,"Transportation",'Federal Data'!$D2:$D501,"Nongrant")</f>
        <v>20829000</v>
      </c>
      <c r="Z60" s="113">
        <f>SUMIFS('Federal Data'!AJ2:AJ501,'Federal Data'!$G2:$G501,"Transportation",'Federal Data'!$D2:$D501,"Nongrant")</f>
        <v>26034000</v>
      </c>
      <c r="AA60" s="113">
        <f>SUMIFS('Federal Data'!AK2:AK501,'Federal Data'!$G2:$G501,"Transportation",'Federal Data'!$D2:$D501,"Nongrant")</f>
        <v>23146000</v>
      </c>
      <c r="AB60" s="113">
        <f>SUMIFS('Federal Data'!AL2:AL501,'Federal Data'!$G2:$G501,"Transportation",'Federal Data'!$D2:$D501,"Nongrant")</f>
        <v>24520000</v>
      </c>
      <c r="AC60" s="113">
        <f>SUMIFS('Federal Data'!AM2:AM501,'Federal Data'!$G2:$G501,"Transportation",'Federal Data'!$D2:$D501,"Nongrant")</f>
        <v>23558000</v>
      </c>
      <c r="AD60" s="113">
        <f>SUMIFS('Federal Data'!AN2:AN501,'Federal Data'!$G2:$G501,"Transportation",'Federal Data'!$D2:$D501,"Nongrant")</f>
        <v>24959000</v>
      </c>
      <c r="AE60" s="113">
        <f>SUMIFS('Federal Data'!AO2:AO501,'Federal Data'!$G2:$G501,"Transportation",'Federal Data'!$D2:$D501,"Nongrant")</f>
        <v>26400000</v>
      </c>
      <c r="AF60" s="113">
        <f>SUMIFS('Federal Data'!AP2:AP501,'Federal Data'!$G2:$G501,"Transportation",'Federal Data'!$D2:$D501,"Nongrant")</f>
        <v>28851000</v>
      </c>
      <c r="AG60" s="113">
        <f>SUMIFS('Federal Data'!AQ2:AQ501,'Federal Data'!$G2:$G501,"Transportation",'Federal Data'!$D2:$D501,"Nongrant")</f>
        <v>30991000</v>
      </c>
      <c r="AH60" s="113">
        <f>SUMIFS('Federal Data'!AR2:AR501,'Federal Data'!$G2:$G501,"Transportation",'Federal Data'!$D2:$D501,"Nongrant")</f>
        <v>31980000</v>
      </c>
      <c r="AI60" s="113">
        <f>SUMIFS('Federal Data'!AS2:AS501,'Federal Data'!$G2:$G501,"Transportation",'Federal Data'!$D2:$D501,"Nongrant")</f>
        <v>32270000</v>
      </c>
      <c r="AJ60" s="113">
        <f>SUMIFS('Federal Data'!AT2:AT501,'Federal Data'!$G2:$G501,"Transportation",'Federal Data'!$D2:$D501,"Nongrant")</f>
        <v>31155000</v>
      </c>
      <c r="AK60" s="113">
        <f>SUMIFS('Federal Data'!AU2:AU501,'Federal Data'!$G2:$G501,"Transportation",'Federal Data'!$D2:$D501,"Nongrant")</f>
        <v>29678000</v>
      </c>
      <c r="AL60" s="113">
        <f>SUMIFS('Federal Data'!AV2:AV501,'Federal Data'!$G2:$G501,"Transportation",'Federal Data'!$D2:$D501,"Nongrant")</f>
        <v>28702000</v>
      </c>
    </row>
    <row r="61" spans="1:38" outlineLevel="4">
      <c r="A61" s="22" t="str">
        <f>B60</f>
        <v>Transportation and Transportation Safety</v>
      </c>
      <c r="B61" s="31" t="s">
        <v>94</v>
      </c>
      <c r="C61" s="113">
        <f>SUMIFS('Federal Data'!M2:M501,'Federal Data'!$H2:$H501,"Air Transportation",'Federal Data'!$D2:$D501,"Nongrant")</f>
        <v>3132454</v>
      </c>
      <c r="D61" s="113">
        <f>SUMIFS('Federal Data'!N2:N501,'Federal Data'!$H2:$H501,"Air Transportation",'Federal Data'!$D2:$D501,"Nongrant")</f>
        <v>3344552</v>
      </c>
      <c r="E61" s="113">
        <f>SUMIFS('Federal Data'!O2:O501,'Federal Data'!$H2:$H501,"Air Transportation",'Federal Data'!$D2:$D501,"Nongrant")</f>
        <v>3187550</v>
      </c>
      <c r="F61" s="113">
        <f>SUMIFS('Federal Data'!P2:P501,'Federal Data'!$H2:$H501,"Air Transportation",'Federal Data'!$D2:$D501,"Nongrant")</f>
        <v>3547616</v>
      </c>
      <c r="G61" s="113">
        <f>SUMIFS('Federal Data'!Q2:Q501,'Federal Data'!$H2:$H501,"Air Transportation",'Federal Data'!$D2:$D501,"Nongrant")</f>
        <v>3721518</v>
      </c>
      <c r="H61" s="113">
        <f>SUMIFS('Federal Data'!R2:R501,'Federal Data'!$H2:$H501,"Air Transportation",'Federal Data'!$D2:$D501,"Nongrant")</f>
        <v>4106564</v>
      </c>
      <c r="I61" s="113">
        <f>SUMIFS('Federal Data'!S2:S501,'Federal Data'!$H2:$H501,"Air Transportation",'Federal Data'!$D2:$D501,"Nongrant")</f>
        <v>4433888</v>
      </c>
      <c r="J61" s="113">
        <f>SUMIFS('Federal Data'!T2:T501,'Federal Data'!$H2:$H501,"Air Transportation",'Federal Data'!$D2:$D501,"Nongrant")</f>
        <v>4602744</v>
      </c>
      <c r="K61" s="113">
        <f>SUMIFS('Federal Data'!U2:U501,'Federal Data'!$H2:$H501,"Air Transportation",'Federal Data'!$D2:$D501,"Nongrant")</f>
        <v>5071888</v>
      </c>
      <c r="L61" s="113">
        <f>SUMIFS('Federal Data'!V2:V501,'Federal Data'!$H2:$H501,"Air Transportation",'Federal Data'!$D2:$D501,"Nongrant")</f>
        <v>5487730</v>
      </c>
      <c r="M61" s="113">
        <f>SUMIFS('Federal Data'!W2:W501,'Federal Data'!$H2:$H501,"Air Transportation",'Federal Data'!$D2:$D501,"Nongrant")</f>
        <v>6013546</v>
      </c>
      <c r="N61" s="113">
        <f>SUMIFS('Federal Data'!X2:X501,'Federal Data'!$H2:$H501,"Air Transportation",'Federal Data'!$D2:$D501,"Nongrant")</f>
        <v>6643019</v>
      </c>
      <c r="O61" s="113">
        <f>SUMIFS('Federal Data'!Y2:Y501,'Federal Data'!$H2:$H501,"Air Transportation",'Federal Data'!$D2:$D501,"Nongrant")</f>
        <v>7640598</v>
      </c>
      <c r="P61" s="113">
        <f>SUMIFS('Federal Data'!Z2:Z501,'Federal Data'!$H2:$H501,"Air Transportation",'Federal Data'!$D2:$D501,"Nongrant")</f>
        <v>8117693</v>
      </c>
      <c r="Q61" s="113">
        <f>SUMIFS('Federal Data'!AA2:AA501,'Federal Data'!$H2:$H501,"Air Transportation",'Federal Data'!$D2:$D501,"Nongrant")</f>
        <v>8526337</v>
      </c>
      <c r="R61" s="113">
        <f>SUMIFS('Federal Data'!AB2:AB501,'Federal Data'!$H2:$H501,"Air Transportation",'Federal Data'!$D2:$D501,"Nongrant")</f>
        <v>8161000</v>
      </c>
      <c r="S61" s="113">
        <f>SUMIFS('Federal Data'!AC2:AC501,'Federal Data'!$H2:$H501,"Air Transportation",'Federal Data'!$D2:$D501,"Nongrant")</f>
        <v>8480000</v>
      </c>
      <c r="T61" s="113">
        <f>SUMIFS('Federal Data'!AD2:AD501,'Federal Data'!$H2:$H501,"Air Transportation",'Federal Data'!$D2:$D501,"Nongrant")</f>
        <v>8649000</v>
      </c>
      <c r="U61" s="113">
        <f>SUMIFS('Federal Data'!AE2:AE501,'Federal Data'!$H2:$H501,"Air Transportation",'Federal Data'!$D2:$D501,"Nongrant")</f>
        <v>9111000</v>
      </c>
      <c r="V61" s="113">
        <f>SUMIFS('Federal Data'!AF2:AF501,'Federal Data'!$H2:$H501,"Air Transportation",'Federal Data'!$D2:$D501,"Nongrant")</f>
        <v>9155000</v>
      </c>
      <c r="W61" s="113">
        <f>SUMIFS('Federal Data'!AG2:AG501,'Federal Data'!$H2:$H501,"Air Transportation",'Federal Data'!$D2:$D501,"Nongrant")</f>
        <v>8947000</v>
      </c>
      <c r="X61" s="113">
        <f>SUMIFS('Federal Data'!AH2:AH501,'Federal Data'!$H2:$H501,"Air Transportation",'Federal Data'!$D2:$D501,"Nongrant")</f>
        <v>11958000</v>
      </c>
      <c r="Y61" s="113">
        <f>SUMIFS('Federal Data'!AI2:AI501,'Federal Data'!$H2:$H501,"Air Transportation",'Federal Data'!$D2:$D501,"Nongrant")</f>
        <v>13678000</v>
      </c>
      <c r="Z61" s="113">
        <f>SUMIFS('Federal Data'!AJ2:AJ501,'Federal Data'!$H2:$H501,"Air Transportation",'Federal Data'!$D2:$D501,"Nongrant")</f>
        <v>20662000</v>
      </c>
      <c r="AA61" s="113">
        <f>SUMIFS('Federal Data'!AK2:AK501,'Federal Data'!$H2:$H501,"Air Transportation",'Federal Data'!$D2:$D501,"Nongrant")</f>
        <v>13612000</v>
      </c>
      <c r="AB61" s="113">
        <f>SUMIFS('Federal Data'!AL2:AL501,'Federal Data'!$H2:$H501,"Air Transportation",'Federal Data'!$D2:$D501,"Nongrant")</f>
        <v>15277000</v>
      </c>
      <c r="AC61" s="113">
        <f>SUMIFS('Federal Data'!AM2:AM501,'Federal Data'!$H2:$H501,"Air Transportation",'Federal Data'!$D2:$D501,"Nongrant")</f>
        <v>14164000</v>
      </c>
      <c r="AD61" s="113">
        <f>SUMIFS('Federal Data'!AN2:AN501,'Federal Data'!$H2:$H501,"Air Transportation",'Federal Data'!$D2:$D501,"Nongrant")</f>
        <v>14222000</v>
      </c>
      <c r="AE61" s="113">
        <f>SUMIFS('Federal Data'!AO2:AO501,'Federal Data'!$H2:$H501,"Air Transportation",'Federal Data'!$D2:$D501,"Nongrant")</f>
        <v>15591000</v>
      </c>
      <c r="AF61" s="113">
        <f>SUMIFS('Federal Data'!AP2:AP501,'Federal Data'!$H2:$H501,"Air Transportation",'Federal Data'!$D2:$D501,"Nongrant")</f>
        <v>16861000</v>
      </c>
      <c r="AG61" s="113">
        <f>SUMIFS('Federal Data'!AQ2:AQ501,'Federal Data'!$H2:$H501,"Air Transportation",'Federal Data'!$D2:$D501,"Nongrant")</f>
        <v>17549000</v>
      </c>
      <c r="AH61" s="113">
        <f>SUMIFS('Federal Data'!AR2:AR501,'Federal Data'!$H2:$H501,"Air Transportation",'Federal Data'!$D2:$D501,"Nongrant")</f>
        <v>18094000</v>
      </c>
      <c r="AI61" s="113">
        <f>SUMIFS('Federal Data'!AS2:AS501,'Federal Data'!$H2:$H501,"Air Transportation",'Federal Data'!$D2:$D501,"Nongrant")</f>
        <v>18713000</v>
      </c>
      <c r="AJ61" s="113">
        <f>SUMIFS('Federal Data'!AT2:AT501,'Federal Data'!$H2:$H501,"Air Transportation",'Federal Data'!$D2:$D501,"Nongrant")</f>
        <v>17945000</v>
      </c>
      <c r="AK61" s="113">
        <f>SUMIFS('Federal Data'!AU2:AU501,'Federal Data'!$H2:$H501,"Air Transportation",'Federal Data'!$D2:$D501,"Nongrant")</f>
        <v>17823000</v>
      </c>
      <c r="AL61" s="113">
        <f>SUMIFS('Federal Data'!AV2:AV501,'Federal Data'!$H2:$H501,"Air Transportation",'Federal Data'!$D2:$D501,"Nongrant")</f>
        <v>17045000</v>
      </c>
    </row>
    <row r="62" spans="1:38" outlineLevel="4">
      <c r="A62" s="22" t="str">
        <f>B47</f>
        <v>Support for Veterans</v>
      </c>
      <c r="B62" s="31" t="s">
        <v>95</v>
      </c>
      <c r="C62" s="113">
        <f>SUMIFS('Federal Data'!M2:M501,'Federal Data'!$H2:$H501,"Highway Transportation",'Federal Data'!$D2:$D501,"Nongrant")</f>
        <v>314391</v>
      </c>
      <c r="D62" s="113">
        <f>SUMIFS('Federal Data'!N2:N501,'Federal Data'!$H2:$H501,"Highway Transportation",'Federal Data'!$D2:$D501,"Nongrant")</f>
        <v>297372</v>
      </c>
      <c r="E62" s="113">
        <f>SUMIFS('Federal Data'!O2:O501,'Federal Data'!$H2:$H501,"Highway Transportation",'Federal Data'!$D2:$D501,"Nongrant")</f>
        <v>299020</v>
      </c>
      <c r="F62" s="113">
        <f>SUMIFS('Federal Data'!P2:P501,'Federal Data'!$H2:$H501,"Highway Transportation",'Federal Data'!$D2:$D501,"Nongrant")</f>
        <v>235383</v>
      </c>
      <c r="G62" s="113">
        <f>SUMIFS('Federal Data'!Q2:Q501,'Federal Data'!$H2:$H501,"Highway Transportation",'Federal Data'!$D2:$D501,"Nongrant")</f>
        <v>238076</v>
      </c>
      <c r="H62" s="113">
        <f>SUMIFS('Federal Data'!R2:R501,'Federal Data'!$H2:$H501,"Highway Transportation",'Federal Data'!$D2:$D501,"Nongrant")</f>
        <v>240679</v>
      </c>
      <c r="I62" s="113">
        <f>SUMIFS('Federal Data'!S2:S501,'Federal Data'!$H2:$H501,"Highway Transportation",'Federal Data'!$D2:$D501,"Nongrant")</f>
        <v>286251</v>
      </c>
      <c r="J62" s="113">
        <f>SUMIFS('Federal Data'!T2:T501,'Federal Data'!$H2:$H501,"Highway Transportation",'Federal Data'!$D2:$D501,"Nongrant")</f>
        <v>299991</v>
      </c>
      <c r="K62" s="113">
        <f>SUMIFS('Federal Data'!U2:U501,'Federal Data'!$H2:$H501,"Highway Transportation",'Federal Data'!$D2:$D501,"Nongrant")</f>
        <v>286568</v>
      </c>
      <c r="L62" s="113">
        <f>SUMIFS('Federal Data'!V2:V501,'Federal Data'!$H2:$H501,"Highway Transportation",'Federal Data'!$D2:$D501,"Nongrant")</f>
        <v>215989</v>
      </c>
      <c r="M62" s="113">
        <f>SUMIFS('Federal Data'!W2:W501,'Federal Data'!$H2:$H501,"Highway Transportation",'Federal Data'!$D2:$D501,"Nongrant")</f>
        <v>371866</v>
      </c>
      <c r="N62" s="113">
        <f>SUMIFS('Federal Data'!X2:X501,'Federal Data'!$H2:$H501,"Highway Transportation",'Federal Data'!$D2:$D501,"Nongrant")</f>
        <v>386404</v>
      </c>
      <c r="O62" s="113">
        <f>SUMIFS('Federal Data'!Y2:Y501,'Federal Data'!$H2:$H501,"Highway Transportation",'Federal Data'!$D2:$D501,"Nongrant")</f>
        <v>495738</v>
      </c>
      <c r="P62" s="113">
        <f>SUMIFS('Federal Data'!Z2:Z501,'Federal Data'!$H2:$H501,"Highway Transportation",'Federal Data'!$D2:$D501,"Nongrant")</f>
        <v>505468</v>
      </c>
      <c r="Q62" s="113">
        <f>SUMIFS('Federal Data'!AA2:AA501,'Federal Data'!$H2:$H501,"Highway Transportation",'Federal Data'!$D2:$D501,"Nongrant")</f>
        <v>663360</v>
      </c>
      <c r="R62" s="113">
        <f>SUMIFS('Federal Data'!AB2:AB501,'Federal Data'!$H2:$H501,"Highway Transportation",'Federal Data'!$D2:$D501,"Nongrant")</f>
        <v>313000</v>
      </c>
      <c r="S62" s="113">
        <f>SUMIFS('Federal Data'!AC2:AC501,'Federal Data'!$H2:$H501,"Highway Transportation",'Federal Data'!$D2:$D501,"Nongrant")</f>
        <v>340000</v>
      </c>
      <c r="T62" s="113">
        <f>SUMIFS('Federal Data'!AD2:AD501,'Federal Data'!$H2:$H501,"Highway Transportation",'Federal Data'!$D2:$D501,"Nongrant")</f>
        <v>297000</v>
      </c>
      <c r="U62" s="113">
        <f>SUMIFS('Federal Data'!AE2:AE501,'Federal Data'!$H2:$H501,"Highway Transportation",'Federal Data'!$D2:$D501,"Nongrant")</f>
        <v>305000</v>
      </c>
      <c r="V62" s="113">
        <f>SUMIFS('Federal Data'!AF2:AF501,'Federal Data'!$H2:$H501,"Highway Transportation",'Federal Data'!$D2:$D501,"Nongrant")</f>
        <v>282000</v>
      </c>
      <c r="W62" s="113">
        <f>SUMIFS('Federal Data'!AG2:AG501,'Federal Data'!$H2:$H501,"Highway Transportation",'Federal Data'!$D2:$D501,"Nongrant")</f>
        <v>372000</v>
      </c>
      <c r="X62" s="113">
        <f>SUMIFS('Federal Data'!AH2:AH501,'Federal Data'!$H2:$H501,"Highway Transportation",'Federal Data'!$D2:$D501,"Nongrant")</f>
        <v>416000</v>
      </c>
      <c r="Y62" s="113">
        <f>SUMIFS('Federal Data'!AI2:AI501,'Federal Data'!$H2:$H501,"Highway Transportation",'Federal Data'!$D2:$D501,"Nongrant")</f>
        <v>546000</v>
      </c>
      <c r="Z62" s="113">
        <f>SUMIFS('Federal Data'!AJ2:AJ501,'Federal Data'!$H2:$H501,"Highway Transportation",'Federal Data'!$D2:$D501,"Nongrant")</f>
        <v>488000</v>
      </c>
      <c r="AA62" s="113">
        <f>SUMIFS('Federal Data'!AK2:AK501,'Federal Data'!$H2:$H501,"Highway Transportation",'Federal Data'!$D2:$D501,"Nongrant")</f>
        <v>677000</v>
      </c>
      <c r="AB62" s="113">
        <f>SUMIFS('Federal Data'!AL2:AL501,'Federal Data'!$H2:$H501,"Highway Transportation",'Federal Data'!$D2:$D501,"Nongrant")</f>
        <v>841000</v>
      </c>
      <c r="AC62" s="113">
        <f>SUMIFS('Federal Data'!AM2:AM501,'Federal Data'!$H2:$H501,"Highway Transportation",'Federal Data'!$D2:$D501,"Nongrant")</f>
        <v>745000</v>
      </c>
      <c r="AD62" s="113">
        <f>SUMIFS('Federal Data'!AN2:AN501,'Federal Data'!$H2:$H501,"Highway Transportation",'Federal Data'!$D2:$D501,"Nongrant")</f>
        <v>1007000</v>
      </c>
      <c r="AE62" s="113">
        <f>SUMIFS('Federal Data'!AO2:AO501,'Federal Data'!$H2:$H501,"Highway Transportation",'Federal Data'!$D2:$D501,"Nongrant")</f>
        <v>832000</v>
      </c>
      <c r="AF62" s="113">
        <f>SUMIFS('Federal Data'!AP2:AP501,'Federal Data'!$H2:$H501,"Highway Transportation",'Federal Data'!$D2:$D501,"Nongrant")</f>
        <v>694000</v>
      </c>
      <c r="AG62" s="113">
        <f>SUMIFS('Federal Data'!AQ2:AQ501,'Federal Data'!$H2:$H501,"Highway Transportation",'Federal Data'!$D2:$D501,"Nongrant")</f>
        <v>922000</v>
      </c>
      <c r="AH62" s="113">
        <f>SUMIFS('Federal Data'!AR2:AR501,'Federal Data'!$H2:$H501,"Highway Transportation",'Federal Data'!$D2:$D501,"Nongrant")</f>
        <v>840000</v>
      </c>
      <c r="AI62" s="113">
        <f>SUMIFS('Federal Data'!AS2:AS501,'Federal Data'!$H2:$H501,"Highway Transportation",'Federal Data'!$D2:$D501,"Nongrant")</f>
        <v>794000</v>
      </c>
      <c r="AJ62" s="113">
        <f>SUMIFS('Federal Data'!AT2:AT501,'Federal Data'!$H2:$H501,"Highway Transportation",'Federal Data'!$D2:$D501,"Nongrant")</f>
        <v>863000</v>
      </c>
      <c r="AK62" s="113">
        <f>SUMIFS('Federal Data'!AU2:AU501,'Federal Data'!$H2:$H501,"Highway Transportation",'Federal Data'!$D2:$D501,"Nongrant")</f>
        <v>1445000</v>
      </c>
      <c r="AL62" s="113">
        <f>SUMIFS('Federal Data'!AV2:AV501,'Federal Data'!$H2:$H501,"Highway Transportation",'Federal Data'!$D2:$D501,"Nongrant")</f>
        <v>979000</v>
      </c>
    </row>
    <row r="63" spans="1:38" outlineLevel="4">
      <c r="A63" s="22" t="str">
        <f>B47</f>
        <v>Support for Veterans</v>
      </c>
      <c r="B63" s="31" t="s">
        <v>96</v>
      </c>
      <c r="C63" s="113">
        <f>SUMIFS('Federal Data'!M2:M501,'Federal Data'!$H2:$H501,"Railroad Transportation",'Federal Data'!$D2:$D501,"Nongrant")</f>
        <v>2533518</v>
      </c>
      <c r="D63" s="113">
        <f>SUMIFS('Federal Data'!N2:N501,'Federal Data'!$H2:$H501,"Railroad Transportation",'Federal Data'!$D2:$D501,"Nongrant")</f>
        <v>3844730</v>
      </c>
      <c r="E63" s="113">
        <f>SUMIFS('Federal Data'!O2:O501,'Federal Data'!$H2:$H501,"Railroad Transportation",'Federal Data'!$D2:$D501,"Nongrant")</f>
        <v>2251811</v>
      </c>
      <c r="F63" s="113">
        <f>SUMIFS('Federal Data'!P2:P501,'Federal Data'!$H2:$H501,"Railroad Transportation",'Federal Data'!$D2:$D501,"Nongrant")</f>
        <v>1290584</v>
      </c>
      <c r="G63" s="113">
        <f>SUMIFS('Federal Data'!Q2:Q501,'Federal Data'!$H2:$H501,"Railroad Transportation",'Federal Data'!$D2:$D501,"Nongrant")</f>
        <v>1640139</v>
      </c>
      <c r="H63" s="113">
        <f>SUMIFS('Federal Data'!R2:R501,'Federal Data'!$H2:$H501,"Railroad Transportation",'Federal Data'!$D2:$D501,"Nongrant")</f>
        <v>1159749</v>
      </c>
      <c r="I63" s="113">
        <f>SUMIFS('Federal Data'!S2:S501,'Federal Data'!$H2:$H501,"Railroad Transportation",'Federal Data'!$D2:$D501,"Nongrant")</f>
        <v>1002062</v>
      </c>
      <c r="J63" s="113">
        <f>SUMIFS('Federal Data'!T2:T501,'Federal Data'!$H2:$H501,"Railroad Transportation",'Federal Data'!$D2:$D501,"Nongrant")</f>
        <v>920616</v>
      </c>
      <c r="K63" s="113">
        <f>SUMIFS('Federal Data'!U2:U501,'Federal Data'!$H2:$H501,"Railroad Transportation",'Federal Data'!$D2:$D501,"Nongrant")</f>
        <v>676881</v>
      </c>
      <c r="L63" s="113">
        <f>SUMIFS('Federal Data'!V2:V501,'Federal Data'!$H2:$H501,"Railroad Transportation",'Federal Data'!$D2:$D501,"Nongrant")</f>
        <v>719509</v>
      </c>
      <c r="M63" s="113">
        <f>SUMIFS('Federal Data'!W2:W501,'Federal Data'!$H2:$H501,"Railroad Transportation",'Federal Data'!$D2:$D501,"Nongrant")</f>
        <v>658274</v>
      </c>
      <c r="N63" s="113">
        <f>SUMIFS('Federal Data'!X2:X501,'Federal Data'!$H2:$H501,"Railroad Transportation",'Federal Data'!$D2:$D501,"Nongrant")</f>
        <v>913181</v>
      </c>
      <c r="O63" s="113">
        <f>SUMIFS('Federal Data'!Y2:Y501,'Federal Data'!$H2:$H501,"Railroad Transportation",'Federal Data'!$D2:$D501,"Nongrant")</f>
        <v>1009363</v>
      </c>
      <c r="P63" s="113">
        <f>SUMIFS('Federal Data'!Z2:Z501,'Federal Data'!$H2:$H501,"Railroad Transportation",'Federal Data'!$D2:$D501,"Nongrant")</f>
        <v>430169</v>
      </c>
      <c r="Q63" s="113">
        <f>SUMIFS('Federal Data'!AA2:AA501,'Federal Data'!$H2:$H501,"Railroad Transportation",'Federal Data'!$D2:$D501,"Nongrant")</f>
        <v>1313469</v>
      </c>
      <c r="R63" s="113">
        <f>SUMIFS('Federal Data'!AB2:AB501,'Federal Data'!$H2:$H501,"Railroad Transportation",'Federal Data'!$D2:$D501,"Nongrant")</f>
        <v>1134000</v>
      </c>
      <c r="S63" s="113">
        <f>SUMIFS('Federal Data'!AC2:AC501,'Federal Data'!$H2:$H501,"Railroad Transportation",'Federal Data'!$D2:$D501,"Nongrant")</f>
        <v>1081000</v>
      </c>
      <c r="T63" s="113">
        <f>SUMIFS('Federal Data'!AD2:AD501,'Federal Data'!$H2:$H501,"Railroad Transportation",'Federal Data'!$D2:$D501,"Nongrant")</f>
        <v>1190000</v>
      </c>
      <c r="U63" s="113">
        <f>SUMIFS('Federal Data'!AE2:AE501,'Federal Data'!$H2:$H501,"Railroad Transportation",'Federal Data'!$D2:$D501,"Nongrant")</f>
        <v>1117000</v>
      </c>
      <c r="V63" s="113">
        <f>SUMIFS('Federal Data'!AF2:AF501,'Federal Data'!$H2:$H501,"Railroad Transportation",'Federal Data'!$D2:$D501,"Nongrant")</f>
        <v>473000</v>
      </c>
      <c r="W63" s="113">
        <f>SUMIFS('Federal Data'!AG2:AG501,'Federal Data'!$H2:$H501,"Railroad Transportation",'Federal Data'!$D2:$D501,"Nongrant")</f>
        <v>758000</v>
      </c>
      <c r="X63" s="113">
        <f>SUMIFS('Federal Data'!AH2:AH501,'Federal Data'!$H2:$H501,"Railroad Transportation",'Federal Data'!$D2:$D501,"Nongrant")</f>
        <v>784000</v>
      </c>
      <c r="Y63" s="113">
        <f>SUMIFS('Federal Data'!AI2:AI501,'Federal Data'!$H2:$H501,"Railroad Transportation",'Federal Data'!$D2:$D501,"Nongrant")</f>
        <v>1500000</v>
      </c>
      <c r="Z63" s="113">
        <f>SUMIFS('Federal Data'!AJ2:AJ501,'Federal Data'!$H2:$H501,"Railroad Transportation",'Federal Data'!$D2:$D501,"Nongrant")</f>
        <v>-1320000</v>
      </c>
      <c r="AA63" s="113">
        <f>SUMIFS('Federal Data'!AK2:AK501,'Federal Data'!$H2:$H501,"Railroad Transportation",'Federal Data'!$D2:$D501,"Nongrant")</f>
        <v>1745000</v>
      </c>
      <c r="AB63" s="113">
        <f>SUMIFS('Federal Data'!AL2:AL501,'Federal Data'!$H2:$H501,"Railroad Transportation",'Federal Data'!$D2:$D501,"Nongrant")</f>
        <v>1651000</v>
      </c>
      <c r="AC63" s="113">
        <f>SUMIFS('Federal Data'!AM2:AM501,'Federal Data'!$H2:$H501,"Railroad Transportation",'Federal Data'!$D2:$D501,"Nongrant")</f>
        <v>1640000</v>
      </c>
      <c r="AD63" s="113">
        <f>SUMIFS('Federal Data'!AN2:AN501,'Federal Data'!$H2:$H501,"Railroad Transportation",'Federal Data'!$D2:$D501,"Nongrant")</f>
        <v>1758000</v>
      </c>
      <c r="AE63" s="113">
        <f>SUMIFS('Federal Data'!AO2:AO501,'Federal Data'!$H2:$H501,"Railroad Transportation",'Federal Data'!$D2:$D501,"Nongrant")</f>
        <v>1761000</v>
      </c>
      <c r="AF63" s="113">
        <f>SUMIFS('Federal Data'!AP2:AP501,'Federal Data'!$H2:$H501,"Railroad Transportation",'Federal Data'!$D2:$D501,"Nongrant")</f>
        <v>2127000</v>
      </c>
      <c r="AG63" s="113">
        <f>SUMIFS('Federal Data'!AQ2:AQ501,'Federal Data'!$H2:$H501,"Railroad Transportation",'Federal Data'!$D2:$D501,"Nongrant")</f>
        <v>2911000</v>
      </c>
      <c r="AH63" s="113">
        <f>SUMIFS('Federal Data'!AR2:AR501,'Federal Data'!$H2:$H501,"Railroad Transportation",'Federal Data'!$D2:$D501,"Nongrant")</f>
        <v>2460000</v>
      </c>
      <c r="AI63" s="113">
        <f>SUMIFS('Federal Data'!AS2:AS501,'Federal Data'!$H2:$H501,"Railroad Transportation",'Federal Data'!$D2:$D501,"Nongrant")</f>
        <v>2374000</v>
      </c>
      <c r="AJ63" s="113">
        <f>SUMIFS('Federal Data'!AT2:AT501,'Federal Data'!$H2:$H501,"Railroad Transportation",'Federal Data'!$D2:$D501,"Nongrant")</f>
        <v>2026000</v>
      </c>
      <c r="AK63" s="113">
        <f>SUMIFS('Federal Data'!AU2:AU501,'Federal Data'!$H2:$H501,"Railroad Transportation",'Federal Data'!$D2:$D501,"Nongrant")</f>
        <v>555000</v>
      </c>
      <c r="AL63" s="113">
        <f>SUMIFS('Federal Data'!AV2:AV501,'Federal Data'!$H2:$H501,"Railroad Transportation",'Federal Data'!$D2:$D501,"Nongrant")</f>
        <v>546000</v>
      </c>
    </row>
    <row r="64" spans="1:38" outlineLevel="4">
      <c r="A64" s="22" t="str">
        <f>B47</f>
        <v>Support for Veterans</v>
      </c>
      <c r="B64" s="31" t="s">
        <v>97</v>
      </c>
      <c r="C64" s="113">
        <f>SUMIFS('Federal Data'!M2:M501,'Federal Data'!$H2:$H501,"Highway &amp; Railroad Transportation Unallocable",'Federal Data'!$D2:$D501,"Nongrant")</f>
        <v>0</v>
      </c>
      <c r="D64" s="113">
        <f>SUMIFS('Federal Data'!N2:N501,'Federal Data'!$H2:$H501,"Highway &amp; Railroad Transportation Unallocable",'Federal Data'!$D2:$D501,"Nongrant")</f>
        <v>0</v>
      </c>
      <c r="E64" s="113">
        <f>SUMIFS('Federal Data'!O2:O501,'Federal Data'!$H2:$H501,"Highway &amp; Railroad Transportation Unallocable",'Federal Data'!$D2:$D501,"Nongrant")</f>
        <v>0</v>
      </c>
      <c r="F64" s="113">
        <f>SUMIFS('Federal Data'!P2:P501,'Federal Data'!$H2:$H501,"Highway &amp; Railroad Transportation Unallocable",'Federal Data'!$D2:$D501,"Nongrant")</f>
        <v>0</v>
      </c>
      <c r="G64" s="113">
        <f>SUMIFS('Federal Data'!Q2:Q501,'Federal Data'!$H2:$H501,"Highway &amp; Railroad Transportation Unallocable",'Federal Data'!$D2:$D501,"Nongrant")</f>
        <v>0</v>
      </c>
      <c r="H64" s="113">
        <f>SUMIFS('Federal Data'!R2:R501,'Federal Data'!$H2:$H501,"Highway &amp; Railroad Transportation Unallocable",'Federal Data'!$D2:$D501,"Nongrant")</f>
        <v>0</v>
      </c>
      <c r="I64" s="113">
        <f>SUMIFS('Federal Data'!S2:S501,'Federal Data'!$H2:$H501,"Highway &amp; Railroad Transportation Unallocable",'Federal Data'!$D2:$D501,"Nongrant")</f>
        <v>0</v>
      </c>
      <c r="J64" s="113">
        <f>SUMIFS('Federal Data'!T2:T501,'Federal Data'!$H2:$H501,"Highway &amp; Railroad Transportation Unallocable",'Federal Data'!$D2:$D501,"Nongrant")</f>
        <v>0</v>
      </c>
      <c r="K64" s="113">
        <f>SUMIFS('Federal Data'!U2:U501,'Federal Data'!$H2:$H501,"Highway &amp; Railroad Transportation Unallocable",'Federal Data'!$D2:$D501,"Nongrant")</f>
        <v>0</v>
      </c>
      <c r="L64" s="113">
        <f>SUMIFS('Federal Data'!V2:V501,'Federal Data'!$H2:$H501,"Highway &amp; Railroad Transportation Unallocable",'Federal Data'!$D2:$D501,"Nongrant")</f>
        <v>0</v>
      </c>
      <c r="M64" s="113">
        <f>SUMIFS('Federal Data'!W2:W501,'Federal Data'!$H2:$H501,"Highway &amp; Railroad Transportation Unallocable",'Federal Data'!$D2:$D501,"Nongrant")</f>
        <v>0</v>
      </c>
      <c r="N64" s="113">
        <f>SUMIFS('Federal Data'!X2:X501,'Federal Data'!$H2:$H501,"Highway &amp; Railroad Transportation Unallocable",'Federal Data'!$D2:$D501,"Nongrant")</f>
        <v>0</v>
      </c>
      <c r="O64" s="113">
        <f>SUMIFS('Federal Data'!Y2:Y501,'Federal Data'!$H2:$H501,"Highway &amp; Railroad Transportation Unallocable",'Federal Data'!$D2:$D501,"Nongrant")</f>
        <v>0</v>
      </c>
      <c r="P64" s="113">
        <f>SUMIFS('Federal Data'!Z2:Z501,'Federal Data'!$H2:$H501,"Highway &amp; Railroad Transportation Unallocable",'Federal Data'!$D2:$D501,"Nongrant")</f>
        <v>0</v>
      </c>
      <c r="Q64" s="113">
        <f>SUMIFS('Federal Data'!AA2:AA501,'Federal Data'!$H2:$H501,"Highway &amp; Railroad Transportation Unallocable",'Federal Data'!$D2:$D501,"Nongrant")</f>
        <v>0</v>
      </c>
      <c r="R64" s="113">
        <f>SUMIFS('Federal Data'!AB2:AB501,'Federal Data'!$H2:$H501,"Highway &amp; Railroad Transportation Unallocable",'Federal Data'!$D2:$D501,"Nongrant")</f>
        <v>0</v>
      </c>
      <c r="S64" s="113">
        <f>SUMIFS('Federal Data'!AC2:AC501,'Federal Data'!$H2:$H501,"Highway &amp; Railroad Transportation Unallocable",'Federal Data'!$D2:$D501,"Nongrant")</f>
        <v>0</v>
      </c>
      <c r="T64" s="113">
        <f>SUMIFS('Federal Data'!AD2:AD501,'Federal Data'!$H2:$H501,"Highway &amp; Railroad Transportation Unallocable",'Federal Data'!$D2:$D501,"Nongrant")</f>
        <v>0</v>
      </c>
      <c r="U64" s="113">
        <f>SUMIFS('Federal Data'!AE2:AE501,'Federal Data'!$H2:$H501,"Highway &amp; Railroad Transportation Unallocable",'Federal Data'!$D2:$D501,"Nongrant")</f>
        <v>0</v>
      </c>
      <c r="V64" s="113">
        <f>SUMIFS('Federal Data'!AF2:AF501,'Federal Data'!$H2:$H501,"Highway &amp; Railroad Transportation Unallocable",'Federal Data'!$D2:$D501,"Nongrant")</f>
        <v>0</v>
      </c>
      <c r="W64" s="113">
        <f>SUMIFS('Federal Data'!AG2:AG501,'Federal Data'!$H2:$H501,"Highway &amp; Railroad Transportation Unallocable",'Federal Data'!$D2:$D501,"Nongrant")</f>
        <v>0</v>
      </c>
      <c r="X64" s="113">
        <f>SUMIFS('Federal Data'!AH2:AH501,'Federal Data'!$H2:$H501,"Highway &amp; Railroad Transportation Unallocable",'Federal Data'!$D2:$D501,"Nongrant")</f>
        <v>0</v>
      </c>
      <c r="Y64" s="113">
        <f>SUMIFS('Federal Data'!AI2:AI501,'Federal Data'!$H2:$H501,"Highway &amp; Railroad Transportation Unallocable",'Federal Data'!$D2:$D501,"Nongrant")</f>
        <v>0</v>
      </c>
      <c r="Z64" s="113">
        <f>SUMIFS('Federal Data'!AJ2:AJ501,'Federal Data'!$H2:$H501,"Highway &amp; Railroad Transportation Unallocable",'Federal Data'!$D2:$D501,"Nongrant")</f>
        <v>0</v>
      </c>
      <c r="AA64" s="113">
        <f>SUMIFS('Federal Data'!AK2:AK501,'Federal Data'!$H2:$H501,"Highway &amp; Railroad Transportation Unallocable",'Federal Data'!$D2:$D501,"Nongrant")</f>
        <v>0</v>
      </c>
      <c r="AB64" s="113">
        <f>SUMIFS('Federal Data'!AL2:AL501,'Federal Data'!$H2:$H501,"Highway &amp; Railroad Transportation Unallocable",'Federal Data'!$D2:$D501,"Nongrant")</f>
        <v>0</v>
      </c>
      <c r="AC64" s="113">
        <f>SUMIFS('Federal Data'!AM2:AM501,'Federal Data'!$H2:$H501,"Highway &amp; Railroad Transportation Unallocable",'Federal Data'!$D2:$D501,"Nongrant")</f>
        <v>-2000</v>
      </c>
      <c r="AD64" s="113">
        <f>SUMIFS('Federal Data'!AN2:AN501,'Federal Data'!$H2:$H501,"Highway &amp; Railroad Transportation Unallocable",'Federal Data'!$D2:$D501,"Nongrant")</f>
        <v>0</v>
      </c>
      <c r="AE64" s="113">
        <f>SUMIFS('Federal Data'!AO2:AO501,'Federal Data'!$H2:$H501,"Highway &amp; Railroad Transportation Unallocable",'Federal Data'!$D2:$D501,"Nongrant")</f>
        <v>0</v>
      </c>
      <c r="AF64" s="113">
        <f>SUMIFS('Federal Data'!AP2:AP501,'Federal Data'!$H2:$H501,"Highway &amp; Railroad Transportation Unallocable",'Federal Data'!$D2:$D501,"Nongrant")</f>
        <v>-73000</v>
      </c>
      <c r="AG64" s="113">
        <f>SUMIFS('Federal Data'!AQ2:AQ501,'Federal Data'!$H2:$H501,"Highway &amp; Railroad Transportation Unallocable",'Federal Data'!$D2:$D501,"Nongrant")</f>
        <v>10000</v>
      </c>
      <c r="AH64" s="113">
        <f>SUMIFS('Federal Data'!AR2:AR501,'Federal Data'!$H2:$H501,"Highway &amp; Railroad Transportation Unallocable",'Federal Data'!$D2:$D501,"Nongrant")</f>
        <v>31000</v>
      </c>
      <c r="AI64" s="113">
        <f>SUMIFS('Federal Data'!AS2:AS501,'Federal Data'!$H2:$H501,"Highway &amp; Railroad Transportation Unallocable",'Federal Data'!$D2:$D501,"Nongrant")</f>
        <v>546000</v>
      </c>
      <c r="AJ64" s="113">
        <f>SUMIFS('Federal Data'!AT2:AT501,'Federal Data'!$H2:$H501,"Highway &amp; Railroad Transportation Unallocable",'Federal Data'!$D2:$D501,"Nongrant")</f>
        <v>281000</v>
      </c>
      <c r="AK64" s="113">
        <f>SUMIFS('Federal Data'!AU2:AU501,'Federal Data'!$H2:$H501,"Highway &amp; Railroad Transportation Unallocable",'Federal Data'!$D2:$D501,"Nongrant")</f>
        <v>-177000</v>
      </c>
      <c r="AL64" s="113">
        <f>SUMIFS('Federal Data'!AV2:AV501,'Federal Data'!$H2:$H501,"Highway &amp; Railroad Transportation Unallocable",'Federal Data'!$D2:$D501,"Nongrant")</f>
        <v>-92000</v>
      </c>
    </row>
    <row r="65" spans="1:38" outlineLevel="4">
      <c r="A65" s="22" t="str">
        <f>B47</f>
        <v>Support for Veterans</v>
      </c>
      <c r="B65" s="31" t="s">
        <v>99</v>
      </c>
      <c r="C65" s="113">
        <f>SUMIFS('Federal Data'!M2:M501,'Federal Data'!$H2:$H501,"Water Transportation",'Federal Data'!$D2:$D501,"Nongrant")</f>
        <v>2226374</v>
      </c>
      <c r="D65" s="113">
        <f>SUMIFS('Federal Data'!N2:N501,'Federal Data'!$H2:$H501,"Water Transportation",'Federal Data'!$D2:$D501,"Nongrant")</f>
        <v>2380553</v>
      </c>
      <c r="E65" s="113">
        <f>SUMIFS('Federal Data'!O2:O501,'Federal Data'!$H2:$H501,"Water Transportation",'Federal Data'!$D2:$D501,"Nongrant")</f>
        <v>2687267</v>
      </c>
      <c r="F65" s="113">
        <f>SUMIFS('Federal Data'!P2:P501,'Federal Data'!$H2:$H501,"Water Transportation",'Federal Data'!$D2:$D501,"Nongrant")</f>
        <v>2963728</v>
      </c>
      <c r="G65" s="113">
        <f>SUMIFS('Federal Data'!Q2:Q501,'Federal Data'!$H2:$H501,"Water Transportation",'Federal Data'!$D2:$D501,"Nongrant")</f>
        <v>2999653</v>
      </c>
      <c r="H65" s="113">
        <f>SUMIFS('Federal Data'!R2:R501,'Federal Data'!$H2:$H501,"Water Transportation",'Federal Data'!$D2:$D501,"Nongrant")</f>
        <v>3188920</v>
      </c>
      <c r="I65" s="113">
        <f>SUMIFS('Federal Data'!S2:S501,'Federal Data'!$H2:$H501,"Water Transportation",'Federal Data'!$D2:$D501,"Nongrant")</f>
        <v>3941545</v>
      </c>
      <c r="J65" s="113">
        <f>SUMIFS('Federal Data'!T2:T501,'Federal Data'!$H2:$H501,"Water Transportation",'Federal Data'!$D2:$D501,"Nongrant")</f>
        <v>3439007</v>
      </c>
      <c r="K65" s="113">
        <f>SUMIFS('Federal Data'!U2:U501,'Federal Data'!$H2:$H501,"Water Transportation",'Federal Data'!$D2:$D501,"Nongrant")</f>
        <v>3080313</v>
      </c>
      <c r="L65" s="113">
        <f>SUMIFS('Federal Data'!V2:V501,'Federal Data'!$H2:$H501,"Water Transportation",'Federal Data'!$D2:$D501,"Nongrant")</f>
        <v>2888700</v>
      </c>
      <c r="M65" s="113">
        <f>SUMIFS('Federal Data'!W2:W501,'Federal Data'!$H2:$H501,"Water Transportation",'Federal Data'!$D2:$D501,"Nongrant")</f>
        <v>3125473</v>
      </c>
      <c r="N65" s="113">
        <f>SUMIFS('Federal Data'!X2:X501,'Federal Data'!$H2:$H501,"Water Transportation",'Federal Data'!$D2:$D501,"Nongrant")</f>
        <v>3112732</v>
      </c>
      <c r="O65" s="113">
        <f>SUMIFS('Federal Data'!Y2:Y501,'Federal Data'!$H2:$H501,"Water Transportation",'Federal Data'!$D2:$D501,"Nongrant")</f>
        <v>3392489</v>
      </c>
      <c r="P65" s="113">
        <f>SUMIFS('Federal Data'!Z2:Z501,'Federal Data'!$H2:$H501,"Water Transportation",'Federal Data'!$D2:$D501,"Nongrant")</f>
        <v>3385221</v>
      </c>
      <c r="Q65" s="113">
        <f>SUMIFS('Federal Data'!AA2:AA501,'Federal Data'!$H2:$H501,"Water Transportation",'Federal Data'!$D2:$D501,"Nongrant")</f>
        <v>3607520</v>
      </c>
      <c r="R65" s="113">
        <f>SUMIFS('Federal Data'!AB2:AB501,'Federal Data'!$H2:$H501,"Water Transportation",'Federal Data'!$D2:$D501,"Nongrant")</f>
        <v>3669000</v>
      </c>
      <c r="S65" s="113">
        <f>SUMIFS('Federal Data'!AC2:AC501,'Federal Data'!$H2:$H501,"Water Transportation",'Federal Data'!$D2:$D501,"Nongrant")</f>
        <v>3404000</v>
      </c>
      <c r="T65" s="113">
        <f>SUMIFS('Federal Data'!AD2:AD501,'Federal Data'!$H2:$H501,"Water Transportation",'Federal Data'!$D2:$D501,"Nongrant")</f>
        <v>3523000</v>
      </c>
      <c r="U65" s="113">
        <f>SUMIFS('Federal Data'!AE2:AE501,'Federal Data'!$H2:$H501,"Water Transportation",'Federal Data'!$D2:$D501,"Nongrant")</f>
        <v>3486000</v>
      </c>
      <c r="V65" s="113">
        <f>SUMIFS('Federal Data'!AF2:AF501,'Federal Data'!$H2:$H501,"Water Transportation",'Federal Data'!$D2:$D501,"Nongrant")</f>
        <v>3525000</v>
      </c>
      <c r="W65" s="113">
        <f>SUMIFS('Federal Data'!AG2:AG501,'Federal Data'!$H2:$H501,"Water Transportation",'Federal Data'!$D2:$D501,"Nongrant")</f>
        <v>4385000</v>
      </c>
      <c r="X65" s="113">
        <f>SUMIFS('Federal Data'!AH2:AH501,'Federal Data'!$H2:$H501,"Water Transportation",'Federal Data'!$D2:$D501,"Nongrant")</f>
        <v>4400000</v>
      </c>
      <c r="Y65" s="113">
        <f>SUMIFS('Federal Data'!AI2:AI501,'Federal Data'!$H2:$H501,"Water Transportation",'Federal Data'!$D2:$D501,"Nongrant")</f>
        <v>5041000</v>
      </c>
      <c r="Z65" s="113">
        <f>SUMIFS('Federal Data'!AJ2:AJ501,'Federal Data'!$H2:$H501,"Water Transportation",'Federal Data'!$D2:$D501,"Nongrant")</f>
        <v>5907000</v>
      </c>
      <c r="AA65" s="113">
        <f>SUMIFS('Federal Data'!AK2:AK501,'Federal Data'!$H2:$H501,"Water Transportation",'Federal Data'!$D2:$D501,"Nongrant")</f>
        <v>6898000</v>
      </c>
      <c r="AB65" s="113">
        <f>SUMIFS('Federal Data'!AL2:AL501,'Federal Data'!$H2:$H501,"Water Transportation",'Federal Data'!$D2:$D501,"Nongrant")</f>
        <v>6439000</v>
      </c>
      <c r="AC65" s="113">
        <f>SUMIFS('Federal Data'!AM2:AM501,'Federal Data'!$H2:$H501,"Water Transportation",'Federal Data'!$D2:$D501,"Nongrant")</f>
        <v>6688000</v>
      </c>
      <c r="AD65" s="113">
        <f>SUMIFS('Federal Data'!AN2:AN501,'Federal Data'!$H2:$H501,"Water Transportation",'Federal Data'!$D2:$D501,"Nongrant")</f>
        <v>7695000</v>
      </c>
      <c r="AE65" s="113">
        <f>SUMIFS('Federal Data'!AO2:AO501,'Federal Data'!$H2:$H501,"Water Transportation",'Federal Data'!$D2:$D501,"Nongrant")</f>
        <v>8121000</v>
      </c>
      <c r="AF65" s="113">
        <f>SUMIFS('Federal Data'!AP2:AP501,'Federal Data'!$H2:$H501,"Water Transportation",'Federal Data'!$D2:$D501,"Nongrant")</f>
        <v>8983000</v>
      </c>
      <c r="AG65" s="113">
        <f>SUMIFS('Federal Data'!AQ2:AQ501,'Federal Data'!$H2:$H501,"Water Transportation",'Federal Data'!$D2:$D501,"Nongrant")</f>
        <v>9223000</v>
      </c>
      <c r="AH65" s="113">
        <f>SUMIFS('Federal Data'!AR2:AR501,'Federal Data'!$H2:$H501,"Water Transportation",'Federal Data'!$D2:$D501,"Nongrant")</f>
        <v>10238000</v>
      </c>
      <c r="AI65" s="113">
        <f>SUMIFS('Federal Data'!AS2:AS501,'Federal Data'!$H2:$H501,"Water Transportation",'Federal Data'!$D2:$D501,"Nongrant")</f>
        <v>9537000</v>
      </c>
      <c r="AJ65" s="113">
        <f>SUMIFS('Federal Data'!AT2:AT501,'Federal Data'!$H2:$H501,"Water Transportation",'Federal Data'!$D2:$D501,"Nongrant")</f>
        <v>9648000</v>
      </c>
      <c r="AK65" s="113">
        <f>SUMIFS('Federal Data'!AU2:AU501,'Federal Data'!$H2:$H501,"Water Transportation",'Federal Data'!$D2:$D501,"Nongrant")</f>
        <v>9674000</v>
      </c>
      <c r="AL65" s="113">
        <f>SUMIFS('Federal Data'!AV2:AV501,'Federal Data'!$H2:$H501,"Water Transportation",'Federal Data'!$D2:$D501,"Nongrant")</f>
        <v>9894000</v>
      </c>
    </row>
    <row r="66" spans="1:38" outlineLevel="4">
      <c r="A66" s="22" t="str">
        <f>B47</f>
        <v>Support for Veterans</v>
      </c>
      <c r="B66" s="31" t="s">
        <v>98</v>
      </c>
      <c r="C66" s="113">
        <f>SUMIFS('Federal Data'!M2:M501,'Federal Data'!$H2:$H501,"General and Other Transportation",'Federal Data'!$D2:$D501,"Nongrant")</f>
        <v>100911</v>
      </c>
      <c r="D66" s="113">
        <f>SUMIFS('Federal Data'!N2:N501,'Federal Data'!$H2:$H501,"General and Other Transportation",'Federal Data'!$D2:$D501,"Nongrant")</f>
        <v>107467</v>
      </c>
      <c r="E66" s="113">
        <f>SUMIFS('Federal Data'!O2:O501,'Federal Data'!$H2:$H501,"General and Other Transportation",'Federal Data'!$D2:$D501,"Nongrant")</f>
        <v>88818</v>
      </c>
      <c r="F66" s="113">
        <f>SUMIFS('Federal Data'!P2:P501,'Federal Data'!$H2:$H501,"General and Other Transportation",'Federal Data'!$D2:$D501,"Nongrant")</f>
        <v>96495</v>
      </c>
      <c r="G66" s="113">
        <f>SUMIFS('Federal Data'!Q2:Q501,'Federal Data'!$H2:$H501,"General and Other Transportation",'Federal Data'!$D2:$D501,"Nongrant")</f>
        <v>81445</v>
      </c>
      <c r="H66" s="113">
        <f>SUMIFS('Federal Data'!R2:R501,'Federal Data'!$H2:$H501,"General and Other Transportation",'Federal Data'!$D2:$D501,"Nongrant")</f>
        <v>132704</v>
      </c>
      <c r="I66" s="113">
        <f>SUMIFS('Federal Data'!S2:S501,'Federal Data'!$H2:$H501,"General and Other Transportation",'Federal Data'!$D2:$D501,"Nongrant")</f>
        <v>131299</v>
      </c>
      <c r="J66" s="113">
        <f>SUMIFS('Federal Data'!T2:T501,'Federal Data'!$H2:$H501,"General and Other Transportation",'Federal Data'!$D2:$D501,"Nongrant")</f>
        <v>86570</v>
      </c>
      <c r="K66" s="113">
        <f>SUMIFS('Federal Data'!U2:U501,'Federal Data'!$H2:$H501,"General and Other Transportation",'Federal Data'!$D2:$D501,"Nongrant")</f>
        <v>113443</v>
      </c>
      <c r="L66" s="113">
        <f>SUMIFS('Federal Data'!V2:V501,'Federal Data'!$H2:$H501,"General and Other Transportation",'Federal Data'!$D2:$D501,"Nongrant")</f>
        <v>120179</v>
      </c>
      <c r="M66" s="113">
        <f>SUMIFS('Federal Data'!W2:W501,'Federal Data'!$H2:$H501,"General and Other Transportation",'Federal Data'!$D2:$D501,"Nongrant")</f>
        <v>142074</v>
      </c>
      <c r="N66" s="113">
        <f>SUMIFS('Federal Data'!X2:X501,'Federal Data'!$H2:$H501,"General and Other Transportation",'Federal Data'!$D2:$D501,"Nongrant")</f>
        <v>217813</v>
      </c>
      <c r="O66" s="113">
        <f>SUMIFS('Federal Data'!Y2:Y501,'Federal Data'!$H2:$H501,"General and Other Transportation",'Federal Data'!$D2:$D501,"Nongrant")</f>
        <v>237665</v>
      </c>
      <c r="P66" s="113">
        <f>SUMIFS('Federal Data'!Z2:Z501,'Federal Data'!$H2:$H501,"General and Other Transportation",'Federal Data'!$D2:$D501,"Nongrant")</f>
        <v>274300</v>
      </c>
      <c r="Q66" s="113">
        <f>SUMIFS('Federal Data'!AA2:AA501,'Federal Data'!$H2:$H501,"General and Other Transportation",'Federal Data'!$D2:$D501,"Nongrant")</f>
        <v>322302</v>
      </c>
      <c r="R66" s="113">
        <f>SUMIFS('Federal Data'!AB2:AB501,'Federal Data'!$H2:$H501,"General and Other Transportation",'Federal Data'!$D2:$D501,"Nongrant")</f>
        <v>286000</v>
      </c>
      <c r="S66" s="113">
        <f>SUMIFS('Federal Data'!AC2:AC501,'Federal Data'!$H2:$H501,"General and Other Transportation",'Federal Data'!$D2:$D501,"Nongrant")</f>
        <v>303000</v>
      </c>
      <c r="T66" s="113">
        <f>SUMIFS('Federal Data'!AD2:AD501,'Federal Data'!$H2:$H501,"General and Other Transportation",'Federal Data'!$D2:$D501,"Nongrant")</f>
        <v>262000</v>
      </c>
      <c r="U66" s="113">
        <f>SUMIFS('Federal Data'!AE2:AE501,'Federal Data'!$H2:$H501,"General and Other Transportation",'Federal Data'!$D2:$D501,"Nongrant")</f>
        <v>180000</v>
      </c>
      <c r="V66" s="113">
        <f>SUMIFS('Federal Data'!AF2:AF501,'Federal Data'!$H2:$H501,"General and Other Transportation",'Federal Data'!$D2:$D501,"Nongrant")</f>
        <v>193000</v>
      </c>
      <c r="W66" s="113">
        <f>SUMIFS('Federal Data'!AG2:AG501,'Federal Data'!$H2:$H501,"General and Other Transportation",'Federal Data'!$D2:$D501,"Nongrant")</f>
        <v>169000</v>
      </c>
      <c r="X66" s="113">
        <f>SUMIFS('Federal Data'!AH2:AH501,'Federal Data'!$H2:$H501,"General and Other Transportation",'Federal Data'!$D2:$D501,"Nongrant")</f>
        <v>242000</v>
      </c>
      <c r="Y66" s="113">
        <f>SUMIFS('Federal Data'!AI2:AI501,'Federal Data'!$H2:$H501,"General and Other Transportation",'Federal Data'!$D2:$D501,"Nongrant")</f>
        <v>64000</v>
      </c>
      <c r="Z66" s="113">
        <f>SUMIFS('Federal Data'!AJ2:AJ501,'Federal Data'!$H2:$H501,"General and Other Transportation",'Federal Data'!$D2:$D501,"Nongrant")</f>
        <v>297000</v>
      </c>
      <c r="AA66" s="113">
        <f>SUMIFS('Federal Data'!AK2:AK501,'Federal Data'!$H2:$H501,"General and Other Transportation",'Federal Data'!$D2:$D501,"Nongrant")</f>
        <v>214000</v>
      </c>
      <c r="AB66" s="113">
        <f>SUMIFS('Federal Data'!AL2:AL501,'Federal Data'!$H2:$H501,"General and Other Transportation",'Federal Data'!$D2:$D501,"Nongrant")</f>
        <v>312000</v>
      </c>
      <c r="AC66" s="113">
        <f>SUMIFS('Federal Data'!AM2:AM501,'Federal Data'!$H2:$H501,"General and Other Transportation",'Federal Data'!$D2:$D501,"Nongrant")</f>
        <v>323000</v>
      </c>
      <c r="AD66" s="113">
        <f>SUMIFS('Federal Data'!AN2:AN501,'Federal Data'!$H2:$H501,"General and Other Transportation",'Federal Data'!$D2:$D501,"Nongrant")</f>
        <v>277000</v>
      </c>
      <c r="AE66" s="113">
        <f>SUMIFS('Federal Data'!AO2:AO501,'Federal Data'!$H2:$H501,"General and Other Transportation",'Federal Data'!$D2:$D501,"Nongrant")</f>
        <v>95000</v>
      </c>
      <c r="AF66" s="113">
        <f>SUMIFS('Federal Data'!AP2:AP501,'Federal Data'!$H2:$H501,"General and Other Transportation",'Federal Data'!$D2:$D501,"Nongrant")</f>
        <v>259000</v>
      </c>
      <c r="AG66" s="113">
        <f>SUMIFS('Federal Data'!AQ2:AQ501,'Federal Data'!$H2:$H501,"General and Other Transportation",'Federal Data'!$D2:$D501,"Nongrant")</f>
        <v>376000</v>
      </c>
      <c r="AH66" s="113">
        <f>SUMIFS('Federal Data'!AR2:AR501,'Federal Data'!$H2:$H501,"General and Other Transportation",'Federal Data'!$D2:$D501,"Nongrant")</f>
        <v>317000</v>
      </c>
      <c r="AI66" s="113">
        <f>SUMIFS('Federal Data'!AS2:AS501,'Federal Data'!$H2:$H501,"General and Other Transportation",'Federal Data'!$D2:$D501,"Nongrant")</f>
        <v>306000</v>
      </c>
      <c r="AJ66" s="113">
        <f>SUMIFS('Federal Data'!AT2:AT501,'Federal Data'!$H2:$H501,"General and Other Transportation",'Federal Data'!$D2:$D501,"Nongrant")</f>
        <v>392000</v>
      </c>
      <c r="AK66" s="113">
        <f>SUMIFS('Federal Data'!AU2:AU501,'Federal Data'!$H2:$H501,"General and Other Transportation",'Federal Data'!$D2:$D501,"Nongrant")</f>
        <v>358000</v>
      </c>
      <c r="AL66" s="113">
        <f>SUMIFS('Federal Data'!AV2:AV501,'Federal Data'!$H2:$H501,"General and Other Transportation",'Federal Data'!$D2:$D501,"Nongrant")</f>
        <v>330000</v>
      </c>
    </row>
    <row r="67" spans="1:38" outlineLevel="3">
      <c r="A67" s="22" t="str">
        <f>B59</f>
        <v>Economy and Infrastructure</v>
      </c>
      <c r="B67" s="29" t="s">
        <v>327</v>
      </c>
      <c r="C67" s="113">
        <f>SUMIFS('Federal Data'!M2:M501,'Federal Data'!$G2:$G501,"General Commerce",'Federal Data'!$D2:$D501,"Nongrant")</f>
        <v>2127294</v>
      </c>
      <c r="D67" s="113">
        <f>SUMIFS('Federal Data'!N2:N501,'Federal Data'!$G2:$G501,"General Commerce",'Federal Data'!$D2:$D501,"Nongrant")</f>
        <v>1503534</v>
      </c>
      <c r="E67" s="113">
        <f>SUMIFS('Federal Data'!O2:O501,'Federal Data'!$G2:$G501,"General Commerce",'Federal Data'!$D2:$D501,"Nongrant")</f>
        <v>1559586</v>
      </c>
      <c r="F67" s="113">
        <f>SUMIFS('Federal Data'!P2:P501,'Federal Data'!$G2:$G501,"General Commerce",'Federal Data'!$D2:$D501,"Nongrant")</f>
        <v>1573562</v>
      </c>
      <c r="G67" s="113">
        <f>SUMIFS('Federal Data'!Q2:Q501,'Federal Data'!$G2:$G501,"General Commerce",'Federal Data'!$D2:$D501,"Nongrant")</f>
        <v>1507970</v>
      </c>
      <c r="H67" s="113">
        <f>SUMIFS('Federal Data'!R2:R501,'Federal Data'!$G2:$G501,"General Commerce",'Federal Data'!$D2:$D501,"Nongrant")</f>
        <v>1556934</v>
      </c>
      <c r="I67" s="113">
        <f>SUMIFS('Federal Data'!S2:S501,'Federal Data'!$G2:$G501,"General Commerce",'Federal Data'!$D2:$D501,"Nongrant")</f>
        <v>1330410</v>
      </c>
      <c r="J67" s="113">
        <f>SUMIFS('Federal Data'!T2:T501,'Federal Data'!$G2:$G501,"General Commerce",'Federal Data'!$D2:$D501,"Nongrant")</f>
        <v>933277</v>
      </c>
      <c r="K67" s="113">
        <f>SUMIFS('Federal Data'!U2:U501,'Federal Data'!$G2:$G501,"General Commerce",'Federal Data'!$D2:$D501,"Nongrant")</f>
        <v>1043149</v>
      </c>
      <c r="L67" s="113">
        <f>SUMIFS('Federal Data'!V2:V501,'Federal Data'!$G2:$G501,"General Commerce",'Federal Data'!$D2:$D501,"Nongrant")</f>
        <v>1382736</v>
      </c>
      <c r="M67" s="113">
        <f>SUMIFS('Federal Data'!W2:W501,'Federal Data'!$G2:$G501,"General Commerce",'Federal Data'!$D2:$D501,"Nongrant")</f>
        <v>2362755</v>
      </c>
      <c r="N67" s="113">
        <f>SUMIFS('Federal Data'!X2:X501,'Federal Data'!$G2:$G501,"General Commerce",'Federal Data'!$D2:$D501,"Nongrant")</f>
        <v>1492963</v>
      </c>
      <c r="O67" s="113">
        <f>SUMIFS('Federal Data'!Y2:Y501,'Federal Data'!$G2:$G501,"General Commerce",'Federal Data'!$D2:$D501,"Nongrant")</f>
        <v>1494836</v>
      </c>
      <c r="P67" s="113">
        <f>SUMIFS('Federal Data'!Z2:Z501,'Federal Data'!$G2:$G501,"General Commerce",'Federal Data'!$D2:$D501,"Nongrant")</f>
        <v>1735192</v>
      </c>
      <c r="Q67" s="113">
        <f>SUMIFS('Federal Data'!AA2:AA501,'Federal Data'!$G2:$G501,"General Commerce",'Federal Data'!$D2:$D501,"Nongrant")</f>
        <v>1372314</v>
      </c>
      <c r="R67" s="113">
        <f>SUMIFS('Federal Data'!AB2:AB501,'Federal Data'!$G2:$G501,"General Commerce",'Federal Data'!$D2:$D501,"Nongrant")</f>
        <v>1254000</v>
      </c>
      <c r="S67" s="113">
        <f>SUMIFS('Federal Data'!AC2:AC501,'Federal Data'!$G2:$G501,"General Commerce",'Federal Data'!$D2:$D501,"Nongrant")</f>
        <v>1579000</v>
      </c>
      <c r="T67" s="113">
        <f>SUMIFS('Federal Data'!AD2:AD501,'Federal Data'!$G2:$G501,"General Commerce",'Federal Data'!$D2:$D501,"Nongrant")</f>
        <v>1182000</v>
      </c>
      <c r="U67" s="113">
        <f>SUMIFS('Federal Data'!AE2:AE501,'Federal Data'!$G2:$G501,"General Commerce",'Federal Data'!$D2:$D501,"Nongrant")</f>
        <v>1049000</v>
      </c>
      <c r="V67" s="113">
        <f>SUMIFS('Federal Data'!AF2:AF501,'Federal Data'!$G2:$G501,"General Commerce",'Federal Data'!$D2:$D501,"Nongrant")</f>
        <v>1467000</v>
      </c>
      <c r="W67" s="113">
        <f>SUMIFS('Federal Data'!AG2:AG501,'Federal Data'!$G2:$G501,"General Commerce",'Federal Data'!$D2:$D501,"Nongrant")</f>
        <v>4923000</v>
      </c>
      <c r="X67" s="113">
        <f>SUMIFS('Federal Data'!AH2:AH501,'Federal Data'!$G2:$G501,"General Commerce",'Federal Data'!$D2:$D501,"Nongrant")</f>
        <v>1679000</v>
      </c>
      <c r="Y67" s="113">
        <f>SUMIFS('Federal Data'!AI2:AI501,'Federal Data'!$G2:$G501,"General Commerce",'Federal Data'!$D2:$D501,"Nongrant")</f>
        <v>2030000</v>
      </c>
      <c r="Z67" s="113">
        <f>SUMIFS('Federal Data'!AJ2:AJ501,'Federal Data'!$G2:$G501,"General Commerce",'Federal Data'!$D2:$D501,"Nongrant")</f>
        <v>3012000</v>
      </c>
      <c r="AA67" s="113">
        <f>SUMIFS('Federal Data'!AK2:AK501,'Federal Data'!$G2:$G501,"General Commerce",'Federal Data'!$D2:$D501,"Nongrant")</f>
        <v>4759000</v>
      </c>
      <c r="AB67" s="113">
        <f>SUMIFS('Federal Data'!AL2:AL501,'Federal Data'!$G2:$G501,"General Commerce",'Federal Data'!$D2:$D501,"Nongrant")</f>
        <v>3743000</v>
      </c>
      <c r="AC67" s="113">
        <f>SUMIFS('Federal Data'!AM2:AM501,'Federal Data'!$G2:$G501,"General Commerce",'Federal Data'!$D2:$D501,"Nongrant")</f>
        <v>2273000</v>
      </c>
      <c r="AD67" s="113">
        <f>SUMIFS('Federal Data'!AN2:AN501,'Federal Data'!$G2:$G501,"General Commerce",'Federal Data'!$D2:$D501,"Nongrant")</f>
        <v>2506000</v>
      </c>
      <c r="AE67" s="113">
        <f>SUMIFS('Federal Data'!AO2:AO501,'Federal Data'!$G2:$G501,"General Commerce",'Federal Data'!$D2:$D501,"Nongrant")</f>
        <v>3136000</v>
      </c>
      <c r="AF67" s="113">
        <f>SUMIFS('Federal Data'!AP2:AP501,'Federal Data'!$G2:$G501,"General Commerce",'Federal Data'!$D2:$D501,"Nongrant")</f>
        <v>5789000</v>
      </c>
      <c r="AG67" s="113">
        <f>SUMIFS('Federal Data'!AQ2:AQ501,'Federal Data'!$G2:$G501,"General Commerce",'Federal Data'!$D2:$D501,"Nongrant")</f>
        <v>13811000</v>
      </c>
      <c r="AH67" s="113">
        <f>SUMIFS('Federal Data'!AR2:AR501,'Federal Data'!$G2:$G501,"General Commerce",'Federal Data'!$D2:$D501,"Nongrant")</f>
        <v>8795000</v>
      </c>
      <c r="AI67" s="113">
        <f>SUMIFS('Federal Data'!AS2:AS501,'Federal Data'!$G2:$G501,"General Commerce",'Federal Data'!$D2:$D501,"Nongrant")</f>
        <v>5272000</v>
      </c>
      <c r="AJ67" s="113">
        <f>SUMIFS('Federal Data'!AT2:AT501,'Federal Data'!$G2:$G501,"General Commerce",'Federal Data'!$D2:$D501,"Nongrant")</f>
        <v>2890000</v>
      </c>
      <c r="AK67" s="113">
        <f>SUMIFS('Federal Data'!AU2:AU501,'Federal Data'!$G2:$G501,"General Commerce",'Federal Data'!$D2:$D501,"Nongrant")</f>
        <v>2592000</v>
      </c>
      <c r="AL67" s="113">
        <f>SUMIFS('Federal Data'!AV2:AV501,'Federal Data'!$G2:$G501,"General Commerce",'Federal Data'!$D2:$D501,"Nongrant")</f>
        <v>2004000</v>
      </c>
    </row>
    <row r="68" spans="1:38" outlineLevel="3">
      <c r="A68" s="22" t="str">
        <f>B59</f>
        <v>Economy and Infrastructure</v>
      </c>
      <c r="B68" s="29" t="s">
        <v>66</v>
      </c>
      <c r="C68" s="113">
        <f>SUMIFS('Federal Data'!M2:M501,'Federal Data'!$G2:$G501,"Banking and Finance",'Federal Data'!$D2:$D501,"Nongrant")</f>
        <v>-258658</v>
      </c>
      <c r="D68" s="113">
        <f>SUMIFS('Federal Data'!N2:N501,'Federal Data'!$G2:$G501,"Banking and Finance",'Federal Data'!$D2:$D501,"Nongrant")</f>
        <v>-1220755</v>
      </c>
      <c r="E68" s="113">
        <f>SUMIFS('Federal Data'!O2:O501,'Federal Data'!$G2:$G501,"Banking and Finance",'Federal Data'!$D2:$D501,"Nongrant")</f>
        <v>-1948729</v>
      </c>
      <c r="F68" s="113">
        <f>SUMIFS('Federal Data'!P2:P501,'Federal Data'!$G2:$G501,"Banking and Finance",'Federal Data'!$D2:$D501,"Nongrant")</f>
        <v>-1542021</v>
      </c>
      <c r="G68" s="113">
        <f>SUMIFS('Federal Data'!Q2:Q501,'Federal Data'!$G2:$G501,"Banking and Finance",'Federal Data'!$D2:$D501,"Nongrant")</f>
        <v>-590554</v>
      </c>
      <c r="H68" s="113">
        <f>SUMIFS('Federal Data'!R2:R501,'Federal Data'!$G2:$G501,"Banking and Finance",'Federal Data'!$D2:$D501,"Nongrant")</f>
        <v>-2169768</v>
      </c>
      <c r="I68" s="113">
        <f>SUMIFS('Federal Data'!S2:S501,'Federal Data'!$G2:$G501,"Banking and Finance",'Federal Data'!$D2:$D501,"Nongrant")</f>
        <v>1422164</v>
      </c>
      <c r="J68" s="113">
        <f>SUMIFS('Federal Data'!T2:T501,'Federal Data'!$G2:$G501,"Banking and Finance",'Federal Data'!$D2:$D501,"Nongrant")</f>
        <v>3135405</v>
      </c>
      <c r="K68" s="113">
        <f>SUMIFS('Federal Data'!U2:U501,'Federal Data'!$G2:$G501,"Banking and Finance",'Federal Data'!$D2:$D501,"Nongrant")</f>
        <v>10051919</v>
      </c>
      <c r="L68" s="113">
        <f>SUMIFS('Federal Data'!V2:V501,'Federal Data'!$G2:$G501,"Banking and Finance",'Federal Data'!$D2:$D501,"Nongrant")</f>
        <v>22030787</v>
      </c>
      <c r="M68" s="113">
        <f>SUMIFS('Federal Data'!W2:W501,'Federal Data'!$G2:$G501,"Banking and Finance",'Federal Data'!$D2:$D501,"Nongrant")</f>
        <v>57921792</v>
      </c>
      <c r="N68" s="113">
        <f>SUMIFS('Federal Data'!X2:X501,'Federal Data'!$G2:$G501,"Banking and Finance",'Federal Data'!$D2:$D501,"Nongrant")</f>
        <v>66277369</v>
      </c>
      <c r="O68" s="113">
        <f>SUMIFS('Federal Data'!Y2:Y501,'Federal Data'!$G2:$G501,"Banking and Finance",'Federal Data'!$D2:$D501,"Nongrant")</f>
        <v>2559177</v>
      </c>
      <c r="P68" s="113">
        <f>SUMIFS('Federal Data'!Z2:Z501,'Federal Data'!$G2:$G501,"Banking and Finance",'Federal Data'!$D2:$D501,"Nongrant")</f>
        <v>-27908193</v>
      </c>
      <c r="Q68" s="113">
        <f>SUMIFS('Federal Data'!AA2:AA501,'Federal Data'!$G2:$G501,"Banking and Finance",'Federal Data'!$D2:$D501,"Nongrant")</f>
        <v>-7522106</v>
      </c>
      <c r="R68" s="113">
        <f>SUMIFS('Federal Data'!AB2:AB501,'Federal Data'!$G2:$G501,"Banking and Finance",'Federal Data'!$D2:$D501,"Nongrant")</f>
        <v>-17775000</v>
      </c>
      <c r="S68" s="113">
        <f>SUMIFS('Federal Data'!AC2:AC501,'Federal Data'!$G2:$G501,"Banking and Finance",'Federal Data'!$D2:$D501,"Nongrant")</f>
        <v>-8342000</v>
      </c>
      <c r="T68" s="113">
        <f>SUMIFS('Federal Data'!AD2:AD501,'Federal Data'!$G2:$G501,"Banking and Finance",'Federal Data'!$D2:$D501,"Nongrant")</f>
        <v>-14330000</v>
      </c>
      <c r="U68" s="113">
        <f>SUMIFS('Federal Data'!AE2:AE501,'Federal Data'!$G2:$G501,"Banking and Finance",'Federal Data'!$D2:$D501,"Nongrant")</f>
        <v>-4310000</v>
      </c>
      <c r="V68" s="113">
        <f>SUMIFS('Federal Data'!AF2:AF501,'Federal Data'!$G2:$G501,"Banking and Finance",'Federal Data'!$D2:$D501,"Nongrant")</f>
        <v>-5219000</v>
      </c>
      <c r="W68" s="113">
        <f>SUMIFS('Federal Data'!AG2:AG501,'Federal Data'!$G2:$G501,"Banking and Finance",'Federal Data'!$D2:$D501,"Nongrant")</f>
        <v>-2988000</v>
      </c>
      <c r="X68" s="113">
        <f>SUMIFS('Federal Data'!AH2:AH501,'Federal Data'!$G2:$G501,"Banking and Finance",'Federal Data'!$D2:$D501,"Nongrant")</f>
        <v>-1502000</v>
      </c>
      <c r="Y68" s="113">
        <f>SUMIFS('Federal Data'!AI2:AI501,'Federal Data'!$G2:$G501,"Banking and Finance",'Federal Data'!$D2:$D501,"Nongrant")</f>
        <v>-952000</v>
      </c>
      <c r="Z68" s="113">
        <f>SUMIFS('Federal Data'!AJ2:AJ501,'Federal Data'!$G2:$G501,"Banking and Finance",'Federal Data'!$D2:$D501,"Nongrant")</f>
        <v>-1344000</v>
      </c>
      <c r="AA68" s="113">
        <f>SUMIFS('Federal Data'!AK2:AK501,'Federal Data'!$G2:$G501,"Banking and Finance",'Federal Data'!$D2:$D501,"Nongrant")</f>
        <v>-1877000</v>
      </c>
      <c r="AB68" s="113">
        <f>SUMIFS('Federal Data'!AL2:AL501,'Federal Data'!$G2:$G501,"Banking and Finance",'Federal Data'!$D2:$D501,"Nongrant")</f>
        <v>-1270000</v>
      </c>
      <c r="AC68" s="113">
        <f>SUMIFS('Federal Data'!AM2:AM501,'Federal Data'!$G2:$G501,"Banking and Finance",'Federal Data'!$D2:$D501,"Nongrant")</f>
        <v>-1006000</v>
      </c>
      <c r="AD68" s="113">
        <f>SUMIFS('Federal Data'!AN2:AN501,'Federal Data'!$G2:$G501,"Banking and Finance",'Federal Data'!$D2:$D501,"Nongrant")</f>
        <v>-1389000</v>
      </c>
      <c r="AE68" s="113">
        <f>SUMIFS('Federal Data'!AO2:AO501,'Federal Data'!$G2:$G501,"Banking and Finance",'Federal Data'!$D2:$D501,"Nongrant")</f>
        <v>18827000</v>
      </c>
      <c r="AF68" s="113">
        <f>SUMIFS('Federal Data'!AP2:AP501,'Federal Data'!$G2:$G501,"Banking and Finance",'Federal Data'!$D2:$D501,"Nongrant")</f>
        <v>172792000</v>
      </c>
      <c r="AG68" s="113">
        <f>SUMIFS('Federal Data'!AQ2:AQ501,'Federal Data'!$G2:$G501,"Banking and Finance",'Federal Data'!$D2:$D501,"Nongrant")</f>
        <v>-142029000</v>
      </c>
      <c r="AH68" s="113">
        <f>SUMIFS('Federal Data'!AR2:AR501,'Federal Data'!$G2:$G501,"Banking and Finance",'Federal Data'!$D2:$D501,"Nongrant")</f>
        <v>-47390000</v>
      </c>
      <c r="AI68" s="113">
        <f>SUMIFS('Federal Data'!AS2:AS501,'Federal Data'!$G2:$G501,"Banking and Finance",'Federal Data'!$D2:$D501,"Nongrant")</f>
        <v>28221000</v>
      </c>
      <c r="AJ68" s="113">
        <f>SUMIFS('Federal Data'!AT2:AT501,'Federal Data'!$G2:$G501,"Banking and Finance",'Federal Data'!$D2:$D501,"Nongrant")</f>
        <v>-7811000</v>
      </c>
      <c r="AK68" s="113">
        <f>SUMIFS('Federal Data'!AU2:AU501,'Federal Data'!$G2:$G501,"Banking and Finance",'Federal Data'!$D2:$D501,"Nongrant")</f>
        <v>-21359000</v>
      </c>
      <c r="AL68" s="113">
        <f>SUMIFS('Federal Data'!AV2:AV501,'Federal Data'!$G2:$G501,"Banking and Finance",'Federal Data'!$D2:$D501,"Nongrant")</f>
        <v>-13790000</v>
      </c>
    </row>
    <row r="69" spans="1:38" outlineLevel="4">
      <c r="A69" s="22" t="str">
        <f>B68</f>
        <v>Banking and Finance</v>
      </c>
      <c r="B69" s="31" t="s">
        <v>100</v>
      </c>
      <c r="C69" s="113">
        <f>SUMIFS('Federal Data'!M2:M501,'Federal Data'!$H2:$H501,"Deposit Insurance",'Federal Data'!$D2:$D501,"Nongrant")</f>
        <v>-284839</v>
      </c>
      <c r="D69" s="113">
        <f>SUMIFS('Federal Data'!N2:N501,'Federal Data'!$H2:$H501,"Deposit Insurance",'Federal Data'!$D2:$D501,"Nongrant")</f>
        <v>-1371379</v>
      </c>
      <c r="E69" s="113">
        <f>SUMIFS('Federal Data'!O2:O501,'Federal Data'!$H2:$H501,"Deposit Insurance",'Federal Data'!$D2:$D501,"Nongrant")</f>
        <v>-2056070</v>
      </c>
      <c r="F69" s="113">
        <f>SUMIFS('Federal Data'!P2:P501,'Federal Data'!$H2:$H501,"Deposit Insurance",'Federal Data'!$D2:$D501,"Nongrant")</f>
        <v>-1252988</v>
      </c>
      <c r="G69" s="113">
        <f>SUMIFS('Federal Data'!Q2:Q501,'Federal Data'!$H2:$H501,"Deposit Insurance",'Federal Data'!$D2:$D501,"Nongrant")</f>
        <v>-615850</v>
      </c>
      <c r="H69" s="113">
        <f>SUMIFS('Federal Data'!R2:R501,'Federal Data'!$H2:$H501,"Deposit Insurance",'Federal Data'!$D2:$D501,"Nongrant")</f>
        <v>-2197646</v>
      </c>
      <c r="I69" s="113">
        <f>SUMIFS('Federal Data'!S2:S501,'Federal Data'!$H2:$H501,"Deposit Insurance",'Federal Data'!$D2:$D501,"Nongrant")</f>
        <v>1394289</v>
      </c>
      <c r="J69" s="113">
        <f>SUMIFS('Federal Data'!T2:T501,'Federal Data'!$H2:$H501,"Deposit Insurance",'Federal Data'!$D2:$D501,"Nongrant")</f>
        <v>3106386</v>
      </c>
      <c r="K69" s="113">
        <f>SUMIFS('Federal Data'!U2:U501,'Federal Data'!$H2:$H501,"Deposit Insurance",'Federal Data'!$D2:$D501,"Nongrant")</f>
        <v>10019627</v>
      </c>
      <c r="L69" s="113">
        <f>SUMIFS('Federal Data'!V2:V501,'Federal Data'!$H2:$H501,"Deposit Insurance",'Federal Data'!$D2:$D501,"Nongrant")</f>
        <v>21996374</v>
      </c>
      <c r="M69" s="113">
        <f>SUMIFS('Federal Data'!W2:W501,'Federal Data'!$H2:$H501,"Deposit Insurance",'Federal Data'!$D2:$D501,"Nongrant")</f>
        <v>57891134</v>
      </c>
      <c r="N69" s="113">
        <f>SUMIFS('Federal Data'!X2:X501,'Federal Data'!$H2:$H501,"Deposit Insurance",'Federal Data'!$D2:$D501,"Nongrant")</f>
        <v>66232100</v>
      </c>
      <c r="O69" s="113">
        <f>SUMIFS('Federal Data'!Y2:Y501,'Federal Data'!$H2:$H501,"Deposit Insurance",'Federal Data'!$D2:$D501,"Nongrant")</f>
        <v>2511325</v>
      </c>
      <c r="P69" s="113">
        <f>SUMIFS('Federal Data'!Z2:Z501,'Federal Data'!$H2:$H501,"Deposit Insurance",'Federal Data'!$D2:$D501,"Nongrant")</f>
        <v>-27957306</v>
      </c>
      <c r="Q69" s="113">
        <f>SUMIFS('Federal Data'!AA2:AA501,'Federal Data'!$H2:$H501,"Deposit Insurance",'Federal Data'!$D2:$D501,"Nongrant")</f>
        <v>-7569674</v>
      </c>
      <c r="R69" s="113">
        <f>SUMIFS('Federal Data'!AB2:AB501,'Federal Data'!$H2:$H501,"Deposit Insurance",'Federal Data'!$D2:$D501,"Nongrant")</f>
        <v>-17827000</v>
      </c>
      <c r="S69" s="113">
        <f>SUMIFS('Federal Data'!AC2:AC501,'Federal Data'!$H2:$H501,"Deposit Insurance",'Federal Data'!$D2:$D501,"Nongrant")</f>
        <v>-8394000</v>
      </c>
      <c r="T69" s="113">
        <f>SUMIFS('Federal Data'!AD2:AD501,'Federal Data'!$H2:$H501,"Deposit Insurance",'Federal Data'!$D2:$D501,"Nongrant")</f>
        <v>-14384000</v>
      </c>
      <c r="U69" s="113">
        <f>SUMIFS('Federal Data'!AE2:AE501,'Federal Data'!$H2:$H501,"Deposit Insurance",'Federal Data'!$D2:$D501,"Nongrant")</f>
        <v>-4371000</v>
      </c>
      <c r="V69" s="113">
        <f>SUMIFS('Federal Data'!AF2:AF501,'Federal Data'!$H2:$H501,"Deposit Insurance",'Federal Data'!$D2:$D501,"Nongrant")</f>
        <v>-5280000</v>
      </c>
      <c r="W69" s="113">
        <f>SUMIFS('Federal Data'!AG2:AG501,'Federal Data'!$H2:$H501,"Deposit Insurance",'Federal Data'!$D2:$D501,"Nongrant")</f>
        <v>-3053000</v>
      </c>
      <c r="X69" s="113">
        <f>SUMIFS('Federal Data'!AH2:AH501,'Federal Data'!$H2:$H501,"Deposit Insurance",'Federal Data'!$D2:$D501,"Nongrant")</f>
        <v>-1569000</v>
      </c>
      <c r="Y69" s="113">
        <f>SUMIFS('Federal Data'!AI2:AI501,'Federal Data'!$H2:$H501,"Deposit Insurance",'Federal Data'!$D2:$D501,"Nongrant")</f>
        <v>-1026000</v>
      </c>
      <c r="Z69" s="113">
        <f>SUMIFS('Federal Data'!AJ2:AJ501,'Federal Data'!$H2:$H501,"Deposit Insurance",'Federal Data'!$D2:$D501,"Nongrant")</f>
        <v>-1430000</v>
      </c>
      <c r="AA69" s="113">
        <f>SUMIFS('Federal Data'!AK2:AK501,'Federal Data'!$H2:$H501,"Deposit Insurance",'Federal Data'!$D2:$D501,"Nongrant")</f>
        <v>-1976000</v>
      </c>
      <c r="AB69" s="113">
        <f>SUMIFS('Federal Data'!AL2:AL501,'Federal Data'!$H2:$H501,"Deposit Insurance",'Federal Data'!$D2:$D501,"Nongrant")</f>
        <v>-1371000</v>
      </c>
      <c r="AC69" s="113">
        <f>SUMIFS('Federal Data'!AM2:AM501,'Federal Data'!$H2:$H501,"Deposit Insurance",'Federal Data'!$D2:$D501,"Nongrant")</f>
        <v>-1110000</v>
      </c>
      <c r="AD69" s="113">
        <f>SUMIFS('Federal Data'!AN2:AN501,'Federal Data'!$H2:$H501,"Deposit Insurance",'Federal Data'!$D2:$D501,"Nongrant")</f>
        <v>-1492000</v>
      </c>
      <c r="AE69" s="113">
        <f>SUMIFS('Federal Data'!AO2:AO501,'Federal Data'!$H2:$H501,"Deposit Insurance",'Federal Data'!$D2:$D501,"Nongrant")</f>
        <v>18760000</v>
      </c>
      <c r="AF69" s="113">
        <f>SUMIFS('Federal Data'!AP2:AP501,'Federal Data'!$H2:$H501,"Deposit Insurance",'Federal Data'!$D2:$D501,"Nongrant")</f>
        <v>22573000</v>
      </c>
      <c r="AG69" s="113">
        <f>SUMIFS('Federal Data'!AQ2:AQ501,'Federal Data'!$H2:$H501,"Deposit Insurance",'Federal Data'!$D2:$D501,"Nongrant")</f>
        <v>-32033000</v>
      </c>
      <c r="AH69" s="113">
        <f>SUMIFS('Federal Data'!AR2:AR501,'Federal Data'!$H2:$H501,"Deposit Insurance",'Federal Data'!$D2:$D501,"Nongrant")</f>
        <v>-8697000</v>
      </c>
      <c r="AI69" s="113">
        <f>SUMIFS('Federal Data'!AS2:AS501,'Federal Data'!$H2:$H501,"Deposit Insurance",'Federal Data'!$D2:$D501,"Nongrant")</f>
        <v>6666000</v>
      </c>
      <c r="AJ69" s="113">
        <f>SUMIFS('Federal Data'!AT2:AT501,'Federal Data'!$H2:$H501,"Deposit Insurance",'Federal Data'!$D2:$D501,"Nongrant")</f>
        <v>4292000</v>
      </c>
      <c r="AK69" s="113">
        <f>SUMIFS('Federal Data'!AU2:AU501,'Federal Data'!$H2:$H501,"Deposit Insurance",'Federal Data'!$D2:$D501,"Nongrant")</f>
        <v>-13823000</v>
      </c>
      <c r="AL69" s="113">
        <f>SUMIFS('Federal Data'!AV2:AV501,'Federal Data'!$H2:$H501,"Deposit Insurance",'Federal Data'!$D2:$D501,"Nongrant")</f>
        <v>-12812000</v>
      </c>
    </row>
    <row r="70" spans="1:38" outlineLevel="4">
      <c r="A70" s="22" t="str">
        <f>B68</f>
        <v>Banking and Finance</v>
      </c>
      <c r="B70" s="31" t="s">
        <v>249</v>
      </c>
      <c r="C70" s="113">
        <f>SUMIFS('Federal Data'!M2:M501,'Federal Data'!$H2:$H501,"Other Banking and Finance",'Federal Data'!$D2:$D501,"Nongrant")</f>
        <v>26181</v>
      </c>
      <c r="D70" s="113">
        <f>SUMIFS('Federal Data'!N2:N501,'Federal Data'!$H2:$H501,"Other Banking and Finance",'Federal Data'!$D2:$D501,"Nongrant")</f>
        <v>150624</v>
      </c>
      <c r="E70" s="113">
        <f>SUMIFS('Federal Data'!O2:O501,'Federal Data'!$H2:$H501,"Other Banking and Finance",'Federal Data'!$D2:$D501,"Nongrant")</f>
        <v>107341</v>
      </c>
      <c r="F70" s="113">
        <f>SUMIFS('Federal Data'!P2:P501,'Federal Data'!$H2:$H501,"Other Banking and Finance",'Federal Data'!$D2:$D501,"Nongrant")</f>
        <v>-289033</v>
      </c>
      <c r="G70" s="113">
        <f>SUMIFS('Federal Data'!Q2:Q501,'Federal Data'!$H2:$H501,"Other Banking and Finance",'Federal Data'!$D2:$D501,"Nongrant")</f>
        <v>25296</v>
      </c>
      <c r="H70" s="113">
        <f>SUMIFS('Federal Data'!R2:R501,'Federal Data'!$H2:$H501,"Other Banking and Finance",'Federal Data'!$D2:$D501,"Nongrant")</f>
        <v>27878</v>
      </c>
      <c r="I70" s="113">
        <f>SUMIFS('Federal Data'!S2:S501,'Federal Data'!$H2:$H501,"Other Banking and Finance",'Federal Data'!$D2:$D501,"Nongrant")</f>
        <v>27875</v>
      </c>
      <c r="J70" s="113">
        <f>SUMIFS('Federal Data'!T2:T501,'Federal Data'!$H2:$H501,"Other Banking and Finance",'Federal Data'!$D2:$D501,"Nongrant")</f>
        <v>29019</v>
      </c>
      <c r="K70" s="113">
        <f>SUMIFS('Federal Data'!U2:U501,'Federal Data'!$H2:$H501,"Other Banking and Finance",'Federal Data'!$D2:$D501,"Nongrant")</f>
        <v>32292</v>
      </c>
      <c r="L70" s="113">
        <f>SUMIFS('Federal Data'!V2:V501,'Federal Data'!$H2:$H501,"Other Banking and Finance",'Federal Data'!$D2:$D501,"Nongrant")</f>
        <v>34413</v>
      </c>
      <c r="M70" s="113">
        <f>SUMIFS('Federal Data'!W2:W501,'Federal Data'!$H2:$H501,"Other Banking and Finance",'Federal Data'!$D2:$D501,"Nongrant")</f>
        <v>30658</v>
      </c>
      <c r="N70" s="113">
        <f>SUMIFS('Federal Data'!X2:X501,'Federal Data'!$H2:$H501,"Other Banking and Finance",'Federal Data'!$D2:$D501,"Nongrant")</f>
        <v>45269</v>
      </c>
      <c r="O70" s="113">
        <f>SUMIFS('Federal Data'!Y2:Y501,'Federal Data'!$H2:$H501,"Other Banking and Finance",'Federal Data'!$D2:$D501,"Nongrant")</f>
        <v>47852</v>
      </c>
      <c r="P70" s="113">
        <f>SUMIFS('Federal Data'!Z2:Z501,'Federal Data'!$H2:$H501,"Other Banking and Finance",'Federal Data'!$D2:$D501,"Nongrant")</f>
        <v>49113</v>
      </c>
      <c r="Q70" s="113">
        <f>SUMIFS('Federal Data'!AA2:AA501,'Federal Data'!$H2:$H501,"Other Banking and Finance",'Federal Data'!$D2:$D501,"Nongrant")</f>
        <v>47568</v>
      </c>
      <c r="R70" s="113">
        <f>SUMIFS('Federal Data'!AB2:AB501,'Federal Data'!$H2:$H501,"Other Banking and Finance",'Federal Data'!$D2:$D501,"Nongrant")</f>
        <v>52000</v>
      </c>
      <c r="S70" s="113">
        <f>SUMIFS('Federal Data'!AC2:AC501,'Federal Data'!$H2:$H501,"Other Banking and Finance",'Federal Data'!$D2:$D501,"Nongrant")</f>
        <v>52000</v>
      </c>
      <c r="T70" s="113">
        <f>SUMIFS('Federal Data'!AD2:AD501,'Federal Data'!$H2:$H501,"Other Banking and Finance",'Federal Data'!$D2:$D501,"Nongrant")</f>
        <v>54000</v>
      </c>
      <c r="U70" s="113">
        <f>SUMIFS('Federal Data'!AE2:AE501,'Federal Data'!$H2:$H501,"Other Banking and Finance",'Federal Data'!$D2:$D501,"Nongrant")</f>
        <v>61000</v>
      </c>
      <c r="V70" s="113">
        <f>SUMIFS('Federal Data'!AF2:AF501,'Federal Data'!$H2:$H501,"Other Banking and Finance",'Federal Data'!$D2:$D501,"Nongrant")</f>
        <v>61000</v>
      </c>
      <c r="W70" s="113">
        <f>SUMIFS('Federal Data'!AG2:AG501,'Federal Data'!$H2:$H501,"Other Banking and Finance",'Federal Data'!$D2:$D501,"Nongrant")</f>
        <v>65000</v>
      </c>
      <c r="X70" s="113">
        <f>SUMIFS('Federal Data'!AH2:AH501,'Federal Data'!$H2:$H501,"Other Banking and Finance",'Federal Data'!$D2:$D501,"Nongrant")</f>
        <v>67000</v>
      </c>
      <c r="Y70" s="113">
        <f>SUMIFS('Federal Data'!AI2:AI501,'Federal Data'!$H2:$H501,"Other Banking and Finance",'Federal Data'!$D2:$D501,"Nongrant")</f>
        <v>74000</v>
      </c>
      <c r="Z70" s="113">
        <f>SUMIFS('Federal Data'!AJ2:AJ501,'Federal Data'!$H2:$H501,"Other Banking and Finance",'Federal Data'!$D2:$D501,"Nongrant")</f>
        <v>86000</v>
      </c>
      <c r="AA70" s="113">
        <f>SUMIFS('Federal Data'!AK2:AK501,'Federal Data'!$H2:$H501,"Other Banking and Finance",'Federal Data'!$D2:$D501,"Nongrant")</f>
        <v>99000</v>
      </c>
      <c r="AB70" s="113">
        <f>SUMIFS('Federal Data'!AL2:AL501,'Federal Data'!$H2:$H501,"Other Banking and Finance",'Federal Data'!$D2:$D501,"Nongrant")</f>
        <v>101000</v>
      </c>
      <c r="AC70" s="113">
        <f>SUMIFS('Federal Data'!AM2:AM501,'Federal Data'!$H2:$H501,"Other Banking and Finance",'Federal Data'!$D2:$D501,"Nongrant")</f>
        <v>104000</v>
      </c>
      <c r="AD70" s="113">
        <f>SUMIFS('Federal Data'!AN2:AN501,'Federal Data'!$H2:$H501,"Other Banking and Finance",'Federal Data'!$D2:$D501,"Nongrant")</f>
        <v>103000</v>
      </c>
      <c r="AE70" s="113">
        <f>SUMIFS('Federal Data'!AO2:AO501,'Federal Data'!$H2:$H501,"Other Banking and Finance",'Federal Data'!$D2:$D501,"Nongrant")</f>
        <v>67000</v>
      </c>
      <c r="AF70" s="113">
        <f>SUMIFS('Federal Data'!AP2:AP501,'Federal Data'!$H2:$H501,"Other Banking and Finance",'Federal Data'!$D2:$D501,"Nongrant")</f>
        <v>150219000</v>
      </c>
      <c r="AG70" s="113">
        <f>SUMIFS('Federal Data'!AQ2:AQ501,'Federal Data'!$H2:$H501,"Other Banking and Finance",'Federal Data'!$D2:$D501,"Nongrant")</f>
        <v>-109996000</v>
      </c>
      <c r="AH70" s="113">
        <f>SUMIFS('Federal Data'!AR2:AR501,'Federal Data'!$H2:$H501,"Other Banking and Finance",'Federal Data'!$D2:$D501,"Nongrant")</f>
        <v>-38693000</v>
      </c>
      <c r="AI70" s="113">
        <f>SUMIFS('Federal Data'!AS2:AS501,'Federal Data'!$H2:$H501,"Other Banking and Finance",'Federal Data'!$D2:$D501,"Nongrant")</f>
        <v>21555000</v>
      </c>
      <c r="AJ70" s="113">
        <f>SUMIFS('Federal Data'!AT2:AT501,'Federal Data'!$H2:$H501,"Other Banking and Finance",'Federal Data'!$D2:$D501,"Nongrant")</f>
        <v>-12103000</v>
      </c>
      <c r="AK70" s="113">
        <f>SUMIFS('Federal Data'!AU2:AU501,'Federal Data'!$H2:$H501,"Other Banking and Finance",'Federal Data'!$D2:$D501,"Nongrant")</f>
        <v>-7536000</v>
      </c>
      <c r="AL70" s="113">
        <f>SUMIFS('Federal Data'!AV2:AV501,'Federal Data'!$H2:$H501,"Other Banking and Finance",'Federal Data'!$D2:$D501,"Nongrant")</f>
        <v>-978000</v>
      </c>
    </row>
    <row r="71" spans="1:38" outlineLevel="4">
      <c r="A71" s="22" t="str">
        <f>B70</f>
        <v>Other Banking and Finance (includes financial market bailouts)</v>
      </c>
      <c r="B71" s="32" t="s">
        <v>294</v>
      </c>
      <c r="C71" s="113">
        <v>1388</v>
      </c>
      <c r="D71" s="113">
        <v>1388</v>
      </c>
      <c r="E71" s="113">
        <v>1388</v>
      </c>
      <c r="F71" s="113">
        <v>1388</v>
      </c>
      <c r="G71" s="113">
        <v>1388</v>
      </c>
      <c r="H71" s="113">
        <v>1388</v>
      </c>
      <c r="I71" s="113">
        <v>1388</v>
      </c>
      <c r="J71" s="113">
        <v>1388</v>
      </c>
      <c r="K71" s="113">
        <v>1388</v>
      </c>
      <c r="L71" s="113">
        <v>1388</v>
      </c>
      <c r="M71" s="113">
        <v>1388</v>
      </c>
      <c r="N71" s="113">
        <v>1388</v>
      </c>
      <c r="O71" s="113">
        <v>1388</v>
      </c>
      <c r="P71" s="113">
        <v>1388</v>
      </c>
      <c r="Q71" s="113">
        <v>1388</v>
      </c>
      <c r="R71" s="113">
        <v>1388</v>
      </c>
      <c r="S71" s="113">
        <v>1388</v>
      </c>
      <c r="T71" s="113">
        <v>1388</v>
      </c>
      <c r="U71" s="113">
        <v>1388</v>
      </c>
      <c r="V71" s="113">
        <v>1388</v>
      </c>
      <c r="W71" s="113">
        <v>1388</v>
      </c>
      <c r="X71" s="113">
        <v>1388</v>
      </c>
      <c r="Y71" s="113">
        <v>1388</v>
      </c>
      <c r="Z71" s="113">
        <v>1388</v>
      </c>
      <c r="AA71" s="113">
        <v>1388</v>
      </c>
      <c r="AB71" s="113">
        <v>1388</v>
      </c>
      <c r="AC71" s="113">
        <v>1388</v>
      </c>
      <c r="AD71" s="113">
        <v>1388</v>
      </c>
      <c r="AE71" s="113">
        <v>1388</v>
      </c>
      <c r="AF71" s="113">
        <v>1388</v>
      </c>
      <c r="AG71" s="113">
        <v>1388</v>
      </c>
      <c r="AH71" s="113">
        <v>1388</v>
      </c>
      <c r="AI71" s="113">
        <v>1388</v>
      </c>
      <c r="AJ71" s="113">
        <v>1388</v>
      </c>
      <c r="AK71" s="113">
        <v>1388</v>
      </c>
      <c r="AL71" s="113">
        <v>1389</v>
      </c>
    </row>
    <row r="72" spans="1:38" outlineLevel="3">
      <c r="A72" s="22" t="str">
        <f>B59</f>
        <v>Economy and Infrastructure</v>
      </c>
      <c r="B72" s="29" t="s">
        <v>304</v>
      </c>
      <c r="C72" s="113">
        <f>SUMIFS('Federal Data'!M2:M501,'Federal Data'!$G2:$G501,"General Science and Basic Research",'Federal Data'!$D2:$D501,"Nongrant")</f>
        <v>1380579</v>
      </c>
      <c r="D72" s="113">
        <f>SUMIFS('Federal Data'!N2:N501,'Federal Data'!$G2:$G501,"General Science and Basic Research",'Federal Data'!$D2:$D501,"Nongrant")</f>
        <v>1476169</v>
      </c>
      <c r="E72" s="113">
        <f>SUMIFS('Federal Data'!O2:O501,'Federal Data'!$G2:$G501,"General Science and Basic Research",'Federal Data'!$D2:$D501,"Nongrant")</f>
        <v>1606282</v>
      </c>
      <c r="F72" s="113">
        <f>SUMIFS('Federal Data'!P2:P501,'Federal Data'!$G2:$G501,"General Science and Basic Research",'Federal Data'!$D2:$D501,"Nongrant")</f>
        <v>1643742</v>
      </c>
      <c r="G72" s="113">
        <f>SUMIFS('Federal Data'!Q2:Q501,'Federal Data'!$G2:$G501,"General Science and Basic Research",'Federal Data'!$D2:$D501,"Nongrant")</f>
        <v>1842331</v>
      </c>
      <c r="H72" s="113">
        <f>SUMIFS('Federal Data'!R2:R501,'Federal Data'!$G2:$G501,"General Science and Basic Research",'Federal Data'!$D2:$D501,"Nongrant")</f>
        <v>2014926</v>
      </c>
      <c r="I72" s="113">
        <f>SUMIFS('Federal Data'!S2:S501,'Federal Data'!$G2:$G501,"General Science and Basic Research",'Federal Data'!$D2:$D501,"Nongrant")</f>
        <v>2206671</v>
      </c>
      <c r="J72" s="113">
        <f>SUMIFS('Federal Data'!T2:T501,'Federal Data'!$G2:$G501,"General Science and Basic Research",'Federal Data'!$D2:$D501,"Nongrant")</f>
        <v>2243217</v>
      </c>
      <c r="K72" s="113">
        <f>SUMIFS('Federal Data'!U2:U501,'Federal Data'!$G2:$G501,"General Science and Basic Research",'Federal Data'!$D2:$D501,"Nongrant")</f>
        <v>2406659</v>
      </c>
      <c r="L72" s="113">
        <f>SUMIFS('Federal Data'!V2:V501,'Federal Data'!$G2:$G501,"General Science and Basic Research",'Federal Data'!$D2:$D501,"Nongrant")</f>
        <v>2625718</v>
      </c>
      <c r="M72" s="113">
        <f>SUMIFS('Federal Data'!W2:W501,'Federal Data'!$G2:$G501,"General Science and Basic Research",'Federal Data'!$D2:$D501,"Nongrant")</f>
        <v>2817691</v>
      </c>
      <c r="N72" s="113">
        <f>SUMIFS('Federal Data'!X2:X501,'Federal Data'!$G2:$G501,"General Science and Basic Research",'Federal Data'!$D2:$D501,"Nongrant")</f>
        <v>3135511</v>
      </c>
      <c r="O72" s="113">
        <f>SUMIFS('Federal Data'!Y2:Y501,'Federal Data'!$G2:$G501,"General Science and Basic Research",'Federal Data'!$D2:$D501,"Nongrant")</f>
        <v>3551208</v>
      </c>
      <c r="P72" s="113">
        <f>SUMIFS('Federal Data'!Z2:Z501,'Federal Data'!$G2:$G501,"General Science and Basic Research",'Federal Data'!$D2:$D501,"Nongrant")</f>
        <v>3913850</v>
      </c>
      <c r="Q72" s="113">
        <f>SUMIFS('Federal Data'!AA2:AA501,'Federal Data'!$G2:$G501,"General Science and Basic Research",'Federal Data'!$D2:$D501,"Nongrant")</f>
        <v>3825411</v>
      </c>
      <c r="R72" s="113">
        <f>SUMIFS('Federal Data'!AB2:AB501,'Federal Data'!$G2:$G501,"General Science and Basic Research",'Federal Data'!$D2:$D501,"Nongrant")</f>
        <v>4099000</v>
      </c>
      <c r="S72" s="113">
        <f>SUMIFS('Federal Data'!AC2:AC501,'Federal Data'!$G2:$G501,"General Science and Basic Research",'Federal Data'!$D2:$D501,"Nongrant")</f>
        <v>3991000</v>
      </c>
      <c r="T72" s="113">
        <f>SUMIFS('Federal Data'!AD2:AD501,'Federal Data'!$G2:$G501,"General Science and Basic Research",'Federal Data'!$D2:$D501,"Nongrant")</f>
        <v>4080000</v>
      </c>
      <c r="U72" s="113">
        <f>SUMIFS('Federal Data'!AE2:AE501,'Federal Data'!$G2:$G501,"General Science and Basic Research",'Federal Data'!$D2:$D501,"Nongrant")</f>
        <v>5306000</v>
      </c>
      <c r="V72" s="113">
        <f>SUMIFS('Federal Data'!AF2:AF501,'Federal Data'!$G2:$G501,"General Science and Basic Research",'Federal Data'!$D2:$D501,"Nongrant")</f>
        <v>5638000</v>
      </c>
      <c r="W72" s="113">
        <f>SUMIFS('Federal Data'!AG2:AG501,'Federal Data'!$G2:$G501,"General Science and Basic Research",'Federal Data'!$D2:$D501,"Nongrant")</f>
        <v>6167000</v>
      </c>
      <c r="X72" s="113">
        <f>SUMIFS('Federal Data'!AH2:AH501,'Federal Data'!$G2:$G501,"General Science and Basic Research",'Federal Data'!$D2:$D501,"Nongrant")</f>
        <v>6520000</v>
      </c>
      <c r="Y72" s="113">
        <f>SUMIFS('Federal Data'!AI2:AI501,'Federal Data'!$G2:$G501,"General Science and Basic Research",'Federal Data'!$D2:$D501,"Nongrant")</f>
        <v>7261000</v>
      </c>
      <c r="Z72" s="113">
        <f>SUMIFS('Federal Data'!AJ2:AJ501,'Federal Data'!$G2:$G501,"General Science and Basic Research",'Federal Data'!$D2:$D501,"Nongrant")</f>
        <v>7951000</v>
      </c>
      <c r="AA72" s="113">
        <f>SUMIFS('Federal Data'!AK2:AK501,'Federal Data'!$G2:$G501,"General Science and Basic Research",'Federal Data'!$D2:$D501,"Nongrant")</f>
        <v>8392000</v>
      </c>
      <c r="AB72" s="113">
        <f>SUMIFS('Federal Data'!AL2:AL501,'Federal Data'!$G2:$G501,"General Science and Basic Research",'Federal Data'!$D2:$D501,"Nongrant")</f>
        <v>8819000</v>
      </c>
      <c r="AC72" s="113">
        <f>SUMIFS('Federal Data'!AM2:AM501,'Federal Data'!$G2:$G501,"General Science and Basic Research",'Federal Data'!$D2:$D501,"Nongrant")</f>
        <v>9093000</v>
      </c>
      <c r="AD72" s="113">
        <f>SUMIFS('Federal Data'!AN2:AN501,'Federal Data'!$G2:$G501,"General Science and Basic Research",'Federal Data'!$D2:$D501,"Nongrant")</f>
        <v>9149000</v>
      </c>
      <c r="AE72" s="113">
        <f>SUMIFS('Federal Data'!AO2:AO501,'Federal Data'!$G2:$G501,"General Science and Basic Research",'Federal Data'!$D2:$D501,"Nongrant")</f>
        <v>9573000</v>
      </c>
      <c r="AF72" s="113">
        <f>SUMIFS('Federal Data'!AP2:AP501,'Federal Data'!$G2:$G501,"General Science and Basic Research",'Federal Data'!$D2:$D501,"Nongrant")</f>
        <v>10020000</v>
      </c>
      <c r="AG72" s="113">
        <f>SUMIFS('Federal Data'!AQ2:AQ501,'Federal Data'!$G2:$G501,"General Science and Basic Research",'Federal Data'!$D2:$D501,"Nongrant")</f>
        <v>11730000</v>
      </c>
      <c r="AH72" s="113">
        <f>SUMIFS('Federal Data'!AR2:AR501,'Federal Data'!$G2:$G501,"General Science and Basic Research",'Federal Data'!$D2:$D501,"Nongrant")</f>
        <v>12434000</v>
      </c>
      <c r="AI72" s="113">
        <f>SUMIFS('Federal Data'!AS2:AS501,'Federal Data'!$G2:$G501,"General Science and Basic Research",'Federal Data'!$D2:$D501,"Nongrant")</f>
        <v>12458000</v>
      </c>
      <c r="AJ72" s="113">
        <f>SUMIFS('Federal Data'!AT2:AT501,'Federal Data'!$G2:$G501,"General Science and Basic Research",'Federal Data'!$D2:$D501,"Nongrant")</f>
        <v>12479000</v>
      </c>
      <c r="AK72" s="113">
        <f>SUMIFS('Federal Data'!AU2:AU501,'Federal Data'!$G2:$G501,"General Science and Basic Research",'Federal Data'!$D2:$D501,"Nongrant")</f>
        <v>12011000</v>
      </c>
      <c r="AL72" s="113">
        <f>SUMIFS('Federal Data'!AV2:AV501,'Federal Data'!$G2:$G501,"General Science and Basic Research",'Federal Data'!$D2:$D501,"Nongrant")</f>
        <v>11719000</v>
      </c>
    </row>
    <row r="73" spans="1:38" outlineLevel="3">
      <c r="A73" s="22" t="str">
        <f>B59</f>
        <v>Economy and Infrastructure</v>
      </c>
      <c r="B73" s="29" t="s">
        <v>67</v>
      </c>
      <c r="C73" s="113">
        <f>SUMIFS('Federal Data'!M2:M501,'Federal Data'!$G2:$G501,"Space",'Federal Data'!$D2:$D501,"Nongrant")</f>
        <v>4450912</v>
      </c>
      <c r="D73" s="113">
        <f>SUMIFS('Federal Data'!N2:N501,'Federal Data'!$G2:$G501,"Space",'Federal Data'!$D2:$D501,"Nongrant")</f>
        <v>4992317</v>
      </c>
      <c r="E73" s="113">
        <f>SUMIFS('Federal Data'!O2:O501,'Federal Data'!$G2:$G501,"Space",'Federal Data'!$D2:$D501,"Nongrant")</f>
        <v>5592912</v>
      </c>
      <c r="F73" s="113">
        <f>SUMIFS('Federal Data'!P2:P501,'Federal Data'!$G2:$G501,"Space",'Federal Data'!$D2:$D501,"Nongrant")</f>
        <v>6290357</v>
      </c>
      <c r="G73" s="113">
        <f>SUMIFS('Federal Data'!Q2:Q501,'Federal Data'!$G2:$G501,"Space",'Federal Data'!$D2:$D501,"Nongrant")</f>
        <v>6468745</v>
      </c>
      <c r="H73" s="113">
        <f>SUMIFS('Federal Data'!R2:R501,'Federal Data'!$G2:$G501,"Space",'Federal Data'!$D2:$D501,"Nongrant")</f>
        <v>6607435</v>
      </c>
      <c r="I73" s="113">
        <f>SUMIFS('Federal Data'!S2:S501,'Federal Data'!$G2:$G501,"Space",'Federal Data'!$D2:$D501,"Nongrant")</f>
        <v>6755601</v>
      </c>
      <c r="J73" s="113">
        <f>SUMIFS('Federal Data'!T2:T501,'Federal Data'!$G2:$G501,"Space",'Federal Data'!$D2:$D501,"Nongrant")</f>
        <v>6956517</v>
      </c>
      <c r="K73" s="113">
        <f>SUMIFS('Federal Data'!U2:U501,'Federal Data'!$G2:$G501,"Space",'Federal Data'!$D2:$D501,"Nongrant")</f>
        <v>8412979</v>
      </c>
      <c r="L73" s="113">
        <f>SUMIFS('Federal Data'!V2:V501,'Federal Data'!$G2:$G501,"Space",'Federal Data'!$D2:$D501,"Nongrant")</f>
        <v>10195668</v>
      </c>
      <c r="M73" s="113">
        <f>SUMIFS('Federal Data'!W2:W501,'Federal Data'!$G2:$G501,"Space",'Federal Data'!$D2:$D501,"Nongrant")</f>
        <v>11608591</v>
      </c>
      <c r="N73" s="113">
        <f>SUMIFS('Federal Data'!X2:X501,'Federal Data'!$G2:$G501,"Space",'Federal Data'!$D2:$D501,"Nongrant")</f>
        <v>12956683</v>
      </c>
      <c r="O73" s="113">
        <f>SUMIFS('Federal Data'!Y2:Y501,'Federal Data'!$G2:$G501,"Space",'Federal Data'!$D2:$D501,"Nongrant")</f>
        <v>12837895</v>
      </c>
      <c r="P73" s="113">
        <f>SUMIFS('Federal Data'!Z2:Z501,'Federal Data'!$G2:$G501,"Space",'Federal Data'!$D2:$D501,"Nongrant")</f>
        <v>13092224</v>
      </c>
      <c r="Q73" s="113">
        <f>SUMIFS('Federal Data'!AA2:AA501,'Federal Data'!$G2:$G501,"Space",'Federal Data'!$D2:$D501,"Nongrant")</f>
        <v>12363207</v>
      </c>
      <c r="R73" s="113">
        <f>SUMIFS('Federal Data'!AB2:AB501,'Federal Data'!$G2:$G501,"Space",'Federal Data'!$D2:$D501,"Nongrant")</f>
        <v>12593000</v>
      </c>
      <c r="S73" s="113">
        <f>SUMIFS('Federal Data'!AC2:AC501,'Federal Data'!$G2:$G501,"Space",'Federal Data'!$D2:$D501,"Nongrant")</f>
        <v>12693000</v>
      </c>
      <c r="T73" s="113">
        <f>SUMIFS('Federal Data'!AD2:AD501,'Federal Data'!$G2:$G501,"Space",'Federal Data'!$D2:$D501,"Nongrant")</f>
        <v>13056000</v>
      </c>
      <c r="U73" s="113">
        <f>SUMIFS('Federal Data'!AE2:AE501,'Federal Data'!$G2:$G501,"Space",'Federal Data'!$D2:$D501,"Nongrant")</f>
        <v>12866000</v>
      </c>
      <c r="V73" s="113">
        <f>SUMIFS('Federal Data'!AF2:AF501,'Federal Data'!$G2:$G501,"Space",'Federal Data'!$D2:$D501,"Nongrant")</f>
        <v>12446000</v>
      </c>
      <c r="W73" s="113">
        <f>SUMIFS('Federal Data'!AG2:AG501,'Federal Data'!$G2:$G501,"Space",'Federal Data'!$D2:$D501,"Nongrant")</f>
        <v>12427000</v>
      </c>
      <c r="X73" s="113">
        <f>SUMIFS('Federal Data'!AH2:AH501,'Federal Data'!$G2:$G501,"Space",'Federal Data'!$D2:$D501,"Nongrant")</f>
        <v>13233000</v>
      </c>
      <c r="Y73" s="113">
        <f>SUMIFS('Federal Data'!AI2:AI501,'Federal Data'!$G2:$G501,"Space",'Federal Data'!$D2:$D501,"Nongrant")</f>
        <v>13473000</v>
      </c>
      <c r="Z73" s="113">
        <f>SUMIFS('Federal Data'!AJ2:AJ501,'Federal Data'!$G2:$G501,"Space",'Federal Data'!$D2:$D501,"Nongrant")</f>
        <v>12880000</v>
      </c>
      <c r="AA73" s="113">
        <f>SUMIFS('Federal Data'!AK2:AK501,'Federal Data'!$G2:$G501,"Space",'Federal Data'!$D2:$D501,"Nongrant")</f>
        <v>14637000</v>
      </c>
      <c r="AB73" s="113">
        <f>SUMIFS('Federal Data'!AL2:AL501,'Federal Data'!$G2:$G501,"Space",'Federal Data'!$D2:$D501,"Nongrant")</f>
        <v>14778000</v>
      </c>
      <c r="AC73" s="113">
        <f>SUMIFS('Federal Data'!AM2:AM501,'Federal Data'!$G2:$G501,"Space",'Federal Data'!$D2:$D501,"Nongrant")</f>
        <v>14491000</v>
      </c>
      <c r="AD73" s="113">
        <f>SUMIFS('Federal Data'!AN2:AN501,'Federal Data'!$G2:$G501,"Space",'Federal Data'!$D2:$D501,"Nongrant")</f>
        <v>15258000</v>
      </c>
      <c r="AE73" s="113">
        <f>SUMIFS('Federal Data'!AO2:AO501,'Federal Data'!$G2:$G501,"Space",'Federal Data'!$D2:$D501,"Nongrant")</f>
        <v>17200000</v>
      </c>
      <c r="AF73" s="113">
        <f>SUMIFS('Federal Data'!AP2:AP501,'Federal Data'!$G2:$G501,"Space",'Federal Data'!$D2:$D501,"Nongrant")</f>
        <v>18397000</v>
      </c>
      <c r="AG73" s="113">
        <f>SUMIFS('Federal Data'!AQ2:AQ501,'Federal Data'!$G2:$G501,"Space",'Federal Data'!$D2:$D501,"Nongrant")</f>
        <v>18370000</v>
      </c>
      <c r="AH73" s="113">
        <f>SUMIFS('Federal Data'!AR2:AR501,'Federal Data'!$G2:$G501,"Space",'Federal Data'!$D2:$D501,"Nongrant")</f>
        <v>17032000</v>
      </c>
      <c r="AI73" s="113">
        <f>SUMIFS('Federal Data'!AS2:AS501,'Federal Data'!$G2:$G501,"Space",'Federal Data'!$D2:$D501,"Nongrant")</f>
        <v>16602000</v>
      </c>
      <c r="AJ73" s="113">
        <f>SUMIFS('Federal Data'!AT2:AT501,'Federal Data'!$G2:$G501,"Space",'Federal Data'!$D2:$D501,"Nongrant")</f>
        <v>16429000</v>
      </c>
      <c r="AK73" s="113">
        <f>SUMIFS('Federal Data'!AU2:AU501,'Federal Data'!$G2:$G501,"Space",'Federal Data'!$D2:$D501,"Nongrant")</f>
        <v>16559000</v>
      </c>
      <c r="AL73" s="113">
        <f>SUMIFS('Federal Data'!AV2:AV501,'Federal Data'!$G2:$G501,"Space",'Federal Data'!$D2:$D501,"Nongrant")</f>
        <v>17693000</v>
      </c>
    </row>
    <row r="74" spans="1:38" outlineLevel="3">
      <c r="A74" s="22" t="str">
        <f>B59</f>
        <v>Economy and Infrastructure</v>
      </c>
      <c r="B74" s="29" t="s">
        <v>305</v>
      </c>
      <c r="C74" s="113">
        <f>SUMIFS('Federal Data'!M2:M501,'Federal Data'!$G2:$G501,"Technology INfrastructure",'Federal Data'!$D2:$D501,"Nongrant")</f>
        <v>214403</v>
      </c>
      <c r="D74" s="113">
        <f>SUMIFS('Federal Data'!N2:N501,'Federal Data'!$G2:$G501,"Technology INfrastructure",'Federal Data'!$D2:$D501,"Nongrant")</f>
        <v>234295</v>
      </c>
      <c r="E74" s="113">
        <f>SUMIFS('Federal Data'!O2:O501,'Federal Data'!$G2:$G501,"Technology INfrastructure",'Federal Data'!$D2:$D501,"Nongrant")</f>
        <v>223542</v>
      </c>
      <c r="F74" s="113">
        <f>SUMIFS('Federal Data'!P2:P501,'Federal Data'!$G2:$G501,"Technology INfrastructure",'Federal Data'!$D2:$D501,"Nongrant")</f>
        <v>242330</v>
      </c>
      <c r="G74" s="113">
        <f>SUMIFS('Federal Data'!Q2:Q501,'Federal Data'!$G2:$G501,"Technology INfrastructure",'Federal Data'!$D2:$D501,"Nongrant")</f>
        <v>287446</v>
      </c>
      <c r="H74" s="113">
        <f>SUMIFS('Federal Data'!R2:R501,'Federal Data'!$G2:$G501,"Technology INfrastructure",'Federal Data'!$D2:$D501,"Nongrant")</f>
        <v>377786</v>
      </c>
      <c r="I74" s="113">
        <f>SUMIFS('Federal Data'!S2:S501,'Federal Data'!$G2:$G501,"Technology INfrastructure",'Federal Data'!$D2:$D501,"Nongrant")</f>
        <v>432362</v>
      </c>
      <c r="J74" s="113">
        <f>SUMIFS('Federal Data'!T2:T501,'Federal Data'!$G2:$G501,"Technology INfrastructure",'Federal Data'!$D2:$D501,"Nongrant")</f>
        <v>492130</v>
      </c>
      <c r="K74" s="113">
        <f>SUMIFS('Federal Data'!U2:U501,'Federal Data'!$G2:$G501,"Technology INfrastructure",'Federal Data'!$D2:$D501,"Nongrant")</f>
        <v>577288</v>
      </c>
      <c r="L74" s="113">
        <f>SUMIFS('Federal Data'!V2:V501,'Federal Data'!$G2:$G501,"Technology INfrastructure",'Federal Data'!$D2:$D501,"Nongrant")</f>
        <v>753431</v>
      </c>
      <c r="M74" s="113">
        <f>SUMIFS('Federal Data'!W2:W501,'Federal Data'!$G2:$G501,"Technology INfrastructure",'Federal Data'!$D2:$D501,"Nongrant")</f>
        <v>942667</v>
      </c>
      <c r="N74" s="113">
        <f>SUMIFS('Federal Data'!X2:X501,'Federal Data'!$G2:$G501,"Technology INfrastructure",'Federal Data'!$D2:$D501,"Nongrant")</f>
        <v>1058765</v>
      </c>
      <c r="O74" s="113">
        <f>SUMIFS('Federal Data'!Y2:Y501,'Federal Data'!$G2:$G501,"Technology INfrastructure",'Federal Data'!$D2:$D501,"Nongrant")</f>
        <v>1143527</v>
      </c>
      <c r="P74" s="113">
        <f>SUMIFS('Federal Data'!Z2:Z501,'Federal Data'!$G2:$G501,"Technology INfrastructure",'Federal Data'!$D2:$D501,"Nongrant")</f>
        <v>1225051</v>
      </c>
      <c r="Q74" s="113">
        <f>SUMIFS('Federal Data'!AA2:AA501,'Federal Data'!$G2:$G501,"Technology INfrastructure",'Federal Data'!$D2:$D501,"Nongrant")</f>
        <v>1133553</v>
      </c>
      <c r="R74" s="113">
        <f>SUMIFS('Federal Data'!AB2:AB501,'Federal Data'!$G2:$G501,"Technology INfrastructure",'Federal Data'!$D2:$D501,"Nongrant")</f>
        <v>1400000</v>
      </c>
      <c r="S74" s="113">
        <f>SUMIFS('Federal Data'!AC2:AC501,'Federal Data'!$G2:$G501,"Technology INfrastructure",'Federal Data'!$D2:$D501,"Nongrant")</f>
        <v>1552000</v>
      </c>
      <c r="T74" s="113">
        <f>SUMIFS('Federal Data'!AD2:AD501,'Federal Data'!$G2:$G501,"Technology INfrastructure",'Federal Data'!$D2:$D501,"Nongrant")</f>
        <v>2612000</v>
      </c>
      <c r="U74" s="113">
        <f>SUMIFS('Federal Data'!AE2:AE501,'Federal Data'!$G2:$G501,"Technology INfrastructure",'Federal Data'!$D2:$D501,"Nongrant")</f>
        <v>7272000</v>
      </c>
      <c r="V74" s="113">
        <f>SUMIFS('Federal Data'!AF2:AF501,'Federal Data'!$G2:$G501,"Technology INfrastructure",'Federal Data'!$D2:$D501,"Nongrant")</f>
        <v>4520000</v>
      </c>
      <c r="W74" s="113">
        <f>SUMIFS('Federal Data'!AG2:AG501,'Federal Data'!$G2:$G501,"Technology INfrastructure",'Federal Data'!$D2:$D501,"Nongrant")</f>
        <v>1798000</v>
      </c>
      <c r="X74" s="113">
        <f>SUMIFS('Federal Data'!AH2:AH501,'Federal Data'!$G2:$G501,"Technology INfrastructure",'Federal Data'!$D2:$D501,"Nongrant")</f>
        <v>3429000</v>
      </c>
      <c r="Y74" s="113">
        <f>SUMIFS('Federal Data'!AI2:AI501,'Federal Data'!$G2:$G501,"Technology INfrastructure",'Federal Data'!$D2:$D501,"Nongrant")</f>
        <v>4677000</v>
      </c>
      <c r="Z74" s="113">
        <f>SUMIFS('Federal Data'!AJ2:AJ501,'Federal Data'!$G2:$G501,"Technology INfrastructure",'Federal Data'!$D2:$D501,"Nongrant")</f>
        <v>8423000</v>
      </c>
      <c r="AA74" s="113">
        <f>SUMIFS('Federal Data'!AK2:AK501,'Federal Data'!$G2:$G501,"Technology INfrastructure",'Federal Data'!$D2:$D501,"Nongrant")</f>
        <v>3493000</v>
      </c>
      <c r="AB74" s="113">
        <f>SUMIFS('Federal Data'!AL2:AL501,'Federal Data'!$G2:$G501,"Technology INfrastructure",'Federal Data'!$D2:$D501,"Nongrant")</f>
        <v>6971000</v>
      </c>
      <c r="AC74" s="113">
        <f>SUMIFS('Federal Data'!AM2:AM501,'Federal Data'!$G2:$G501,"Technology INfrastructure",'Federal Data'!$D2:$D501,"Nongrant")</f>
        <v>6334000</v>
      </c>
      <c r="AD74" s="113">
        <f>SUMIFS('Federal Data'!AN2:AN501,'Federal Data'!$G2:$G501,"Technology INfrastructure",'Federal Data'!$D2:$D501,"Nongrant")</f>
        <v>6809000</v>
      </c>
      <c r="AE74" s="113">
        <f>SUMIFS('Federal Data'!AO2:AO501,'Federal Data'!$G2:$G501,"Technology INfrastructure",'Federal Data'!$D2:$D501,"Nongrant")</f>
        <v>7652000</v>
      </c>
      <c r="AF74" s="113">
        <f>SUMIFS('Federal Data'!AP2:AP501,'Federal Data'!$G2:$G501,"Technology INfrastructure",'Federal Data'!$D2:$D501,"Nongrant")</f>
        <v>8909000</v>
      </c>
      <c r="AG74" s="113">
        <f>SUMIFS('Federal Data'!AQ2:AQ501,'Federal Data'!$G2:$G501,"Technology INfrastructure",'Federal Data'!$D2:$D501,"Nongrant")</f>
        <v>8084000</v>
      </c>
      <c r="AH74" s="113">
        <f>SUMIFS('Federal Data'!AR2:AR501,'Federal Data'!$G2:$G501,"Technology INfrastructure",'Federal Data'!$D2:$D501,"Nongrant")</f>
        <v>9137000</v>
      </c>
      <c r="AI74" s="113">
        <f>SUMIFS('Federal Data'!AS2:AS501,'Federal Data'!$G2:$G501,"Technology INfrastructure",'Federal Data'!$D2:$D501,"Nongrant")</f>
        <v>10426000</v>
      </c>
      <c r="AJ74" s="113">
        <f>SUMIFS('Federal Data'!AT2:AT501,'Federal Data'!$G2:$G501,"Technology INfrastructure",'Federal Data'!$D2:$D501,"Nongrant")</f>
        <v>9041000</v>
      </c>
      <c r="AK74" s="113">
        <f>SUMIFS('Federal Data'!AU2:AU501,'Federal Data'!$G2:$G501,"Technology INfrastructure",'Federal Data'!$D2:$D501,"Nongrant")</f>
        <v>8331000</v>
      </c>
      <c r="AL74" s="113">
        <f>SUMIFS('Federal Data'!AV2:AV501,'Federal Data'!$G2:$G501,"Technology INfrastructure",'Federal Data'!$D2:$D501,"Nongrant")</f>
        <v>8762000</v>
      </c>
    </row>
    <row r="75" spans="1:38" outlineLevel="3">
      <c r="A75" s="22" t="str">
        <f>B59</f>
        <v>Economy and Infrastructure</v>
      </c>
      <c r="B75" s="29" t="s">
        <v>293</v>
      </c>
      <c r="C75" s="113">
        <f>SUMIFS('Federal Data'!M2:M501,'Federal Data'!$G2:$G501,"Postal Service",'Federal Data'!$D2:$D501,"Nongrant")</f>
        <v>1245551</v>
      </c>
      <c r="D75" s="113">
        <f>SUMIFS('Federal Data'!N2:N501,'Federal Data'!$G2:$G501,"Postal Service",'Federal Data'!$D2:$D501,"Nongrant")</f>
        <v>1431723</v>
      </c>
      <c r="E75" s="113">
        <f>SUMIFS('Federal Data'!O2:O501,'Federal Data'!$G2:$G501,"Postal Service",'Federal Data'!$D2:$D501,"Nongrant")</f>
        <v>154146</v>
      </c>
      <c r="F75" s="113">
        <f>SUMIFS('Federal Data'!P2:P501,'Federal Data'!$G2:$G501,"Postal Service",'Federal Data'!$D2:$D501,"Nongrant")</f>
        <v>1111294</v>
      </c>
      <c r="G75" s="113">
        <f>SUMIFS('Federal Data'!Q2:Q501,'Federal Data'!$G2:$G501,"Postal Service",'Federal Data'!$D2:$D501,"Nongrant")</f>
        <v>1238828</v>
      </c>
      <c r="H75" s="113">
        <f>SUMIFS('Federal Data'!R2:R501,'Federal Data'!$G2:$G501,"Postal Service",'Federal Data'!$D2:$D501,"Nongrant")</f>
        <v>1351100</v>
      </c>
      <c r="I75" s="113">
        <f>SUMIFS('Federal Data'!S2:S501,'Federal Data'!$G2:$G501,"Postal Service",'Federal Data'!$D2:$D501,"Nongrant")</f>
        <v>758085</v>
      </c>
      <c r="J75" s="113">
        <f>SUMIFS('Federal Data'!T2:T501,'Federal Data'!$G2:$G501,"Postal Service",'Federal Data'!$D2:$D501,"Nongrant")</f>
        <v>1592629</v>
      </c>
      <c r="K75" s="113">
        <f>SUMIFS('Federal Data'!U2:U501,'Federal Data'!$G2:$G501,"Postal Service",'Federal Data'!$D2:$D501,"Nongrant")</f>
        <v>2229465</v>
      </c>
      <c r="L75" s="113">
        <f>SUMIFS('Federal Data'!V2:V501,'Federal Data'!$G2:$G501,"Postal Service",'Federal Data'!$D2:$D501,"Nongrant")</f>
        <v>126798</v>
      </c>
      <c r="M75" s="113">
        <f>SUMIFS('Federal Data'!W2:W501,'Federal Data'!$G2:$G501,"Postal Service",'Federal Data'!$D2:$D501,"Nongrant")</f>
        <v>2115676</v>
      </c>
      <c r="N75" s="113">
        <f>SUMIFS('Federal Data'!X2:X501,'Federal Data'!$G2:$G501,"Postal Service",'Federal Data'!$D2:$D501,"Nongrant")</f>
        <v>1827993</v>
      </c>
      <c r="O75" s="113">
        <f>SUMIFS('Federal Data'!Y2:Y501,'Federal Data'!$G2:$G501,"Postal Service",'Federal Data'!$D2:$D501,"Nongrant")</f>
        <v>1169276</v>
      </c>
      <c r="P75" s="113">
        <f>SUMIFS('Federal Data'!Z2:Z501,'Federal Data'!$G2:$G501,"Postal Service",'Federal Data'!$D2:$D501,"Nongrant")</f>
        <v>1601631</v>
      </c>
      <c r="Q75" s="113">
        <f>SUMIFS('Federal Data'!AA2:AA501,'Federal Data'!$G2:$G501,"Postal Service",'Federal Data'!$D2:$D501,"Nongrant")</f>
        <v>1233139</v>
      </c>
      <c r="R75" s="113">
        <f>SUMIFS('Federal Data'!AB2:AB501,'Federal Data'!$G2:$G501,"Postal Service",'Federal Data'!$D2:$D501,"Nongrant")</f>
        <v>-1839000</v>
      </c>
      <c r="S75" s="113">
        <f>SUMIFS('Federal Data'!AC2:AC501,'Federal Data'!$G2:$G501,"Postal Service",'Federal Data'!$D2:$D501,"Nongrant")</f>
        <v>-58000</v>
      </c>
      <c r="T75" s="113">
        <f>SUMIFS('Federal Data'!AD2:AD501,'Federal Data'!$G2:$G501,"Postal Service",'Federal Data'!$D2:$D501,"Nongrant")</f>
        <v>77000</v>
      </c>
      <c r="U75" s="113">
        <f>SUMIFS('Federal Data'!AE2:AE501,'Federal Data'!$G2:$G501,"Postal Service",'Federal Data'!$D2:$D501,"Nongrant")</f>
        <v>303000</v>
      </c>
      <c r="V75" s="113">
        <f>SUMIFS('Federal Data'!AF2:AF501,'Federal Data'!$G2:$G501,"Postal Service",'Federal Data'!$D2:$D501,"Nongrant")</f>
        <v>1050000</v>
      </c>
      <c r="W75" s="113">
        <f>SUMIFS('Federal Data'!AG2:AG501,'Federal Data'!$G2:$G501,"Postal Service",'Federal Data'!$D2:$D501,"Nongrant")</f>
        <v>2129000</v>
      </c>
      <c r="X75" s="113">
        <f>SUMIFS('Federal Data'!AH2:AH501,'Federal Data'!$G2:$G501,"Postal Service",'Federal Data'!$D2:$D501,"Nongrant")</f>
        <v>2395000</v>
      </c>
      <c r="Y75" s="113">
        <f>SUMIFS('Federal Data'!AI2:AI501,'Federal Data'!$G2:$G501,"Postal Service",'Federal Data'!$D2:$D501,"Nongrant")</f>
        <v>207000</v>
      </c>
      <c r="Z75" s="113">
        <f>SUMIFS('Federal Data'!AJ2:AJ501,'Federal Data'!$G2:$G501,"Postal Service",'Federal Data'!$D2:$D501,"Nongrant")</f>
        <v>-5169000</v>
      </c>
      <c r="AA75" s="113">
        <f>SUMIFS('Federal Data'!AK2:AK501,'Federal Data'!$G2:$G501,"Postal Service",'Federal Data'!$D2:$D501,"Nongrant")</f>
        <v>-4070000</v>
      </c>
      <c r="AB75" s="113">
        <f>SUMIFS('Federal Data'!AL2:AL501,'Federal Data'!$G2:$G501,"Postal Service",'Federal Data'!$D2:$D501,"Nongrant")</f>
        <v>-1223000</v>
      </c>
      <c r="AC75" s="113">
        <f>SUMIFS('Federal Data'!AM2:AM501,'Federal Data'!$G2:$G501,"Postal Service",'Federal Data'!$D2:$D501,"Nongrant")</f>
        <v>-971000</v>
      </c>
      <c r="AD75" s="113">
        <f>SUMIFS('Federal Data'!AN2:AN501,'Federal Data'!$G2:$G501,"Postal Service",'Federal Data'!$D2:$D501,"Nongrant")</f>
        <v>5197000</v>
      </c>
      <c r="AE75" s="113">
        <f>SUMIFS('Federal Data'!AO2:AO501,'Federal Data'!$G2:$G501,"Postal Service",'Federal Data'!$D2:$D501,"Nongrant")</f>
        <v>2526000</v>
      </c>
      <c r="AF75" s="113">
        <f>SUMIFS('Federal Data'!AP2:AP501,'Federal Data'!$G2:$G501,"Postal Service",'Federal Data'!$D2:$D501,"Nongrant")</f>
        <v>422000</v>
      </c>
      <c r="AG75" s="113">
        <f>SUMIFS('Federal Data'!AQ2:AQ501,'Federal Data'!$G2:$G501,"Postal Service",'Federal Data'!$D2:$D501,"Nongrant")</f>
        <v>4818000</v>
      </c>
      <c r="AH75" s="113">
        <f>SUMIFS('Federal Data'!AR2:AR501,'Federal Data'!$G2:$G501,"Postal Service",'Federal Data'!$D2:$D501,"Nongrant")</f>
        <v>909000</v>
      </c>
      <c r="AI75" s="113">
        <f>SUMIFS('Federal Data'!AS2:AS501,'Federal Data'!$G2:$G501,"Postal Service",'Federal Data'!$D2:$D501,"Nongrant")</f>
        <v>2744000</v>
      </c>
      <c r="AJ75" s="113">
        <f>SUMIFS('Federal Data'!AT2:AT501,'Federal Data'!$G2:$G501,"Postal Service",'Federal Data'!$D2:$D501,"Nongrant")</f>
        <v>-1839000</v>
      </c>
      <c r="AK75" s="113">
        <f>SUMIFS('Federal Data'!AU2:AU501,'Federal Data'!$G2:$G501,"Postal Service",'Federal Data'!$D2:$D501,"Nongrant")</f>
        <v>-2453000</v>
      </c>
      <c r="AL75" s="113">
        <f>SUMIFS('Federal Data'!AV2:AV501,'Federal Data'!$G2:$G501,"Postal Service",'Federal Data'!$D2:$D501,"Nongrant")</f>
        <v>-1610000</v>
      </c>
    </row>
    <row r="76" spans="1:38" outlineLevel="3">
      <c r="A76" s="22" t="str">
        <f>B59</f>
        <v>Economy and Infrastructure</v>
      </c>
      <c r="B76" s="29" t="s">
        <v>70</v>
      </c>
      <c r="C76" s="113">
        <f>SUMIFS('Federal Data'!M2:M501,'Federal Data'!$G2:$G501,"Community and Regional Development",'Federal Data'!$D2:$D501,"Nongrant")</f>
        <v>2945421</v>
      </c>
      <c r="D76" s="113">
        <f>SUMIFS('Federal Data'!N2:N501,'Federal Data'!$G2:$G501,"Community and Regional Development",'Federal Data'!$D2:$D501,"Nongrant")</f>
        <v>2870788</v>
      </c>
      <c r="E76" s="113">
        <f>SUMIFS('Federal Data'!O2:O501,'Federal Data'!$G2:$G501,"Community and Regional Development",'Federal Data'!$D2:$D501,"Nongrant")</f>
        <v>2991174</v>
      </c>
      <c r="F76" s="113">
        <f>SUMIFS('Federal Data'!P2:P501,'Federal Data'!$G2:$G501,"Community and Regional Development",'Federal Data'!$D2:$D501,"Nongrant")</f>
        <v>2628995</v>
      </c>
      <c r="G76" s="113">
        <f>SUMIFS('Federal Data'!Q2:Q501,'Federal Data'!$G2:$G501,"Community and Regional Development",'Federal Data'!$D2:$D501,"Nongrant")</f>
        <v>2447387</v>
      </c>
      <c r="H76" s="113">
        <f>SUMIFS('Federal Data'!R2:R501,'Federal Data'!$G2:$G501,"Community and Regional Development",'Federal Data'!$D2:$D501,"Nongrant")</f>
        <v>2529110</v>
      </c>
      <c r="I76" s="113">
        <f>SUMIFS('Federal Data'!S2:S501,'Federal Data'!$G2:$G501,"Community and Regional Development",'Federal Data'!$D2:$D501,"Nongrant")</f>
        <v>2132617</v>
      </c>
      <c r="J76" s="113">
        <f>SUMIFS('Federal Data'!T2:T501,'Federal Data'!$G2:$G501,"Community and Regional Development",'Federal Data'!$D2:$D501,"Nongrant")</f>
        <v>1132338</v>
      </c>
      <c r="K76" s="113">
        <f>SUMIFS('Federal Data'!U2:U501,'Federal Data'!$G2:$G501,"Community and Regional Development",'Federal Data'!$D2:$D501,"Nongrant")</f>
        <v>1332699</v>
      </c>
      <c r="L76" s="113">
        <f>SUMIFS('Federal Data'!V2:V501,'Federal Data'!$G2:$G501,"Community and Regional Development",'Federal Data'!$D2:$D501,"Nongrant")</f>
        <v>1551786</v>
      </c>
      <c r="M76" s="113">
        <f>SUMIFS('Federal Data'!W2:W501,'Federal Data'!$G2:$G501,"Community and Regional Development",'Federal Data'!$D2:$D501,"Nongrant")</f>
        <v>2553954</v>
      </c>
      <c r="N76" s="113">
        <f>SUMIFS('Federal Data'!X2:X501,'Federal Data'!$G2:$G501,"Community and Regional Development",'Federal Data'!$D2:$D501,"Nongrant")</f>
        <v>2403673</v>
      </c>
      <c r="O76" s="113">
        <f>SUMIFS('Federal Data'!Y2:Y501,'Federal Data'!$G2:$G501,"Community and Regional Development",'Federal Data'!$D2:$D501,"Nongrant")</f>
        <v>1953952</v>
      </c>
      <c r="P76" s="113">
        <f>SUMIFS('Federal Data'!Z2:Z501,'Federal Data'!$G2:$G501,"Community and Regional Development",'Federal Data'!$D2:$D501,"Nongrant")</f>
        <v>2250369</v>
      </c>
      <c r="Q76" s="113">
        <f>SUMIFS('Federal Data'!AA2:AA501,'Federal Data'!$G2:$G501,"Community and Regional Development",'Federal Data'!$D2:$D501,"Nongrant")</f>
        <v>1708969</v>
      </c>
      <c r="R76" s="113">
        <f>SUMIFS('Federal Data'!AB2:AB501,'Federal Data'!$G2:$G501,"Community and Regional Development",'Federal Data'!$D2:$D501,"Nongrant")</f>
        <v>1799000</v>
      </c>
      <c r="S76" s="113">
        <f>SUMIFS('Federal Data'!AC2:AC501,'Federal Data'!$G2:$G501,"Community and Regional Development",'Federal Data'!$D2:$D501,"Nongrant")</f>
        <v>1527000</v>
      </c>
      <c r="T76" s="113">
        <f>SUMIFS('Federal Data'!AD2:AD501,'Federal Data'!$G2:$G501,"Community and Regional Development",'Federal Data'!$D2:$D501,"Nongrant")</f>
        <v>1579000</v>
      </c>
      <c r="U76" s="113">
        <f>SUMIFS('Federal Data'!AE2:AE501,'Federal Data'!$G2:$G501,"Community and Regional Development",'Federal Data'!$D2:$D501,"Nongrant")</f>
        <v>1641000</v>
      </c>
      <c r="V76" s="113">
        <f>SUMIFS('Federal Data'!AF2:AF501,'Federal Data'!$G2:$G501,"Community and Regional Development",'Federal Data'!$D2:$D501,"Nongrant")</f>
        <v>1325000</v>
      </c>
      <c r="W76" s="113">
        <f>SUMIFS('Federal Data'!AG2:AG501,'Federal Data'!$G2:$G501,"Community and Regional Development",'Federal Data'!$D2:$D501,"Nongrant")</f>
        <v>1752000</v>
      </c>
      <c r="X76" s="113">
        <f>SUMIFS('Federal Data'!AH2:AH501,'Federal Data'!$G2:$G501,"Community and Regional Development",'Federal Data'!$D2:$D501,"Nongrant")</f>
        <v>1464000</v>
      </c>
      <c r="Y76" s="113">
        <f>SUMIFS('Federal Data'!AI2:AI501,'Federal Data'!$G2:$G501,"Community and Regional Development",'Federal Data'!$D2:$D501,"Nongrant")</f>
        <v>1583000</v>
      </c>
      <c r="Z76" s="113">
        <f>SUMIFS('Federal Data'!AJ2:AJ501,'Federal Data'!$G2:$G501,"Community and Regional Development",'Federal Data'!$D2:$D501,"Nongrant")</f>
        <v>1520000</v>
      </c>
      <c r="AA76" s="113">
        <f>SUMIFS('Federal Data'!AK2:AK501,'Federal Data'!$G2:$G501,"Community and Regional Development",'Federal Data'!$D2:$D501,"Nongrant")</f>
        <v>1404000</v>
      </c>
      <c r="AB76" s="113">
        <f>SUMIFS('Federal Data'!AL2:AL501,'Federal Data'!$G2:$G501,"Community and Regional Development",'Federal Data'!$D2:$D501,"Nongrant")</f>
        <v>1980000</v>
      </c>
      <c r="AC76" s="113">
        <f>SUMIFS('Federal Data'!AM2:AM501,'Federal Data'!$G2:$G501,"Community and Regional Development",'Federal Data'!$D2:$D501,"Nongrant")</f>
        <v>1871000</v>
      </c>
      <c r="AD76" s="113">
        <f>SUMIFS('Federal Data'!AN2:AN501,'Federal Data'!$G2:$G501,"Community and Regional Development",'Federal Data'!$D2:$D501,"Nongrant")</f>
        <v>1962000</v>
      </c>
      <c r="AE76" s="113">
        <f>SUMIFS('Federal Data'!AO2:AO501,'Federal Data'!$G2:$G501,"Community and Regional Development",'Federal Data'!$D2:$D501,"Nongrant")</f>
        <v>2191000</v>
      </c>
      <c r="AF76" s="113">
        <f>SUMIFS('Federal Data'!AP2:AP501,'Federal Data'!$G2:$G501,"Community and Regional Development",'Federal Data'!$D2:$D501,"Nongrant")</f>
        <v>2640000</v>
      </c>
      <c r="AG76" s="113">
        <f>SUMIFS('Federal Data'!AQ2:AQ501,'Federal Data'!$G2:$G501,"Community and Regional Development",'Federal Data'!$D2:$D501,"Nongrant")</f>
        <v>2725000</v>
      </c>
      <c r="AH76" s="113">
        <f>SUMIFS('Federal Data'!AR2:AR501,'Federal Data'!$G2:$G501,"Community and Regional Development",'Federal Data'!$D2:$D501,"Nongrant")</f>
        <v>3176000</v>
      </c>
      <c r="AI76" s="113">
        <f>SUMIFS('Federal Data'!AS2:AS501,'Federal Data'!$G2:$G501,"Community and Regional Development",'Federal Data'!$D2:$D501,"Nongrant")</f>
        <v>3141000</v>
      </c>
      <c r="AJ76" s="113">
        <f>SUMIFS('Federal Data'!AT2:AT501,'Federal Data'!$G2:$G501,"Community and Regional Development",'Federal Data'!$D2:$D501,"Nongrant")</f>
        <v>371000</v>
      </c>
      <c r="AK76" s="113">
        <f>SUMIFS('Federal Data'!AU2:AU501,'Federal Data'!$G2:$G501,"Community and Regional Development",'Federal Data'!$D2:$D501,"Nongrant")</f>
        <v>2450000</v>
      </c>
      <c r="AL76" s="113">
        <f>SUMIFS('Federal Data'!AV2:AV501,'Federal Data'!$G2:$G501,"Community and Regional Development",'Federal Data'!$D2:$D501,"Nongrant")</f>
        <v>3245000</v>
      </c>
    </row>
    <row r="77" spans="1:38" outlineLevel="2">
      <c r="A77" s="22" t="str">
        <f>B58</f>
        <v>Promote the General Welfare</v>
      </c>
      <c r="B77" s="28" t="s">
        <v>235</v>
      </c>
      <c r="C77" s="113">
        <f>SUMIFS('Federal Data'!M2:M501,'Federal Data'!$F2:$F501,"Health",'Federal Data'!$D2:$D501,"Nongrant")</f>
        <v>5134624</v>
      </c>
      <c r="D77" s="113">
        <f>SUMIFS('Federal Data'!N2:N501,'Federal Data'!$F2:$F501,"Health",'Federal Data'!$D2:$D501,"Nongrant")</f>
        <v>5415675</v>
      </c>
      <c r="E77" s="113">
        <f>SUMIFS('Federal Data'!O2:O501,'Federal Data'!$F2:$F501,"Health",'Federal Data'!$D2:$D501,"Nongrant")</f>
        <v>5945079</v>
      </c>
      <c r="F77" s="113">
        <f>SUMIFS('Federal Data'!P2:P501,'Federal Data'!$F2:$F501,"Health",'Federal Data'!$D2:$D501,"Nongrant")</f>
        <v>5627461</v>
      </c>
      <c r="G77" s="113">
        <f>SUMIFS('Federal Data'!Q2:Q501,'Federal Data'!$F2:$F501,"Health",'Federal Data'!$D2:$D501,"Nongrant")</f>
        <v>5347967</v>
      </c>
      <c r="H77" s="113">
        <f>SUMIFS('Federal Data'!R2:R501,'Federal Data'!$F2:$F501,"Health",'Federal Data'!$D2:$D501,"Nongrant")</f>
        <v>5848625</v>
      </c>
      <c r="I77" s="113">
        <f>SUMIFS('Federal Data'!S2:S501,'Federal Data'!$F2:$F501,"Health",'Federal Data'!$D2:$D501,"Nongrant")</f>
        <v>6460121</v>
      </c>
      <c r="J77" s="113">
        <f>SUMIFS('Federal Data'!T2:T501,'Federal Data'!$F2:$F501,"Health",'Federal Data'!$D2:$D501,"Nongrant")</f>
        <v>6661638</v>
      </c>
      <c r="K77" s="113">
        <f>SUMIFS('Federal Data'!U2:U501,'Federal Data'!$F2:$F501,"Health",'Federal Data'!$D2:$D501,"Nongrant")</f>
        <v>7911802</v>
      </c>
      <c r="L77" s="113">
        <f>SUMIFS('Federal Data'!V2:V501,'Federal Data'!$F2:$F501,"Health",'Federal Data'!$D2:$D501,"Nongrant")</f>
        <v>8661157</v>
      </c>
      <c r="M77" s="113">
        <f>SUMIFS('Federal Data'!W2:W501,'Federal Data'!$F2:$F501,"Health",'Federal Data'!$D2:$D501,"Nongrant")</f>
        <v>9595650</v>
      </c>
      <c r="N77" s="113">
        <f>SUMIFS('Federal Data'!X2:X501,'Federal Data'!$F2:$F501,"Health",'Federal Data'!$D2:$D501,"Nongrant")</f>
        <v>10204458</v>
      </c>
      <c r="O77" s="113">
        <f>SUMIFS('Federal Data'!Y2:Y501,'Federal Data'!$F2:$F501,"Health",'Federal Data'!$D2:$D501,"Nongrant")</f>
        <v>11379431</v>
      </c>
      <c r="P77" s="113">
        <f>SUMIFS('Federal Data'!Z2:Z501,'Federal Data'!$F2:$F501,"Health",'Federal Data'!$D2:$D501,"Nongrant")</f>
        <v>12681861</v>
      </c>
      <c r="Q77" s="113">
        <f>SUMIFS('Federal Data'!AA2:AA501,'Federal Data'!$F2:$F501,"Health",'Federal Data'!$D2:$D501,"Nongrant")</f>
        <v>13103089</v>
      </c>
      <c r="R77" s="113">
        <f>SUMIFS('Federal Data'!AB2:AB501,'Federal Data'!$F2:$F501,"Health",'Federal Data'!$D2:$D501,"Nongrant")</f>
        <v>14158000</v>
      </c>
      <c r="S77" s="113">
        <f>SUMIFS('Federal Data'!AC2:AC501,'Federal Data'!$F2:$F501,"Health",'Federal Data'!$D2:$D501,"Nongrant")</f>
        <v>13500000</v>
      </c>
      <c r="T77" s="113">
        <f>SUMIFS('Federal Data'!AD2:AD501,'Federal Data'!$F2:$F501,"Health",'Federal Data'!$D2:$D501,"Nongrant")</f>
        <v>15935000</v>
      </c>
      <c r="U77" s="113">
        <f>SUMIFS('Federal Data'!AE2:AE501,'Federal Data'!$F2:$F501,"Health",'Federal Data'!$D2:$D501,"Nongrant")</f>
        <v>16782000</v>
      </c>
      <c r="V77" s="113">
        <f>SUMIFS('Federal Data'!AF2:AF501,'Federal Data'!$F2:$F501,"Health",'Federal Data'!$D2:$D501,"Nongrant")</f>
        <v>17684000</v>
      </c>
      <c r="W77" s="113">
        <f>SUMIFS('Federal Data'!AG2:AG501,'Federal Data'!$F2:$F501,"Health",'Federal Data'!$D2:$D501,"Nongrant")</f>
        <v>19925000</v>
      </c>
      <c r="X77" s="113">
        <f>SUMIFS('Federal Data'!AH2:AH501,'Federal Data'!$F2:$F501,"Health",'Federal Data'!$D2:$D501,"Nongrant")</f>
        <v>22979000</v>
      </c>
      <c r="Y77" s="113">
        <f>SUMIFS('Federal Data'!AI2:AI501,'Federal Data'!$F2:$F501,"Health",'Federal Data'!$D2:$D501,"Nongrant")</f>
        <v>27208000</v>
      </c>
      <c r="Z77" s="113">
        <f>SUMIFS('Federal Data'!AJ2:AJ501,'Federal Data'!$F2:$F501,"Health",'Federal Data'!$D2:$D501,"Nongrant")</f>
        <v>30323000</v>
      </c>
      <c r="AA77" s="113">
        <f>SUMIFS('Federal Data'!AK2:AK501,'Federal Data'!$F2:$F501,"Health",'Federal Data'!$D2:$D501,"Nongrant")</f>
        <v>33246000</v>
      </c>
      <c r="AB77" s="113">
        <f>SUMIFS('Federal Data'!AL2:AL501,'Federal Data'!$F2:$F501,"Health",'Federal Data'!$D2:$D501,"Nongrant")</f>
        <v>33949000</v>
      </c>
      <c r="AC77" s="113">
        <f>SUMIFS('Federal Data'!AM2:AM501,'Federal Data'!$F2:$F501,"Health",'Federal Data'!$D2:$D501,"Nongrant")</f>
        <v>35568000</v>
      </c>
      <c r="AD77" s="113">
        <f>SUMIFS('Federal Data'!AN2:AN501,'Federal Data'!$F2:$F501,"Health",'Federal Data'!$D2:$D501,"Nongrant")</f>
        <v>36020000</v>
      </c>
      <c r="AE77" s="113">
        <f>SUMIFS('Federal Data'!AO2:AO501,'Federal Data'!$F2:$F501,"Health",'Federal Data'!$D2:$D501,"Nongrant")</f>
        <v>38867000</v>
      </c>
      <c r="AF77" s="113">
        <f>SUMIFS('Federal Data'!AP2:AP501,'Federal Data'!$F2:$F501,"Health",'Federal Data'!$D2:$D501,"Nongrant")</f>
        <v>40191000</v>
      </c>
      <c r="AG77" s="113">
        <f>SUMIFS('Federal Data'!AQ2:AQ501,'Federal Data'!$F2:$F501,"Health",'Federal Data'!$D2:$D501,"Nongrant")</f>
        <v>48815000</v>
      </c>
      <c r="AH77" s="113">
        <f>SUMIFS('Federal Data'!AR2:AR501,'Federal Data'!$F2:$F501,"Health",'Federal Data'!$D2:$D501,"Nongrant")</f>
        <v>52534000</v>
      </c>
      <c r="AI77" s="113">
        <f>SUMIFS('Federal Data'!AS2:AS501,'Federal Data'!$F2:$F501,"Health",'Federal Data'!$D2:$D501,"Nongrant")</f>
        <v>51300000</v>
      </c>
      <c r="AJ77" s="113">
        <f>SUMIFS('Federal Data'!AT2:AT501,'Federal Data'!$F2:$F501,"Health",'Federal Data'!$D2:$D501,"Nongrant")</f>
        <v>49775000</v>
      </c>
      <c r="AK77" s="113">
        <f>SUMIFS('Federal Data'!AU2:AU501,'Federal Data'!$F2:$F501,"Health",'Federal Data'!$D2:$D501,"Nongrant")</f>
        <v>47077000</v>
      </c>
      <c r="AL77" s="113">
        <f>SUMIFS('Federal Data'!AV2:AV501,'Federal Data'!$F2:$F501,"Health",'Federal Data'!$D2:$D501,"Nongrant")</f>
        <v>46269000</v>
      </c>
    </row>
    <row r="78" spans="1:38" outlineLevel="3">
      <c r="A78" s="22" t="str">
        <f>B77</f>
        <v>Health (excludes Medicare/Medicaid)</v>
      </c>
      <c r="B78" s="29" t="s">
        <v>56</v>
      </c>
      <c r="C78" s="113">
        <f>SUMIFS('Federal Data'!M2:M501,'Federal Data'!$G2:$G501,"Public Health",'Federal Data'!$D2:$D501,"Nongrant")</f>
        <v>5001544</v>
      </c>
      <c r="D78" s="113">
        <f>SUMIFS('Federal Data'!N2:N501,'Federal Data'!$G2:$G501,"Public Health",'Federal Data'!$D2:$D501,"Nongrant")</f>
        <v>5181941</v>
      </c>
      <c r="E78" s="113">
        <f>SUMIFS('Federal Data'!O2:O501,'Federal Data'!$G2:$G501,"Public Health",'Federal Data'!$D2:$D501,"Nongrant")</f>
        <v>5784954</v>
      </c>
      <c r="F78" s="113">
        <f>SUMIFS('Federal Data'!P2:P501,'Federal Data'!$G2:$G501,"Public Health",'Federal Data'!$D2:$D501,"Nongrant")</f>
        <v>5490291</v>
      </c>
      <c r="G78" s="113">
        <f>SUMIFS('Federal Data'!Q2:Q501,'Federal Data'!$G2:$G501,"Public Health",'Federal Data'!$D2:$D501,"Nongrant")</f>
        <v>5219565</v>
      </c>
      <c r="H78" s="113">
        <f>SUMIFS('Federal Data'!R2:R501,'Federal Data'!$G2:$G501,"Public Health",'Federal Data'!$D2:$D501,"Nongrant")</f>
        <v>5769706</v>
      </c>
      <c r="I78" s="113">
        <f>SUMIFS('Federal Data'!S2:S501,'Federal Data'!$G2:$G501,"Public Health",'Federal Data'!$D2:$D501,"Nongrant")</f>
        <v>6351160</v>
      </c>
      <c r="J78" s="113">
        <f>SUMIFS('Federal Data'!T2:T501,'Federal Data'!$G2:$G501,"Public Health",'Federal Data'!$D2:$D501,"Nongrant")</f>
        <v>6524578</v>
      </c>
      <c r="K78" s="113">
        <f>SUMIFS('Federal Data'!U2:U501,'Federal Data'!$G2:$G501,"Public Health",'Federal Data'!$D2:$D501,"Nongrant")</f>
        <v>7811307</v>
      </c>
      <c r="L78" s="113">
        <f>SUMIFS('Federal Data'!V2:V501,'Federal Data'!$G2:$G501,"Public Health",'Federal Data'!$D2:$D501,"Nongrant")</f>
        <v>8544856</v>
      </c>
      <c r="M78" s="113">
        <f>SUMIFS('Federal Data'!W2:W501,'Federal Data'!$G2:$G501,"Public Health",'Federal Data'!$D2:$D501,"Nongrant")</f>
        <v>9467745</v>
      </c>
      <c r="N78" s="113">
        <f>SUMIFS('Federal Data'!X2:X501,'Federal Data'!$G2:$G501,"Public Health",'Federal Data'!$D2:$D501,"Nongrant")</f>
        <v>10040194</v>
      </c>
      <c r="O78" s="113">
        <f>SUMIFS('Federal Data'!Y2:Y501,'Federal Data'!$G2:$G501,"Public Health",'Federal Data'!$D2:$D501,"Nongrant")</f>
        <v>11392331</v>
      </c>
      <c r="P78" s="113">
        <f>SUMIFS('Federal Data'!Z2:Z501,'Federal Data'!$G2:$G501,"Public Health",'Federal Data'!$D2:$D501,"Nongrant")</f>
        <v>12368466</v>
      </c>
      <c r="Q78" s="113">
        <f>SUMIFS('Federal Data'!AA2:AA501,'Federal Data'!$G2:$G501,"Public Health",'Federal Data'!$D2:$D501,"Nongrant")</f>
        <v>12776258</v>
      </c>
      <c r="R78" s="113">
        <f>SUMIFS('Federal Data'!AB2:AB501,'Federal Data'!$G2:$G501,"Public Health",'Federal Data'!$D2:$D501,"Nongrant")</f>
        <v>13560000</v>
      </c>
      <c r="S78" s="113">
        <f>SUMIFS('Federal Data'!AC2:AC501,'Federal Data'!$G2:$G501,"Public Health",'Federal Data'!$D2:$D501,"Nongrant")</f>
        <v>13029000</v>
      </c>
      <c r="T78" s="113">
        <f>SUMIFS('Federal Data'!AD2:AD501,'Federal Data'!$G2:$G501,"Public Health",'Federal Data'!$D2:$D501,"Nongrant")</f>
        <v>15402000</v>
      </c>
      <c r="U78" s="113">
        <f>SUMIFS('Federal Data'!AE2:AE501,'Federal Data'!$G2:$G501,"Public Health",'Federal Data'!$D2:$D501,"Nongrant")</f>
        <v>16220000</v>
      </c>
      <c r="V78" s="113">
        <f>SUMIFS('Federal Data'!AF2:AF501,'Federal Data'!$G2:$G501,"Public Health",'Federal Data'!$D2:$D501,"Nongrant")</f>
        <v>17187000</v>
      </c>
      <c r="W78" s="113">
        <f>SUMIFS('Federal Data'!AG2:AG501,'Federal Data'!$G2:$G501,"Public Health",'Federal Data'!$D2:$D501,"Nongrant")</f>
        <v>19262000</v>
      </c>
      <c r="X78" s="113">
        <f>SUMIFS('Federal Data'!AH2:AH501,'Federal Data'!$G2:$G501,"Public Health",'Federal Data'!$D2:$D501,"Nongrant")</f>
        <v>22383000</v>
      </c>
      <c r="Y78" s="113">
        <f>SUMIFS('Federal Data'!AI2:AI501,'Federal Data'!$G2:$G501,"Public Health",'Federal Data'!$D2:$D501,"Nongrant")</f>
        <v>26340000</v>
      </c>
      <c r="Z78" s="113">
        <f>SUMIFS('Federal Data'!AJ2:AJ501,'Federal Data'!$G2:$G501,"Public Health",'Federal Data'!$D2:$D501,"Nongrant")</f>
        <v>29579000</v>
      </c>
      <c r="AA78" s="113">
        <f>SUMIFS('Federal Data'!AK2:AK501,'Federal Data'!$G2:$G501,"Public Health",'Federal Data'!$D2:$D501,"Nongrant")</f>
        <v>32598000</v>
      </c>
      <c r="AB78" s="113">
        <f>SUMIFS('Federal Data'!AL2:AL501,'Federal Data'!$G2:$G501,"Public Health",'Federal Data'!$D2:$D501,"Nongrant")</f>
        <v>33164000</v>
      </c>
      <c r="AC78" s="113">
        <f>SUMIFS('Federal Data'!AM2:AM501,'Federal Data'!$G2:$G501,"Public Health",'Federal Data'!$D2:$D501,"Nongrant")</f>
        <v>35194000</v>
      </c>
      <c r="AD78" s="113">
        <f>SUMIFS('Federal Data'!AN2:AN501,'Federal Data'!$G2:$G501,"Public Health",'Federal Data'!$D2:$D501,"Nongrant")</f>
        <v>35558000</v>
      </c>
      <c r="AE78" s="113">
        <f>SUMIFS('Federal Data'!AO2:AO501,'Federal Data'!$G2:$G501,"Public Health",'Federal Data'!$D2:$D501,"Nongrant")</f>
        <v>38549000</v>
      </c>
      <c r="AF78" s="113">
        <f>SUMIFS('Federal Data'!AP2:AP501,'Federal Data'!$G2:$G501,"Public Health",'Federal Data'!$D2:$D501,"Nongrant")</f>
        <v>40039000</v>
      </c>
      <c r="AG78" s="113">
        <f>SUMIFS('Federal Data'!AQ2:AQ501,'Federal Data'!$G2:$G501,"Public Health",'Federal Data'!$D2:$D501,"Nongrant")</f>
        <v>48385000</v>
      </c>
      <c r="AH78" s="113">
        <f>SUMIFS('Federal Data'!AR2:AR501,'Federal Data'!$G2:$G501,"Public Health",'Federal Data'!$D2:$D501,"Nongrant")</f>
        <v>48197000</v>
      </c>
      <c r="AI78" s="113">
        <f>SUMIFS('Federal Data'!AS2:AS501,'Federal Data'!$G2:$G501,"Public Health",'Federal Data'!$D2:$D501,"Nongrant")</f>
        <v>46478000</v>
      </c>
      <c r="AJ78" s="113">
        <f>SUMIFS('Federal Data'!AT2:AT501,'Federal Data'!$G2:$G501,"Public Health",'Federal Data'!$D2:$D501,"Nongrant")</f>
        <v>45679000</v>
      </c>
      <c r="AK78" s="113">
        <f>SUMIFS('Federal Data'!AU2:AU501,'Federal Data'!$G2:$G501,"Public Health",'Federal Data'!$D2:$D501,"Nongrant")</f>
        <v>43501000</v>
      </c>
      <c r="AL78" s="113">
        <f>SUMIFS('Federal Data'!AV2:AV501,'Federal Data'!$G2:$G501,"Public Health",'Federal Data'!$D2:$D501,"Nongrant")</f>
        <v>43770000</v>
      </c>
    </row>
    <row r="79" spans="1:38" outlineLevel="3">
      <c r="A79" s="22" t="str">
        <f>B77</f>
        <v>Health (excludes Medicare/Medicaid)</v>
      </c>
      <c r="B79" s="29" t="s">
        <v>57</v>
      </c>
      <c r="C79" s="113">
        <f>SUMIFS('Federal Data'!M2:M501,'Federal Data'!$G2:$G501,"Other Medical Assistance to Persons",'Federal Data'!$D2:$D501,"Nongrant")</f>
        <v>0</v>
      </c>
      <c r="D79" s="113">
        <f>SUMIFS('Federal Data'!N2:N501,'Federal Data'!$G2:$G501,"Other Medical Assistance to Persons",'Federal Data'!$D2:$D501,"Nongrant")</f>
        <v>0</v>
      </c>
      <c r="E79" s="113">
        <f>SUMIFS('Federal Data'!O2:O501,'Federal Data'!$G2:$G501,"Other Medical Assistance to Persons",'Federal Data'!$D2:$D501,"Nongrant")</f>
        <v>0</v>
      </c>
      <c r="F79" s="113">
        <f>SUMIFS('Federal Data'!P2:P501,'Federal Data'!$G2:$G501,"Other Medical Assistance to Persons",'Federal Data'!$D2:$D501,"Nongrant")</f>
        <v>0</v>
      </c>
      <c r="G79" s="113">
        <f>SUMIFS('Federal Data'!Q2:Q501,'Federal Data'!$G2:$G501,"Other Medical Assistance to Persons",'Federal Data'!$D2:$D501,"Nongrant")</f>
        <v>0</v>
      </c>
      <c r="H79" s="113">
        <f>SUMIFS('Federal Data'!R2:R501,'Federal Data'!$G2:$G501,"Other Medical Assistance to Persons",'Federal Data'!$D2:$D501,"Nongrant")</f>
        <v>0</v>
      </c>
      <c r="I79" s="113">
        <f>SUMIFS('Federal Data'!S2:S501,'Federal Data'!$G2:$G501,"Other Medical Assistance to Persons",'Federal Data'!$D2:$D501,"Nongrant")</f>
        <v>0</v>
      </c>
      <c r="J79" s="113">
        <f>SUMIFS('Federal Data'!T2:T501,'Federal Data'!$G2:$G501,"Other Medical Assistance to Persons",'Federal Data'!$D2:$D501,"Nongrant")</f>
        <v>0</v>
      </c>
      <c r="K79" s="113">
        <f>SUMIFS('Federal Data'!U2:U501,'Federal Data'!$G2:$G501,"Other Medical Assistance to Persons",'Federal Data'!$D2:$D501,"Nongrant")</f>
        <v>0</v>
      </c>
      <c r="L79" s="113">
        <f>SUMIFS('Federal Data'!V2:V501,'Federal Data'!$G2:$G501,"Other Medical Assistance to Persons",'Federal Data'!$D2:$D501,"Nongrant")</f>
        <v>0</v>
      </c>
      <c r="M79" s="113">
        <f>SUMIFS('Federal Data'!W2:W501,'Federal Data'!$G2:$G501,"Other Medical Assistance to Persons",'Federal Data'!$D2:$D501,"Nongrant")</f>
        <v>0</v>
      </c>
      <c r="N79" s="113">
        <f>SUMIFS('Federal Data'!X2:X501,'Federal Data'!$G2:$G501,"Other Medical Assistance to Persons",'Federal Data'!$D2:$D501,"Nongrant")</f>
        <v>0</v>
      </c>
      <c r="O79" s="113">
        <f>SUMIFS('Federal Data'!Y2:Y501,'Federal Data'!$G2:$G501,"Other Medical Assistance to Persons",'Federal Data'!$D2:$D501,"Nongrant")</f>
        <v>0</v>
      </c>
      <c r="P79" s="113">
        <f>SUMIFS('Federal Data'!Z2:Z501,'Federal Data'!$G2:$G501,"Other Medical Assistance to Persons",'Federal Data'!$D2:$D501,"Nongrant")</f>
        <v>161091</v>
      </c>
      <c r="Q79" s="113">
        <f>SUMIFS('Federal Data'!AA2:AA501,'Federal Data'!$G2:$G501,"Other Medical Assistance to Persons",'Federal Data'!$D2:$D501,"Nongrant")</f>
        <v>285960</v>
      </c>
      <c r="R79" s="113">
        <f>SUMIFS('Federal Data'!AB2:AB501,'Federal Data'!$G2:$G501,"Other Medical Assistance to Persons",'Federal Data'!$D2:$D501,"Nongrant")</f>
        <v>336000</v>
      </c>
      <c r="S79" s="113">
        <f>SUMIFS('Federal Data'!AC2:AC501,'Federal Data'!$G2:$G501,"Other Medical Assistance to Persons",'Federal Data'!$D2:$D501,"Nongrant")</f>
        <v>304000</v>
      </c>
      <c r="T79" s="113">
        <f>SUMIFS('Federal Data'!AD2:AD501,'Federal Data'!$G2:$G501,"Other Medical Assistance to Persons",'Federal Data'!$D2:$D501,"Nongrant")</f>
        <v>339000</v>
      </c>
      <c r="U79" s="113">
        <f>SUMIFS('Federal Data'!AE2:AE501,'Federal Data'!$G2:$G501,"Other Medical Assistance to Persons",'Federal Data'!$D2:$D501,"Nongrant")</f>
        <v>340000</v>
      </c>
      <c r="V79" s="113">
        <f>SUMIFS('Federal Data'!AF2:AF501,'Federal Data'!$G2:$G501,"Other Medical Assistance to Persons",'Federal Data'!$D2:$D501,"Nongrant")</f>
        <v>148000</v>
      </c>
      <c r="W79" s="113">
        <f>SUMIFS('Federal Data'!AG2:AG501,'Federal Data'!$G2:$G501,"Other Medical Assistance to Persons",'Federal Data'!$D2:$D501,"Nongrant")</f>
        <v>155000</v>
      </c>
      <c r="X79" s="113">
        <f>SUMIFS('Federal Data'!AH2:AH501,'Federal Data'!$G2:$G501,"Other Medical Assistance to Persons",'Federal Data'!$D2:$D501,"Nongrant")</f>
        <v>150000</v>
      </c>
      <c r="Y79" s="113">
        <f>SUMIFS('Federal Data'!AI2:AI501,'Federal Data'!$G2:$G501,"Other Medical Assistance to Persons",'Federal Data'!$D2:$D501,"Nongrant")</f>
        <v>124000</v>
      </c>
      <c r="Z79" s="113">
        <f>SUMIFS('Federal Data'!AJ2:AJ501,'Federal Data'!$G2:$G501,"Other Medical Assistance to Persons",'Federal Data'!$D2:$D501,"Nongrant")</f>
        <v>190000</v>
      </c>
      <c r="AA79" s="113">
        <f>SUMIFS('Federal Data'!AK2:AK501,'Federal Data'!$G2:$G501,"Other Medical Assistance to Persons",'Federal Data'!$D2:$D501,"Nongrant")</f>
        <v>127000</v>
      </c>
      <c r="AB79" s="113">
        <f>SUMIFS('Federal Data'!AL2:AL501,'Federal Data'!$G2:$G501,"Other Medical Assistance to Persons",'Federal Data'!$D2:$D501,"Nongrant")</f>
        <v>125000</v>
      </c>
      <c r="AC79" s="113">
        <f>SUMIFS('Federal Data'!AM2:AM501,'Federal Data'!$G2:$G501,"Other Medical Assistance to Persons",'Federal Data'!$D2:$D501,"Nongrant")</f>
        <v>114000</v>
      </c>
      <c r="AD79" s="113">
        <f>SUMIFS('Federal Data'!AN2:AN501,'Federal Data'!$G2:$G501,"Other Medical Assistance to Persons",'Federal Data'!$D2:$D501,"Nongrant")</f>
        <v>49000</v>
      </c>
      <c r="AE79" s="113">
        <f>SUMIFS('Federal Data'!AO2:AO501,'Federal Data'!$G2:$G501,"Other Medical Assistance to Persons",'Federal Data'!$D2:$D501,"Nongrant")</f>
        <v>-8000</v>
      </c>
      <c r="AF79" s="113">
        <f>SUMIFS('Federal Data'!AP2:AP501,'Federal Data'!$G2:$G501,"Other Medical Assistance to Persons",'Federal Data'!$D2:$D501,"Nongrant")</f>
        <v>55000</v>
      </c>
      <c r="AG79" s="113">
        <f>SUMIFS('Federal Data'!AQ2:AQ501,'Federal Data'!$G2:$G501,"Other Medical Assistance to Persons",'Federal Data'!$D2:$D501,"Nongrant")</f>
        <v>47000</v>
      </c>
      <c r="AH79" s="113">
        <f>SUMIFS('Federal Data'!AR2:AR501,'Federal Data'!$G2:$G501,"Other Medical Assistance to Persons",'Federal Data'!$D2:$D501,"Nongrant")</f>
        <v>3415000</v>
      </c>
      <c r="AI79" s="113">
        <f>SUMIFS('Federal Data'!AS2:AS501,'Federal Data'!$G2:$G501,"Other Medical Assistance to Persons",'Federal Data'!$D2:$D501,"Nongrant")</f>
        <v>3500000</v>
      </c>
      <c r="AJ79" s="113">
        <f>SUMIFS('Federal Data'!AT2:AT501,'Federal Data'!$G2:$G501,"Other Medical Assistance to Persons",'Federal Data'!$D2:$D501,"Nongrant")</f>
        <v>2481000</v>
      </c>
      <c r="AK79" s="113">
        <f>SUMIFS('Federal Data'!AU2:AU501,'Federal Data'!$G2:$G501,"Other Medical Assistance to Persons",'Federal Data'!$D2:$D501,"Nongrant")</f>
        <v>921000</v>
      </c>
      <c r="AL79" s="113">
        <f>SUMIFS('Federal Data'!AV2:AV501,'Federal Data'!$G2:$G501,"Other Medical Assistance to Persons",'Federal Data'!$D2:$D501,"Nongrant")</f>
        <v>226000</v>
      </c>
    </row>
    <row r="80" spans="1:38" outlineLevel="3">
      <c r="A80" s="22" t="str">
        <f>B77</f>
        <v>Health (excludes Medicare/Medicaid)</v>
      </c>
      <c r="B80" s="29" t="s">
        <v>102</v>
      </c>
      <c r="C80" s="113">
        <f>SUMIFS('Federal Data'!M2:M501,'Federal Data'!$G2:$G501,"Medicare &amp; Medicaid Unallocable",'Federal Data'!$D2:$D501,"Nongrant")</f>
        <v>69034</v>
      </c>
      <c r="D80" s="113">
        <f>SUMIFS('Federal Data'!N2:N501,'Federal Data'!$G2:$G501,"Medicare &amp; Medicaid Unallocable",'Federal Data'!$D2:$D501,"Nongrant")</f>
        <v>115922</v>
      </c>
      <c r="E80" s="113">
        <f>SUMIFS('Federal Data'!O2:O501,'Federal Data'!$G2:$G501,"Medicare &amp; Medicaid Unallocable",'Federal Data'!$D2:$D501,"Nongrant")</f>
        <v>53445</v>
      </c>
      <c r="F80" s="113">
        <f>SUMIFS('Federal Data'!P2:P501,'Federal Data'!$G2:$G501,"Medicare &amp; Medicaid Unallocable",'Federal Data'!$D2:$D501,"Nongrant")</f>
        <v>85991</v>
      </c>
      <c r="G80" s="113">
        <f>SUMIFS('Federal Data'!Q2:Q501,'Federal Data'!$G2:$G501,"Medicare &amp; Medicaid Unallocable",'Federal Data'!$D2:$D501,"Nongrant")</f>
        <v>89701</v>
      </c>
      <c r="H80" s="113">
        <f>SUMIFS('Federal Data'!R2:R501,'Federal Data'!$G2:$G501,"Medicare &amp; Medicaid Unallocable",'Federal Data'!$D2:$D501,"Nongrant")</f>
        <v>46045</v>
      </c>
      <c r="I80" s="113">
        <f>SUMIFS('Federal Data'!S2:S501,'Federal Data'!$G2:$G501,"Medicare &amp; Medicaid Unallocable",'Federal Data'!$D2:$D501,"Nongrant")</f>
        <v>77070</v>
      </c>
      <c r="J80" s="113">
        <f>SUMIFS('Federal Data'!T2:T501,'Federal Data'!$G2:$G501,"Medicare &amp; Medicaid Unallocable",'Federal Data'!$D2:$D501,"Nongrant")</f>
        <v>94314</v>
      </c>
      <c r="K80" s="113">
        <f>SUMIFS('Federal Data'!U2:U501,'Federal Data'!$G2:$G501,"Medicare &amp; Medicaid Unallocable",'Federal Data'!$D2:$D501,"Nongrant")</f>
        <v>57791</v>
      </c>
      <c r="L80" s="113">
        <f>SUMIFS('Federal Data'!V2:V501,'Federal Data'!$G2:$G501,"Medicare &amp; Medicaid Unallocable",'Federal Data'!$D2:$D501,"Nongrant")</f>
        <v>76127</v>
      </c>
      <c r="M80" s="113">
        <f>SUMIFS('Federal Data'!W2:W501,'Federal Data'!$G2:$G501,"Medicare &amp; Medicaid Unallocable",'Federal Data'!$D2:$D501,"Nongrant")</f>
        <v>65982</v>
      </c>
      <c r="N80" s="113">
        <f>SUMIFS('Federal Data'!X2:X501,'Federal Data'!$G2:$G501,"Medicare &amp; Medicaid Unallocable",'Federal Data'!$D2:$D501,"Nongrant")</f>
        <v>121919</v>
      </c>
      <c r="O80" s="113">
        <f>SUMIFS('Federal Data'!Y2:Y501,'Federal Data'!$G2:$G501,"Medicare &amp; Medicaid Unallocable",'Federal Data'!$D2:$D501,"Nongrant")</f>
        <v>-76214</v>
      </c>
      <c r="P80" s="113">
        <f>SUMIFS('Federal Data'!Z2:Z501,'Federal Data'!$G2:$G501,"Medicare &amp; Medicaid Unallocable",'Federal Data'!$D2:$D501,"Nongrant")</f>
        <v>116802</v>
      </c>
      <c r="Q80" s="113">
        <f>SUMIFS('Federal Data'!AA2:AA501,'Federal Data'!$G2:$G501,"Medicare &amp; Medicaid Unallocable",'Federal Data'!$D2:$D501,"Nongrant")</f>
        <v>-23833</v>
      </c>
      <c r="R80" s="113">
        <f>SUMIFS('Federal Data'!AB2:AB501,'Federal Data'!$G2:$G501,"Medicare &amp; Medicaid Unallocable",'Federal Data'!$D2:$D501,"Nongrant")</f>
        <v>12000</v>
      </c>
      <c r="S80" s="113">
        <f>SUMIFS('Federal Data'!AC2:AC501,'Federal Data'!$G2:$G501,"Medicare &amp; Medicaid Unallocable",'Federal Data'!$D2:$D501,"Nongrant")</f>
        <v>23000</v>
      </c>
      <c r="T80" s="113">
        <f>SUMIFS('Federal Data'!AD2:AD501,'Federal Data'!$G2:$G501,"Medicare &amp; Medicaid Unallocable",'Federal Data'!$D2:$D501,"Nongrant")</f>
        <v>27000</v>
      </c>
      <c r="U80" s="113">
        <f>SUMIFS('Federal Data'!AE2:AE501,'Federal Data'!$G2:$G501,"Medicare &amp; Medicaid Unallocable",'Federal Data'!$D2:$D501,"Nongrant")</f>
        <v>40000</v>
      </c>
      <c r="V80" s="113">
        <f>SUMIFS('Federal Data'!AF2:AF501,'Federal Data'!$G2:$G501,"Medicare &amp; Medicaid Unallocable",'Federal Data'!$D2:$D501,"Nongrant")</f>
        <v>35000</v>
      </c>
      <c r="W80" s="113">
        <f>SUMIFS('Federal Data'!AG2:AG501,'Federal Data'!$G2:$G501,"Medicare &amp; Medicaid Unallocable",'Federal Data'!$D2:$D501,"Nongrant")</f>
        <v>-149000</v>
      </c>
      <c r="X80" s="113">
        <f>SUMIFS('Federal Data'!AH2:AH501,'Federal Data'!$G2:$G501,"Medicare &amp; Medicaid Unallocable",'Federal Data'!$D2:$D501,"Nongrant")</f>
        <v>-14000</v>
      </c>
      <c r="Y80" s="113">
        <f>SUMIFS('Federal Data'!AI2:AI501,'Federal Data'!$G2:$G501,"Medicare &amp; Medicaid Unallocable",'Federal Data'!$D2:$D501,"Nongrant")</f>
        <v>477000</v>
      </c>
      <c r="Z80" s="113">
        <f>SUMIFS('Federal Data'!AJ2:AJ501,'Federal Data'!$G2:$G501,"Medicare &amp; Medicaid Unallocable",'Federal Data'!$D2:$D501,"Nongrant")</f>
        <v>-18000</v>
      </c>
      <c r="AA80" s="113">
        <f>SUMIFS('Federal Data'!AK2:AK501,'Federal Data'!$G2:$G501,"Medicare &amp; Medicaid Unallocable",'Federal Data'!$D2:$D501,"Nongrant")</f>
        <v>-342000</v>
      </c>
      <c r="AB80" s="113">
        <f>SUMIFS('Federal Data'!AL2:AL501,'Federal Data'!$G2:$G501,"Medicare &amp; Medicaid Unallocable",'Federal Data'!$D2:$D501,"Nongrant")</f>
        <v>374000</v>
      </c>
      <c r="AC80" s="113">
        <f>SUMIFS('Federal Data'!AM2:AM501,'Federal Data'!$G2:$G501,"Medicare &amp; Medicaid Unallocable",'Federal Data'!$D2:$D501,"Nongrant")</f>
        <v>-80000</v>
      </c>
      <c r="AD80" s="113">
        <f>SUMIFS('Federal Data'!AN2:AN501,'Federal Data'!$G2:$G501,"Medicare &amp; Medicaid Unallocable",'Federal Data'!$D2:$D501,"Nongrant")</f>
        <v>136000</v>
      </c>
      <c r="AE80" s="113">
        <f>SUMIFS('Federal Data'!AO2:AO501,'Federal Data'!$G2:$G501,"Medicare &amp; Medicaid Unallocable",'Federal Data'!$D2:$D501,"Nongrant")</f>
        <v>40000</v>
      </c>
      <c r="AF80" s="113">
        <f>SUMIFS('Federal Data'!AP2:AP501,'Federal Data'!$G2:$G501,"Medicare &amp; Medicaid Unallocable",'Federal Data'!$D2:$D501,"Nongrant")</f>
        <v>-54000</v>
      </c>
      <c r="AG80" s="113">
        <f>SUMIFS('Federal Data'!AQ2:AQ501,'Federal Data'!$G2:$G501,"Medicare &amp; Medicaid Unallocable",'Federal Data'!$D2:$D501,"Nongrant")</f>
        <v>127000</v>
      </c>
      <c r="AH80" s="113">
        <f>SUMIFS('Federal Data'!AR2:AR501,'Federal Data'!$G2:$G501,"Medicare &amp; Medicaid Unallocable",'Federal Data'!$D2:$D501,"Nongrant")</f>
        <v>302000</v>
      </c>
      <c r="AI80" s="113">
        <f>SUMIFS('Federal Data'!AS2:AS501,'Federal Data'!$G2:$G501,"Medicare &amp; Medicaid Unallocable",'Federal Data'!$D2:$D501,"Nongrant")</f>
        <v>415000</v>
      </c>
      <c r="AJ80" s="113">
        <f>SUMIFS('Federal Data'!AT2:AT501,'Federal Data'!$G2:$G501,"Medicare &amp; Medicaid Unallocable",'Federal Data'!$D2:$D501,"Nongrant")</f>
        <v>752000</v>
      </c>
      <c r="AK80" s="113">
        <f>SUMIFS('Federal Data'!AU2:AU501,'Federal Data'!$G2:$G501,"Medicare &amp; Medicaid Unallocable",'Federal Data'!$D2:$D501,"Nongrant")</f>
        <v>1354000</v>
      </c>
      <c r="AL80" s="113">
        <f>SUMIFS('Federal Data'!AV2:AV501,'Federal Data'!$G2:$G501,"Medicare &amp; Medicaid Unallocable",'Federal Data'!$D2:$D501,"Nongrant")</f>
        <v>1341000</v>
      </c>
    </row>
    <row r="81" spans="1:38" outlineLevel="3">
      <c r="A81" s="22" t="str">
        <f>B77</f>
        <v>Health (excludes Medicare/Medicaid)</v>
      </c>
      <c r="B81" s="29" t="s">
        <v>58</v>
      </c>
      <c r="C81" s="113">
        <f>SUMIFS('Federal Data'!M2:M501,'Federal Data'!$G2:$G501,"Other Health",'Federal Data'!$D2:$D501,"Nongrant")</f>
        <v>64046</v>
      </c>
      <c r="D81" s="113">
        <f>SUMIFS('Federal Data'!N2:N501,'Federal Data'!$G2:$G501,"Other Health",'Federal Data'!$D2:$D501,"Nongrant")</f>
        <v>117812</v>
      </c>
      <c r="E81" s="113">
        <f>SUMIFS('Federal Data'!O2:O501,'Federal Data'!$G2:$G501,"Other Health",'Federal Data'!$D2:$D501,"Nongrant")</f>
        <v>106680</v>
      </c>
      <c r="F81" s="113">
        <f>SUMIFS('Federal Data'!P2:P501,'Federal Data'!$G2:$G501,"Other Health",'Federal Data'!$D2:$D501,"Nongrant")</f>
        <v>51179</v>
      </c>
      <c r="G81" s="113">
        <f>SUMIFS('Federal Data'!Q2:Q501,'Federal Data'!$G2:$G501,"Other Health",'Federal Data'!$D2:$D501,"Nongrant")</f>
        <v>38701</v>
      </c>
      <c r="H81" s="113">
        <f>SUMIFS('Federal Data'!R2:R501,'Federal Data'!$G2:$G501,"Other Health",'Federal Data'!$D2:$D501,"Nongrant")</f>
        <v>32874</v>
      </c>
      <c r="I81" s="113">
        <f>SUMIFS('Federal Data'!S2:S501,'Federal Data'!$G2:$G501,"Other Health",'Federal Data'!$D2:$D501,"Nongrant")</f>
        <v>31891</v>
      </c>
      <c r="J81" s="113">
        <f>SUMIFS('Federal Data'!T2:T501,'Federal Data'!$G2:$G501,"Other Health",'Federal Data'!$D2:$D501,"Nongrant")</f>
        <v>42746</v>
      </c>
      <c r="K81" s="113">
        <f>SUMIFS('Federal Data'!U2:U501,'Federal Data'!$G2:$G501,"Other Health",'Federal Data'!$D2:$D501,"Nongrant")</f>
        <v>42704</v>
      </c>
      <c r="L81" s="113">
        <f>SUMIFS('Federal Data'!V2:V501,'Federal Data'!$G2:$G501,"Other Health",'Federal Data'!$D2:$D501,"Nongrant")</f>
        <v>40174</v>
      </c>
      <c r="M81" s="113">
        <f>SUMIFS('Federal Data'!W2:W501,'Federal Data'!$G2:$G501,"Other Health",'Federal Data'!$D2:$D501,"Nongrant")</f>
        <v>61923</v>
      </c>
      <c r="N81" s="113">
        <f>SUMIFS('Federal Data'!X2:X501,'Federal Data'!$G2:$G501,"Other Health",'Federal Data'!$D2:$D501,"Nongrant")</f>
        <v>42345</v>
      </c>
      <c r="O81" s="113">
        <f>SUMIFS('Federal Data'!Y2:Y501,'Federal Data'!$G2:$G501,"Other Health",'Federal Data'!$D2:$D501,"Nongrant")</f>
        <v>63314</v>
      </c>
      <c r="P81" s="113">
        <f>SUMIFS('Federal Data'!Z2:Z501,'Federal Data'!$G2:$G501,"Other Health",'Federal Data'!$D2:$D501,"Nongrant")</f>
        <v>35502</v>
      </c>
      <c r="Q81" s="113">
        <f>SUMIFS('Federal Data'!AA2:AA501,'Federal Data'!$G2:$G501,"Other Health",'Federal Data'!$D2:$D501,"Nongrant")</f>
        <v>64704</v>
      </c>
      <c r="R81" s="113">
        <f>SUMIFS('Federal Data'!AB2:AB501,'Federal Data'!$G2:$G501,"Other Health",'Federal Data'!$D2:$D501,"Nongrant")</f>
        <v>250000</v>
      </c>
      <c r="S81" s="113">
        <f>SUMIFS('Federal Data'!AC2:AC501,'Federal Data'!$G2:$G501,"Other Health",'Federal Data'!$D2:$D501,"Nongrant")</f>
        <v>144000</v>
      </c>
      <c r="T81" s="113">
        <f>SUMIFS('Federal Data'!AD2:AD501,'Federal Data'!$G2:$G501,"Other Health",'Federal Data'!$D2:$D501,"Nongrant")</f>
        <v>167000</v>
      </c>
      <c r="U81" s="113">
        <f>SUMIFS('Federal Data'!AE2:AE501,'Federal Data'!$G2:$G501,"Other Health",'Federal Data'!$D2:$D501,"Nongrant")</f>
        <v>182000</v>
      </c>
      <c r="V81" s="113">
        <f>SUMIFS('Federal Data'!AF2:AF501,'Federal Data'!$G2:$G501,"Other Health",'Federal Data'!$D2:$D501,"Nongrant")</f>
        <v>314000</v>
      </c>
      <c r="W81" s="113">
        <f>SUMIFS('Federal Data'!AG2:AG501,'Federal Data'!$G2:$G501,"Other Health",'Federal Data'!$D2:$D501,"Nongrant")</f>
        <v>657000</v>
      </c>
      <c r="X81" s="113">
        <f>SUMIFS('Federal Data'!AH2:AH501,'Federal Data'!$G2:$G501,"Other Health",'Federal Data'!$D2:$D501,"Nongrant")</f>
        <v>460000</v>
      </c>
      <c r="Y81" s="113">
        <f>SUMIFS('Federal Data'!AI2:AI501,'Federal Data'!$G2:$G501,"Other Health",'Federal Data'!$D2:$D501,"Nongrant")</f>
        <v>267000</v>
      </c>
      <c r="Z81" s="113">
        <f>SUMIFS('Federal Data'!AJ2:AJ501,'Federal Data'!$G2:$G501,"Other Health",'Federal Data'!$D2:$D501,"Nongrant")</f>
        <v>572000</v>
      </c>
      <c r="AA81" s="113">
        <f>SUMIFS('Federal Data'!AK2:AK501,'Federal Data'!$G2:$G501,"Other Health",'Federal Data'!$D2:$D501,"Nongrant")</f>
        <v>863000</v>
      </c>
      <c r="AB81" s="113">
        <f>SUMIFS('Federal Data'!AL2:AL501,'Federal Data'!$G2:$G501,"Other Health",'Federal Data'!$D2:$D501,"Nongrant")</f>
        <v>286000</v>
      </c>
      <c r="AC81" s="113">
        <f>SUMIFS('Federal Data'!AM2:AM501,'Federal Data'!$G2:$G501,"Other Health",'Federal Data'!$D2:$D501,"Nongrant")</f>
        <v>340000</v>
      </c>
      <c r="AD81" s="113">
        <f>SUMIFS('Federal Data'!AN2:AN501,'Federal Data'!$G2:$G501,"Other Health",'Federal Data'!$D2:$D501,"Nongrant")</f>
        <v>277000</v>
      </c>
      <c r="AE81" s="113">
        <f>SUMIFS('Federal Data'!AO2:AO501,'Federal Data'!$G2:$G501,"Other Health",'Federal Data'!$D2:$D501,"Nongrant")</f>
        <v>286000</v>
      </c>
      <c r="AF81" s="113">
        <f>SUMIFS('Federal Data'!AP2:AP501,'Federal Data'!$G2:$G501,"Other Health",'Federal Data'!$D2:$D501,"Nongrant")</f>
        <v>151000</v>
      </c>
      <c r="AG81" s="113">
        <f>SUMIFS('Federal Data'!AQ2:AQ501,'Federal Data'!$G2:$G501,"Other Health",'Federal Data'!$D2:$D501,"Nongrant")</f>
        <v>256000</v>
      </c>
      <c r="AH81" s="113">
        <f>SUMIFS('Federal Data'!AR2:AR501,'Federal Data'!$G2:$G501,"Other Health",'Federal Data'!$D2:$D501,"Nongrant")</f>
        <v>620000</v>
      </c>
      <c r="AI81" s="113">
        <f>SUMIFS('Federal Data'!AS2:AS501,'Federal Data'!$G2:$G501,"Other Health",'Federal Data'!$D2:$D501,"Nongrant")</f>
        <v>907000</v>
      </c>
      <c r="AJ81" s="113">
        <f>SUMIFS('Federal Data'!AT2:AT501,'Federal Data'!$G2:$G501,"Other Health",'Federal Data'!$D2:$D501,"Nongrant")</f>
        <v>863000</v>
      </c>
      <c r="AK81" s="113">
        <f>SUMIFS('Federal Data'!AU2:AU501,'Federal Data'!$G2:$G501,"Other Health",'Federal Data'!$D2:$D501,"Nongrant")</f>
        <v>1301000</v>
      </c>
      <c r="AL81" s="113">
        <f>SUMIFS('Federal Data'!AV2:AV501,'Federal Data'!$G2:$G501,"Other Health",'Federal Data'!$D2:$D501,"Nongrant")</f>
        <v>932000</v>
      </c>
    </row>
    <row r="82" spans="1:38" outlineLevel="2">
      <c r="A82" s="22" t="str">
        <f>B58</f>
        <v>Promote the General Welfare</v>
      </c>
      <c r="B82" s="28" t="s">
        <v>39</v>
      </c>
      <c r="C82" s="113">
        <f>SUMIFS('Federal Data'!M2:M501,'Federal Data'!$F2:$F501,"Standard of Living and Aid to the Disadvantaged",'Federal Data'!$D2:$D501,"Nongrant")</f>
        <v>41803866</v>
      </c>
      <c r="D82" s="113">
        <f>SUMIFS('Federal Data'!N2:N501,'Federal Data'!$F2:$F501,"Standard of Living and Aid to the Disadvantaged",'Federal Data'!$D2:$D501,"Nongrant")</f>
        <v>47743036</v>
      </c>
      <c r="E82" s="113">
        <f>SUMIFS('Federal Data'!O2:O501,'Federal Data'!$F2:$F501,"Standard of Living and Aid to the Disadvantaged",'Federal Data'!$D2:$D501,"Nongrant")</f>
        <v>50373810</v>
      </c>
      <c r="F82" s="113">
        <f>SUMIFS('Federal Data'!P2:P501,'Federal Data'!$F2:$F501,"Standard of Living and Aid to the Disadvantaged",'Federal Data'!$D2:$D501,"Nongrant")</f>
        <v>61653459</v>
      </c>
      <c r="G82" s="113">
        <f>SUMIFS('Federal Data'!Q2:Q501,'Federal Data'!$F2:$F501,"Standard of Living and Aid to the Disadvantaged",'Federal Data'!$D2:$D501,"Nongrant")</f>
        <v>49079344</v>
      </c>
      <c r="H82" s="113">
        <f>SUMIFS('Federal Data'!R2:R501,'Federal Data'!$F2:$F501,"Standard of Living and Aid to the Disadvantaged",'Federal Data'!$D2:$D501,"Nongrant")</f>
        <v>63057984</v>
      </c>
      <c r="I82" s="113">
        <f>SUMIFS('Federal Data'!S2:S501,'Federal Data'!$F2:$F501,"Standard of Living and Aid to the Disadvantaged",'Federal Data'!$D2:$D501,"Nongrant")</f>
        <v>50672760</v>
      </c>
      <c r="J82" s="113">
        <f>SUMIFS('Federal Data'!T2:T501,'Federal Data'!$F2:$F501,"Standard of Living and Aid to the Disadvantaged",'Federal Data'!$D2:$D501,"Nongrant")</f>
        <v>50835811</v>
      </c>
      <c r="K82" s="113">
        <f>SUMIFS('Federal Data'!U2:U501,'Federal Data'!$F2:$F501,"Standard of Living and Aid to the Disadvantaged",'Federal Data'!$D2:$D501,"Nongrant")</f>
        <v>52978450</v>
      </c>
      <c r="L82" s="113">
        <f>SUMIFS('Federal Data'!V2:V501,'Federal Data'!$F2:$F501,"Standard of Living and Aid to the Disadvantaged",'Federal Data'!$D2:$D501,"Nongrant")</f>
        <v>56919193</v>
      </c>
      <c r="M82" s="113">
        <f>SUMIFS('Federal Data'!W2:W501,'Federal Data'!$F2:$F501,"Standard of Living and Aid to the Disadvantaged",'Federal Data'!$D2:$D501,"Nongrant")</f>
        <v>63194087</v>
      </c>
      <c r="N82" s="113">
        <f>SUMIFS('Federal Data'!X2:X501,'Federal Data'!$F2:$F501,"Standard of Living and Aid to the Disadvantaged",'Federal Data'!$D2:$D501,"Nongrant")</f>
        <v>79555766</v>
      </c>
      <c r="O82" s="113">
        <f>SUMIFS('Federal Data'!Y2:Y501,'Federal Data'!$F2:$F501,"Standard of Living and Aid to the Disadvantaged",'Federal Data'!$D2:$D501,"Nongrant")</f>
        <v>101511449</v>
      </c>
      <c r="P82" s="113">
        <f>SUMIFS('Federal Data'!Z2:Z501,'Federal Data'!$F2:$F501,"Standard of Living and Aid to the Disadvantaged",'Federal Data'!$D2:$D501,"Nongrant")</f>
        <v>108299385</v>
      </c>
      <c r="Q82" s="113">
        <f>SUMIFS('Federal Data'!AA2:AA501,'Federal Data'!$F2:$F501,"Standard of Living and Aid to the Disadvantaged",'Federal Data'!$D2:$D501,"Nongrant")</f>
        <v>106248480</v>
      </c>
      <c r="R82" s="113">
        <f>SUMIFS('Federal Data'!AB2:AB501,'Federal Data'!$F2:$F501,"Standard of Living and Aid to the Disadvantaged",'Federal Data'!$D2:$D501,"Nongrant")</f>
        <v>105649000</v>
      </c>
      <c r="S82" s="113">
        <f>SUMIFS('Federal Data'!AC2:AC501,'Federal Data'!$F2:$F501,"Standard of Living and Aid to the Disadvantaged",'Federal Data'!$D2:$D501,"Nongrant")</f>
        <v>110275000</v>
      </c>
      <c r="T82" s="113">
        <f>SUMIFS('Federal Data'!AD2:AD501,'Federal Data'!$F2:$F501,"Standard of Living and Aid to the Disadvantaged",'Federal Data'!$D2:$D501,"Nongrant")</f>
        <v>111621000</v>
      </c>
      <c r="U82" s="113">
        <f>SUMIFS('Federal Data'!AE2:AE501,'Federal Data'!$F2:$F501,"Standard of Living and Aid to the Disadvantaged",'Federal Data'!$D2:$D501,"Nongrant")</f>
        <v>109628000</v>
      </c>
      <c r="V82" s="113">
        <f>SUMIFS('Federal Data'!AF2:AF501,'Federal Data'!$F2:$F501,"Standard of Living and Aid to the Disadvantaged",'Federal Data'!$D2:$D501,"Nongrant")</f>
        <v>110893000</v>
      </c>
      <c r="W82" s="113">
        <f>SUMIFS('Federal Data'!AG2:AG501,'Federal Data'!$F2:$F501,"Standard of Living and Aid to the Disadvantaged",'Federal Data'!$D2:$D501,"Nongrant")</f>
        <v>117245000</v>
      </c>
      <c r="X82" s="113">
        <f>SUMIFS('Federal Data'!AH2:AH501,'Federal Data'!$F2:$F501,"Standard of Living and Aid to the Disadvantaged",'Federal Data'!$D2:$D501,"Nongrant")</f>
        <v>123204000</v>
      </c>
      <c r="Y82" s="113">
        <f>SUMIFS('Federal Data'!AI2:AI501,'Federal Data'!$F2:$F501,"Standard of Living and Aid to the Disadvantaged",'Federal Data'!$D2:$D501,"Nongrant")</f>
        <v>160930000</v>
      </c>
      <c r="Z82" s="113">
        <f>SUMIFS('Federal Data'!AJ2:AJ501,'Federal Data'!$F2:$F501,"Standard of Living and Aid to the Disadvantaged",'Federal Data'!$D2:$D501,"Nongrant")</f>
        <v>176694000</v>
      </c>
      <c r="AA82" s="113">
        <f>SUMIFS('Federal Data'!AK2:AK501,'Federal Data'!$F2:$F501,"Standard of Living and Aid to the Disadvantaged",'Federal Data'!$D2:$D501,"Nongrant")</f>
        <v>173820000</v>
      </c>
      <c r="AB82" s="113">
        <f>SUMIFS('Federal Data'!AL2:AL501,'Federal Data'!$F2:$F501,"Standard of Living and Aid to the Disadvantaged",'Federal Data'!$D2:$D501,"Nongrant")</f>
        <v>177335000</v>
      </c>
      <c r="AC82" s="113">
        <f>SUMIFS('Federal Data'!AM2:AM501,'Federal Data'!$F2:$F501,"Standard of Living and Aid to the Disadvantaged",'Federal Data'!$D2:$D501,"Nongrant")</f>
        <v>180946000</v>
      </c>
      <c r="AD82" s="113">
        <f>SUMIFS('Federal Data'!AN2:AN501,'Federal Data'!$F2:$F501,"Standard of Living and Aid to the Disadvantaged",'Federal Data'!$D2:$D501,"Nongrant")</f>
        <v>185955000</v>
      </c>
      <c r="AE82" s="113">
        <f>SUMIFS('Federal Data'!AO2:AO501,'Federal Data'!$F2:$F501,"Standard of Living and Aid to the Disadvantaged",'Federal Data'!$D2:$D501,"Nongrant")</f>
        <v>242028000</v>
      </c>
      <c r="AF82" s="113">
        <f>SUMIFS('Federal Data'!AP2:AP501,'Federal Data'!$F2:$F501,"Standard of Living and Aid to the Disadvantaged",'Federal Data'!$D2:$D501,"Nongrant")</f>
        <v>335409000</v>
      </c>
      <c r="AG82" s="113">
        <f>SUMIFS('Federal Data'!AQ2:AQ501,'Federal Data'!$F2:$F501,"Standard of Living and Aid to the Disadvantaged",'Federal Data'!$D2:$D501,"Nongrant")</f>
        <v>428174000</v>
      </c>
      <c r="AH82" s="113">
        <f>SUMIFS('Federal Data'!AR2:AR501,'Federal Data'!$F2:$F501,"Standard of Living and Aid to the Disadvantaged",'Federal Data'!$D2:$D501,"Nongrant")</f>
        <v>402668000</v>
      </c>
      <c r="AI82" s="113">
        <f>SUMIFS('Federal Data'!AS2:AS501,'Federal Data'!$F2:$F501,"Standard of Living and Aid to the Disadvantaged",'Federal Data'!$D2:$D501,"Nongrant")</f>
        <v>353681000</v>
      </c>
      <c r="AJ82" s="113">
        <f>SUMIFS('Federal Data'!AT2:AT501,'Federal Data'!$F2:$F501,"Standard of Living and Aid to the Disadvantaged",'Federal Data'!$D2:$D501,"Nongrant")</f>
        <v>339038000</v>
      </c>
      <c r="AK82" s="113">
        <f>SUMIFS('Federal Data'!AU2:AU501,'Federal Data'!$F2:$F501,"Standard of Living and Aid to the Disadvantaged",'Federal Data'!$D2:$D501,"Nongrant")</f>
        <v>324692000</v>
      </c>
      <c r="AL82" s="113">
        <f>SUMIFS('Federal Data'!AV2:AV501,'Federal Data'!$F2:$F501,"Standard of Living and Aid to the Disadvantaged",'Federal Data'!$D2:$D501,"Nongrant")</f>
        <v>337492000</v>
      </c>
    </row>
    <row r="83" spans="1:38" outlineLevel="3">
      <c r="A83" s="22" t="str">
        <f>B82</f>
        <v>Standard of Living and Aid to the Disadvantaged</v>
      </c>
      <c r="B83" s="29" t="s">
        <v>60</v>
      </c>
      <c r="C83" s="113">
        <f>SUMIFS('Federal Data'!M2:M501,'Federal Data'!$G2:$G501,"Cash Programs",'Federal Data'!$D2:$D501,"Nongrant")</f>
        <v>7676958</v>
      </c>
      <c r="D83" s="113">
        <f>SUMIFS('Federal Data'!N2:N501,'Federal Data'!$G2:$G501,"Cash Programs",'Federal Data'!$D2:$D501,"Nongrant")</f>
        <v>8549660</v>
      </c>
      <c r="E83" s="113">
        <f>SUMIFS('Federal Data'!O2:O501,'Federal Data'!$G2:$G501,"Cash Programs",'Federal Data'!$D2:$D501,"Nongrant")</f>
        <v>8991879</v>
      </c>
      <c r="F83" s="113">
        <f>SUMIFS('Federal Data'!P2:P501,'Federal Data'!$G2:$G501,"Cash Programs",'Federal Data'!$D2:$D501,"Nongrant")</f>
        <v>9943953</v>
      </c>
      <c r="G83" s="113">
        <f>SUMIFS('Federal Data'!Q2:Q501,'Federal Data'!$G2:$G501,"Cash Programs",'Federal Data'!$D2:$D501,"Nongrant")</f>
        <v>9699085</v>
      </c>
      <c r="H83" s="113">
        <f>SUMIFS('Federal Data'!R2:R501,'Federal Data'!$G2:$G501,"Cash Programs",'Federal Data'!$D2:$D501,"Nongrant")</f>
        <v>10727902</v>
      </c>
      <c r="I83" s="113">
        <f>SUMIFS('Federal Data'!S2:S501,'Federal Data'!$G2:$G501,"Cash Programs",'Federal Data'!$D2:$D501,"Nongrant")</f>
        <v>11772510</v>
      </c>
      <c r="J83" s="113">
        <f>SUMIFS('Federal Data'!T2:T501,'Federal Data'!$G2:$G501,"Cash Programs",'Federal Data'!$D2:$D501,"Nongrant")</f>
        <v>12332456</v>
      </c>
      <c r="K83" s="113">
        <f>SUMIFS('Federal Data'!U2:U501,'Federal Data'!$G2:$G501,"Cash Programs",'Federal Data'!$D2:$D501,"Nongrant")</f>
        <v>15051338</v>
      </c>
      <c r="L83" s="113">
        <f>SUMIFS('Federal Data'!V2:V501,'Federal Data'!$G2:$G501,"Cash Programs",'Federal Data'!$D2:$D501,"Nongrant")</f>
        <v>16575491</v>
      </c>
      <c r="M83" s="113">
        <f>SUMIFS('Federal Data'!W2:W501,'Federal Data'!$G2:$G501,"Cash Programs",'Federal Data'!$D2:$D501,"Nongrant")</f>
        <v>16972185</v>
      </c>
      <c r="N83" s="113">
        <f>SUMIFS('Federal Data'!X2:X501,'Federal Data'!$G2:$G501,"Cash Programs",'Federal Data'!$D2:$D501,"Nongrant")</f>
        <v>20851416</v>
      </c>
      <c r="O83" s="113">
        <f>SUMIFS('Federal Data'!Y2:Y501,'Federal Data'!$G2:$G501,"Cash Programs",'Federal Data'!$D2:$D501,"Nongrant")</f>
        <v>26198634</v>
      </c>
      <c r="P83" s="113">
        <f>SUMIFS('Federal Data'!Z2:Z501,'Federal Data'!$G2:$G501,"Cash Programs",'Federal Data'!$D2:$D501,"Nongrant")</f>
        <v>30721407</v>
      </c>
      <c r="Q83" s="113">
        <f>SUMIFS('Federal Data'!AA2:AA501,'Federal Data'!$G2:$G501,"Cash Programs",'Federal Data'!$D2:$D501,"Nongrant")</f>
        <v>36475132</v>
      </c>
      <c r="R83" s="113">
        <f>SUMIFS('Federal Data'!AB2:AB501,'Federal Data'!$G2:$G501,"Cash Programs",'Federal Data'!$D2:$D501,"Nongrant")</f>
        <v>40852000</v>
      </c>
      <c r="S83" s="113">
        <f>SUMIFS('Federal Data'!AC2:AC501,'Federal Data'!$G2:$G501,"Cash Programs",'Federal Data'!$D2:$D501,"Nongrant")</f>
        <v>44093000</v>
      </c>
      <c r="T83" s="113">
        <f>SUMIFS('Federal Data'!AD2:AD501,'Federal Data'!$G2:$G501,"Cash Programs",'Federal Data'!$D2:$D501,"Nongrant")</f>
        <v>49332000</v>
      </c>
      <c r="U83" s="113">
        <f>SUMIFS('Federal Data'!AE2:AE501,'Federal Data'!$G2:$G501,"Cash Programs",'Federal Data'!$D2:$D501,"Nongrant")</f>
        <v>51666000</v>
      </c>
      <c r="V83" s="113">
        <f>SUMIFS('Federal Data'!AF2:AF501,'Federal Data'!$G2:$G501,"Cash Programs",'Federal Data'!$D2:$D501,"Nongrant")</f>
        <v>55370000</v>
      </c>
      <c r="W83" s="113">
        <f>SUMIFS('Federal Data'!AG2:AG501,'Federal Data'!$G2:$G501,"Cash Programs",'Federal Data'!$D2:$D501,"Nongrant")</f>
        <v>58876000</v>
      </c>
      <c r="X83" s="113">
        <f>SUMIFS('Federal Data'!AH2:AH501,'Federal Data'!$G2:$G501,"Cash Programs",'Federal Data'!$D2:$D501,"Nongrant")</f>
        <v>55514000</v>
      </c>
      <c r="Y83" s="113">
        <f>SUMIFS('Federal Data'!AI2:AI501,'Federal Data'!$G2:$G501,"Cash Programs",'Federal Data'!$D2:$D501,"Nongrant")</f>
        <v>64840000</v>
      </c>
      <c r="Z83" s="113">
        <f>SUMIFS('Federal Data'!AJ2:AJ501,'Federal Data'!$G2:$G501,"Cash Programs",'Federal Data'!$D2:$D501,"Nongrant")</f>
        <v>71541000</v>
      </c>
      <c r="AA83" s="113">
        <f>SUMIFS('Federal Data'!AK2:AK501,'Federal Data'!$G2:$G501,"Cash Programs",'Federal Data'!$D2:$D501,"Nongrant")</f>
        <v>75991000</v>
      </c>
      <c r="AB83" s="113">
        <f>SUMIFS('Federal Data'!AL2:AL501,'Federal Data'!$G2:$G501,"Cash Programs",'Federal Data'!$D2:$D501,"Nongrant")</f>
        <v>87278000</v>
      </c>
      <c r="AC83" s="113">
        <f>SUMIFS('Federal Data'!AM2:AM501,'Federal Data'!$G2:$G501,"Cash Programs",'Federal Data'!$D2:$D501,"Nongrant")</f>
        <v>88909000</v>
      </c>
      <c r="AD83" s="113">
        <f>SUMIFS('Federal Data'!AN2:AN501,'Federal Data'!$G2:$G501,"Cash Programs",'Federal Data'!$D2:$D501,"Nongrant")</f>
        <v>90154000</v>
      </c>
      <c r="AE83" s="113">
        <f>SUMIFS('Federal Data'!AO2:AO501,'Federal Data'!$G2:$G501,"Cash Programs",'Federal Data'!$D2:$D501,"Nongrant")</f>
        <v>129370000</v>
      </c>
      <c r="AF83" s="113">
        <f>SUMIFS('Federal Data'!AP2:AP501,'Federal Data'!$G2:$G501,"Cash Programs",'Federal Data'!$D2:$D501,"Nongrant")</f>
        <v>114085000</v>
      </c>
      <c r="AG83" s="113">
        <f>SUMIFS('Federal Data'!AQ2:AQ501,'Federal Data'!$G2:$G501,"Cash Programs",'Federal Data'!$D2:$D501,"Nongrant")</f>
        <v>138749000</v>
      </c>
      <c r="AH83" s="113">
        <f>SUMIFS('Federal Data'!AR2:AR501,'Federal Data'!$G2:$G501,"Cash Programs",'Federal Data'!$D2:$D501,"Nongrant")</f>
        <v>145473000</v>
      </c>
      <c r="AI83" s="113">
        <f>SUMIFS('Federal Data'!AS2:AS501,'Federal Data'!$G2:$G501,"Cash Programs",'Federal Data'!$D2:$D501,"Nongrant")</f>
        <v>125264000</v>
      </c>
      <c r="AJ83" s="113">
        <f>SUMIFS('Federal Data'!AT2:AT501,'Federal Data'!$G2:$G501,"Cash Programs",'Federal Data'!$D2:$D501,"Nongrant")</f>
        <v>133653000</v>
      </c>
      <c r="AK83" s="113">
        <f>SUMIFS('Federal Data'!AU2:AU501,'Federal Data'!$G2:$G501,"Cash Programs",'Federal Data'!$D2:$D501,"Nongrant")</f>
        <v>137417000</v>
      </c>
      <c r="AL83" s="113">
        <f>SUMIFS('Federal Data'!AV2:AV501,'Federal Data'!$G2:$G501,"Cash Programs",'Federal Data'!$D2:$D501,"Nongrant")</f>
        <v>137502000</v>
      </c>
    </row>
    <row r="84" spans="1:38" outlineLevel="4">
      <c r="A84" s="22" t="str">
        <f>B83</f>
        <v>Cash Programs for Aid to the Disadvantaged</v>
      </c>
      <c r="B84" s="31" t="s">
        <v>107</v>
      </c>
      <c r="C84" s="113">
        <f>SUMIFS('Federal Data'!M2:M501,'Federal Data'!$H2:$H501,"Child Tax Credit (Refundable portion)",'Federal Data'!$D2:$D501,"Nongrant")</f>
        <v>0</v>
      </c>
      <c r="D84" s="113">
        <f>SUMIFS('Federal Data'!N2:N501,'Federal Data'!$H2:$H501,"Child Tax Credit (Refundable portion)",'Federal Data'!$D2:$D501,"Nongrant")</f>
        <v>0</v>
      </c>
      <c r="E84" s="113">
        <f>SUMIFS('Federal Data'!O2:O501,'Federal Data'!$H2:$H501,"Child Tax Credit (Refundable portion)",'Federal Data'!$D2:$D501,"Nongrant")</f>
        <v>0</v>
      </c>
      <c r="F84" s="113">
        <f>SUMIFS('Federal Data'!P2:P501,'Federal Data'!$H2:$H501,"Child Tax Credit (Refundable portion)",'Federal Data'!$D2:$D501,"Nongrant")</f>
        <v>0</v>
      </c>
      <c r="G84" s="113">
        <f>SUMIFS('Federal Data'!Q2:Q501,'Federal Data'!$H2:$H501,"Child Tax Credit (Refundable portion)",'Federal Data'!$D2:$D501,"Nongrant")</f>
        <v>0</v>
      </c>
      <c r="H84" s="113">
        <f>SUMIFS('Federal Data'!R2:R501,'Federal Data'!$H2:$H501,"Child Tax Credit (Refundable portion)",'Federal Data'!$D2:$D501,"Nongrant")</f>
        <v>0</v>
      </c>
      <c r="I84" s="113">
        <f>SUMIFS('Federal Data'!S2:S501,'Federal Data'!$H2:$H501,"Child Tax Credit (Refundable portion)",'Federal Data'!$D2:$D501,"Nongrant")</f>
        <v>0</v>
      </c>
      <c r="J84" s="113">
        <f>SUMIFS('Federal Data'!T2:T501,'Federal Data'!$H2:$H501,"Child Tax Credit (Refundable portion)",'Federal Data'!$D2:$D501,"Nongrant")</f>
        <v>0</v>
      </c>
      <c r="K84" s="113">
        <f>SUMIFS('Federal Data'!U2:U501,'Federal Data'!$H2:$H501,"Child Tax Credit (Refundable portion)",'Federal Data'!$D2:$D501,"Nongrant")</f>
        <v>0</v>
      </c>
      <c r="L84" s="113">
        <f>SUMIFS('Federal Data'!V2:V501,'Federal Data'!$H2:$H501,"Child Tax Credit (Refundable portion)",'Federal Data'!$D2:$D501,"Nongrant")</f>
        <v>0</v>
      </c>
      <c r="M84" s="113">
        <f>SUMIFS('Federal Data'!W2:W501,'Federal Data'!$H2:$H501,"Child Tax Credit (Refundable portion)",'Federal Data'!$D2:$D501,"Nongrant")</f>
        <v>0</v>
      </c>
      <c r="N84" s="113">
        <f>SUMIFS('Federal Data'!X2:X501,'Federal Data'!$H2:$H501,"Child Tax Credit (Refundable portion)",'Federal Data'!$D2:$D501,"Nongrant")</f>
        <v>0</v>
      </c>
      <c r="O84" s="113">
        <f>SUMIFS('Federal Data'!Y2:Y501,'Federal Data'!$H2:$H501,"Child Tax Credit (Refundable portion)",'Federal Data'!$D2:$D501,"Nongrant")</f>
        <v>0</v>
      </c>
      <c r="P84" s="113">
        <f>SUMIFS('Federal Data'!Z2:Z501,'Federal Data'!$H2:$H501,"Child Tax Credit (Refundable portion)",'Federal Data'!$D2:$D501,"Nongrant")</f>
        <v>0</v>
      </c>
      <c r="Q84" s="113">
        <f>SUMIFS('Federal Data'!AA2:AA501,'Federal Data'!$H2:$H501,"Child Tax Credit (Refundable portion)",'Federal Data'!$D2:$D501,"Nongrant")</f>
        <v>0</v>
      </c>
      <c r="R84" s="113">
        <f>SUMIFS('Federal Data'!AB2:AB501,'Federal Data'!$H2:$H501,"Child Tax Credit (Refundable portion)",'Federal Data'!$D2:$D501,"Nongrant")</f>
        <v>0</v>
      </c>
      <c r="S84" s="113">
        <f>SUMIFS('Federal Data'!AC2:AC501,'Federal Data'!$H2:$H501,"Child Tax Credit (Refundable portion)",'Federal Data'!$D2:$D501,"Nongrant")</f>
        <v>0</v>
      </c>
      <c r="T84" s="113">
        <f>SUMIFS('Federal Data'!AD2:AD501,'Federal Data'!$H2:$H501,"Child Tax Credit (Refundable portion)",'Federal Data'!$D2:$D501,"Nongrant")</f>
        <v>0</v>
      </c>
      <c r="U84" s="113">
        <f>SUMIFS('Federal Data'!AE2:AE501,'Federal Data'!$H2:$H501,"Child Tax Credit (Refundable portion)",'Federal Data'!$D2:$D501,"Nongrant")</f>
        <v>0</v>
      </c>
      <c r="V84" s="113">
        <f>SUMIFS('Federal Data'!AF2:AF501,'Federal Data'!$H2:$H501,"Child Tax Credit (Refundable portion)",'Federal Data'!$D2:$D501,"Nongrant")</f>
        <v>445000</v>
      </c>
      <c r="W84" s="113">
        <f>SUMIFS('Federal Data'!AG2:AG501,'Federal Data'!$H2:$H501,"Child Tax Credit (Refundable portion)",'Federal Data'!$D2:$D501,"Nongrant")</f>
        <v>809000</v>
      </c>
      <c r="X84" s="113">
        <f>SUMIFS('Federal Data'!AH2:AH501,'Federal Data'!$H2:$H501,"Child Tax Credit (Refundable portion)",'Federal Data'!$D2:$D501,"Nongrant")</f>
        <v>982000</v>
      </c>
      <c r="Y84" s="113">
        <f>SUMIFS('Federal Data'!AI2:AI501,'Federal Data'!$H2:$H501,"Child Tax Credit (Refundable portion)",'Federal Data'!$D2:$D501,"Nongrant")</f>
        <v>5060000</v>
      </c>
      <c r="Z84" s="113">
        <f>SUMIFS('Federal Data'!AJ2:AJ501,'Federal Data'!$H2:$H501,"Child Tax Credit (Refundable portion)",'Federal Data'!$D2:$D501,"Nongrant")</f>
        <v>6435000</v>
      </c>
      <c r="AA84" s="113">
        <f>SUMIFS('Federal Data'!AK2:AK501,'Federal Data'!$H2:$H501,"Child Tax Credit (Refundable portion)",'Federal Data'!$D2:$D501,"Nongrant")</f>
        <v>8857000</v>
      </c>
      <c r="AB84" s="113">
        <f>SUMIFS('Federal Data'!AL2:AL501,'Federal Data'!$H2:$H501,"Child Tax Credit (Refundable portion)",'Federal Data'!$D2:$D501,"Nongrant")</f>
        <v>14624000</v>
      </c>
      <c r="AC84" s="113">
        <f>SUMIFS('Federal Data'!AM2:AM501,'Federal Data'!$H2:$H501,"Child Tax Credit (Refundable portion)",'Federal Data'!$D2:$D501,"Nongrant")</f>
        <v>15473000</v>
      </c>
      <c r="AD84" s="113">
        <f>SUMIFS('Federal Data'!AN2:AN501,'Federal Data'!$H2:$H501,"Child Tax Credit (Refundable portion)",'Federal Data'!$D2:$D501,"Nongrant")</f>
        <v>16159000</v>
      </c>
      <c r="AE84" s="113">
        <f>SUMIFS('Federal Data'!AO2:AO501,'Federal Data'!$H2:$H501,"Child Tax Credit (Refundable portion)",'Federal Data'!$D2:$D501,"Nongrant")</f>
        <v>34019000</v>
      </c>
      <c r="AF84" s="113">
        <f>SUMIFS('Federal Data'!AP2:AP501,'Federal Data'!$H2:$H501,"Child Tax Credit (Refundable portion)",'Federal Data'!$D2:$D501,"Nongrant")</f>
        <v>24284000</v>
      </c>
      <c r="AG84" s="113">
        <f>SUMIFS('Federal Data'!AQ2:AQ501,'Federal Data'!$H2:$H501,"Child Tax Credit (Refundable portion)",'Federal Data'!$D2:$D501,"Nongrant")</f>
        <v>22659000</v>
      </c>
      <c r="AH84" s="113">
        <f>SUMIFS('Federal Data'!AR2:AR501,'Federal Data'!$H2:$H501,"Child Tax Credit (Refundable portion)",'Federal Data'!$D2:$D501,"Nongrant")</f>
        <v>22691000</v>
      </c>
      <c r="AI84" s="113">
        <f>SUMIFS('Federal Data'!AS2:AS501,'Federal Data'!$H2:$H501,"Child Tax Credit (Refundable portion)",'Federal Data'!$D2:$D501,"Nongrant")</f>
        <v>22106000</v>
      </c>
      <c r="AJ84" s="113">
        <f>SUMIFS('Federal Data'!AT2:AT501,'Federal Data'!$H2:$H501,"Child Tax Credit (Refundable portion)",'Federal Data'!$D2:$D501,"Nongrant")</f>
        <v>21608000</v>
      </c>
      <c r="AK84" s="113">
        <f>SUMIFS('Federal Data'!AU2:AU501,'Federal Data'!$H2:$H501,"Child Tax Credit (Refundable portion)",'Federal Data'!$D2:$D501,"Nongrant")</f>
        <v>21490000</v>
      </c>
      <c r="AL84" s="113">
        <f>SUMIFS('Federal Data'!AV2:AV501,'Federal Data'!$H2:$H501,"Child Tax Credit (Refundable portion)",'Federal Data'!$D2:$D501,"Nongrant")</f>
        <v>20592000</v>
      </c>
    </row>
    <row r="85" spans="1:38" outlineLevel="4">
      <c r="A85" s="22" t="str">
        <f>B83</f>
        <v>Cash Programs for Aid to the Disadvantaged</v>
      </c>
      <c r="B85" s="31" t="s">
        <v>108</v>
      </c>
      <c r="C85" s="113">
        <f>SUMIFS('Federal Data'!M2:M501,'Federal Data'!$H2:$H501,"EITC (Refundable Portion)",'Federal Data'!$D2:$D501,"Nongrant")</f>
        <v>1275231</v>
      </c>
      <c r="D85" s="113">
        <f>SUMIFS('Federal Data'!N2:N501,'Federal Data'!$H2:$H501,"EITC (Refundable Portion)",'Federal Data'!$D2:$D501,"Nongrant")</f>
        <v>1317980</v>
      </c>
      <c r="E85" s="113">
        <f>SUMIFS('Federal Data'!O2:O501,'Federal Data'!$H2:$H501,"EITC (Refundable Portion)",'Federal Data'!$D2:$D501,"Nongrant")</f>
        <v>1201494</v>
      </c>
      <c r="F85" s="113">
        <f>SUMIFS('Federal Data'!P2:P501,'Federal Data'!$H2:$H501,"EITC (Refundable Portion)",'Federal Data'!$D2:$D501,"Nongrant")</f>
        <v>1213292</v>
      </c>
      <c r="G85" s="113">
        <f>SUMIFS('Federal Data'!Q2:Q501,'Federal Data'!$H2:$H501,"EITC (Refundable Portion)",'Federal Data'!$D2:$D501,"Nongrant")</f>
        <v>1192901</v>
      </c>
      <c r="H85" s="113">
        <f>SUMIFS('Federal Data'!R2:R501,'Federal Data'!$H2:$H501,"EITC (Refundable Portion)",'Federal Data'!$D2:$D501,"Nongrant")</f>
        <v>1099776</v>
      </c>
      <c r="I85" s="113">
        <f>SUMIFS('Federal Data'!S2:S501,'Federal Data'!$H2:$H501,"EITC (Refundable Portion)",'Federal Data'!$D2:$D501,"Nongrant")</f>
        <v>1414990</v>
      </c>
      <c r="J85" s="113">
        <f>SUMIFS('Federal Data'!T2:T501,'Federal Data'!$H2:$H501,"EITC (Refundable Portion)",'Federal Data'!$D2:$D501,"Nongrant")</f>
        <v>1409932</v>
      </c>
      <c r="K85" s="113">
        <f>SUMIFS('Federal Data'!U2:U501,'Federal Data'!$H2:$H501,"EITC (Refundable Portion)",'Federal Data'!$D2:$D501,"Nongrant")</f>
        <v>2697587</v>
      </c>
      <c r="L85" s="113">
        <f>SUMIFS('Federal Data'!V2:V501,'Federal Data'!$H2:$H501,"EITC (Refundable Portion)",'Federal Data'!$D2:$D501,"Nongrant")</f>
        <v>4002029</v>
      </c>
      <c r="M85" s="113">
        <f>SUMIFS('Federal Data'!W2:W501,'Federal Data'!$H2:$H501,"EITC (Refundable Portion)",'Federal Data'!$D2:$D501,"Nongrant")</f>
        <v>4354072</v>
      </c>
      <c r="N85" s="113">
        <f>SUMIFS('Federal Data'!X2:X501,'Federal Data'!$H2:$H501,"EITC (Refundable Portion)",'Federal Data'!$D2:$D501,"Nongrant")</f>
        <v>4884669</v>
      </c>
      <c r="O85" s="113">
        <f>SUMIFS('Federal Data'!Y2:Y501,'Federal Data'!$H2:$H501,"EITC (Refundable Portion)",'Federal Data'!$D2:$D501,"Nongrant")</f>
        <v>7344885</v>
      </c>
      <c r="P85" s="113">
        <f>SUMIFS('Federal Data'!Z2:Z501,'Federal Data'!$H2:$H501,"EITC (Refundable Portion)",'Federal Data'!$D2:$D501,"Nongrant")</f>
        <v>8780787</v>
      </c>
      <c r="Q85" s="113">
        <f>SUMIFS('Federal Data'!AA2:AA501,'Federal Data'!$H2:$H501,"EITC (Refundable Portion)",'Federal Data'!$D2:$D501,"Nongrant")</f>
        <v>10949827</v>
      </c>
      <c r="R85" s="113">
        <f>SUMIFS('Federal Data'!AB2:AB501,'Federal Data'!$H2:$H501,"EITC (Refundable Portion)",'Federal Data'!$D2:$D501,"Nongrant")</f>
        <v>15244000</v>
      </c>
      <c r="S85" s="113">
        <f>SUMIFS('Federal Data'!AC2:AC501,'Federal Data'!$H2:$H501,"EITC (Refundable Portion)",'Federal Data'!$D2:$D501,"Nongrant")</f>
        <v>19159000</v>
      </c>
      <c r="T85" s="113">
        <f>SUMIFS('Federal Data'!AD2:AD501,'Federal Data'!$H2:$H501,"EITC (Refundable Portion)",'Federal Data'!$D2:$D501,"Nongrant")</f>
        <v>21856000</v>
      </c>
      <c r="U85" s="113">
        <f>SUMIFS('Federal Data'!AE2:AE501,'Federal Data'!$H2:$H501,"EITC (Refundable Portion)",'Federal Data'!$D2:$D501,"Nongrant")</f>
        <v>23239000</v>
      </c>
      <c r="V85" s="113">
        <f>SUMIFS('Federal Data'!AF2:AF501,'Federal Data'!$H2:$H501,"EITC (Refundable Portion)",'Federal Data'!$D2:$D501,"Nongrant")</f>
        <v>25632000</v>
      </c>
      <c r="W85" s="113">
        <f>SUMIFS('Federal Data'!AG2:AG501,'Federal Data'!$H2:$H501,"EITC (Refundable Portion)",'Federal Data'!$D2:$D501,"Nongrant")</f>
        <v>26099000</v>
      </c>
      <c r="X85" s="113">
        <f>SUMIFS('Federal Data'!AH2:AH501,'Federal Data'!$H2:$H501,"EITC (Refundable Portion)",'Federal Data'!$D2:$D501,"Nongrant")</f>
        <v>26123000</v>
      </c>
      <c r="Y85" s="113">
        <f>SUMIFS('Federal Data'!AI2:AI501,'Federal Data'!$H2:$H501,"EITC (Refundable Portion)",'Federal Data'!$D2:$D501,"Nongrant")</f>
        <v>27826000</v>
      </c>
      <c r="Z85" s="113">
        <f>SUMIFS('Federal Data'!AJ2:AJ501,'Federal Data'!$H2:$H501,"EITC (Refundable Portion)",'Federal Data'!$D2:$D501,"Nongrant")</f>
        <v>31961000</v>
      </c>
      <c r="AA85" s="113">
        <f>SUMIFS('Federal Data'!AK2:AK501,'Federal Data'!$H2:$H501,"EITC (Refundable Portion)",'Federal Data'!$D2:$D501,"Nongrant")</f>
        <v>33134000</v>
      </c>
      <c r="AB85" s="113">
        <f>SUMIFS('Federal Data'!AL2:AL501,'Federal Data'!$H2:$H501,"EITC (Refundable Portion)",'Federal Data'!$D2:$D501,"Nongrant")</f>
        <v>34559000</v>
      </c>
      <c r="AC85" s="113">
        <f>SUMIFS('Federal Data'!AM2:AM501,'Federal Data'!$H2:$H501,"EITC (Refundable Portion)",'Federal Data'!$D2:$D501,"Nongrant")</f>
        <v>36166000</v>
      </c>
      <c r="AD85" s="113">
        <f>SUMIFS('Federal Data'!AN2:AN501,'Federal Data'!$H2:$H501,"EITC (Refundable Portion)",'Federal Data'!$D2:$D501,"Nongrant")</f>
        <v>38274000</v>
      </c>
      <c r="AE85" s="113">
        <f>SUMIFS('Federal Data'!AO2:AO501,'Federal Data'!$H2:$H501,"EITC (Refundable Portion)",'Federal Data'!$D2:$D501,"Nongrant")</f>
        <v>40600000</v>
      </c>
      <c r="AF85" s="113">
        <f>SUMIFS('Federal Data'!AP2:AP501,'Federal Data'!$H2:$H501,"EITC (Refundable Portion)",'Federal Data'!$D2:$D501,"Nongrant")</f>
        <v>42418000</v>
      </c>
      <c r="AG85" s="113">
        <f>SUMIFS('Federal Data'!AQ2:AQ501,'Federal Data'!$H2:$H501,"EITC (Refundable Portion)",'Federal Data'!$D2:$D501,"Nongrant")</f>
        <v>54712000</v>
      </c>
      <c r="AH85" s="113">
        <f>SUMIFS('Federal Data'!AR2:AR501,'Federal Data'!$H2:$H501,"EITC (Refundable Portion)",'Federal Data'!$D2:$D501,"Nongrant")</f>
        <v>55652000</v>
      </c>
      <c r="AI85" s="113">
        <f>SUMIFS('Federal Data'!AS2:AS501,'Federal Data'!$H2:$H501,"EITC (Refundable Portion)",'Federal Data'!$D2:$D501,"Nongrant")</f>
        <v>54890000</v>
      </c>
      <c r="AJ85" s="113">
        <f>SUMIFS('Federal Data'!AT2:AT501,'Federal Data'!$H2:$H501,"EITC (Refundable Portion)",'Federal Data'!$D2:$D501,"Nongrant")</f>
        <v>57513000</v>
      </c>
      <c r="AK85" s="113">
        <f>SUMIFS('Federal Data'!AU2:AU501,'Federal Data'!$H2:$H501,"EITC (Refundable Portion)",'Federal Data'!$D2:$D501,"Nongrant")</f>
        <v>60087000</v>
      </c>
      <c r="AL85" s="113">
        <f>SUMIFS('Federal Data'!AV2:AV501,'Federal Data'!$H2:$H501,"EITC (Refundable Portion)",'Federal Data'!$D2:$D501,"Nongrant")</f>
        <v>60084000</v>
      </c>
    </row>
    <row r="86" spans="1:38" outlineLevel="4">
      <c r="A86" s="22" t="str">
        <f>B83</f>
        <v>Cash Programs for Aid to the Disadvantaged</v>
      </c>
      <c r="B86" s="31" t="s">
        <v>103</v>
      </c>
      <c r="C86" s="113">
        <f>SUMIFS('Federal Data'!M2:M501,'Federal Data'!$H2:$H501,"SSI",'Federal Data'!$D2:$D501,"Nongrant")</f>
        <v>6372174</v>
      </c>
      <c r="D86" s="113">
        <f>SUMIFS('Federal Data'!N2:N501,'Federal Data'!$H2:$H501,"SSI",'Federal Data'!$D2:$D501,"Nongrant")</f>
        <v>7146506</v>
      </c>
      <c r="E86" s="113">
        <f>SUMIFS('Federal Data'!O2:O501,'Federal Data'!$H2:$H501,"SSI",'Federal Data'!$D2:$D501,"Nongrant")</f>
        <v>7656868</v>
      </c>
      <c r="F86" s="113">
        <f>SUMIFS('Federal Data'!P2:P501,'Federal Data'!$H2:$H501,"SSI",'Federal Data'!$D2:$D501,"Nongrant")</f>
        <v>8710884</v>
      </c>
      <c r="G86" s="113">
        <f>SUMIFS('Federal Data'!Q2:Q501,'Federal Data'!$H2:$H501,"SSI",'Federal Data'!$D2:$D501,"Nongrant")</f>
        <v>8490127</v>
      </c>
      <c r="H86" s="113">
        <f>SUMIFS('Federal Data'!R2:R501,'Federal Data'!$H2:$H501,"SSI",'Federal Data'!$D2:$D501,"Nongrant")</f>
        <v>9606378</v>
      </c>
      <c r="I86" s="113">
        <f>SUMIFS('Federal Data'!S2:S501,'Federal Data'!$H2:$H501,"SSI",'Federal Data'!$D2:$D501,"Nongrant")</f>
        <v>10344721</v>
      </c>
      <c r="J86" s="113">
        <f>SUMIFS('Federal Data'!T2:T501,'Federal Data'!$H2:$H501,"SSI",'Federal Data'!$D2:$D501,"Nongrant")</f>
        <v>10909274</v>
      </c>
      <c r="K86" s="113">
        <f>SUMIFS('Federal Data'!U2:U501,'Federal Data'!$H2:$H501,"SSI",'Federal Data'!$D2:$D501,"Nongrant")</f>
        <v>12344977</v>
      </c>
      <c r="L86" s="113">
        <f>SUMIFS('Federal Data'!V2:V501,'Federal Data'!$H2:$H501,"SSI",'Federal Data'!$D2:$D501,"Nongrant")</f>
        <v>12554727</v>
      </c>
      <c r="M86" s="113">
        <f>SUMIFS('Federal Data'!W2:W501,'Federal Data'!$H2:$H501,"SSI",'Federal Data'!$D2:$D501,"Nongrant")</f>
        <v>12568426</v>
      </c>
      <c r="N86" s="113">
        <f>SUMIFS('Federal Data'!X2:X501,'Federal Data'!$H2:$H501,"SSI",'Federal Data'!$D2:$D501,"Nongrant")</f>
        <v>15925823</v>
      </c>
      <c r="O86" s="113">
        <f>SUMIFS('Federal Data'!Y2:Y501,'Federal Data'!$H2:$H501,"SSI",'Federal Data'!$D2:$D501,"Nongrant")</f>
        <v>18777024</v>
      </c>
      <c r="P86" s="113">
        <f>SUMIFS('Federal Data'!Z2:Z501,'Federal Data'!$H2:$H501,"SSI",'Federal Data'!$D2:$D501,"Nongrant")</f>
        <v>21906839</v>
      </c>
      <c r="Q86" s="113">
        <f>SUMIFS('Federal Data'!AA2:AA501,'Federal Data'!$H2:$H501,"SSI",'Federal Data'!$D2:$D501,"Nongrant")</f>
        <v>25480386</v>
      </c>
      <c r="R86" s="113">
        <f>SUMIFS('Federal Data'!AB2:AB501,'Federal Data'!$H2:$H501,"SSI",'Federal Data'!$D2:$D501,"Nongrant")</f>
        <v>25561000</v>
      </c>
      <c r="S86" s="113">
        <f>SUMIFS('Federal Data'!AC2:AC501,'Federal Data'!$H2:$H501,"SSI",'Federal Data'!$D2:$D501,"Nongrant")</f>
        <v>24892000</v>
      </c>
      <c r="T86" s="113">
        <f>SUMIFS('Federal Data'!AD2:AD501,'Federal Data'!$H2:$H501,"SSI",'Federal Data'!$D2:$D501,"Nongrant")</f>
        <v>27430000</v>
      </c>
      <c r="U86" s="113">
        <f>SUMIFS('Federal Data'!AE2:AE501,'Federal Data'!$H2:$H501,"SSI",'Federal Data'!$D2:$D501,"Nongrant")</f>
        <v>28396000</v>
      </c>
      <c r="V86" s="113">
        <f>SUMIFS('Federal Data'!AF2:AF501,'Federal Data'!$H2:$H501,"SSI",'Federal Data'!$D2:$D501,"Nongrant")</f>
        <v>29197000</v>
      </c>
      <c r="W86" s="113">
        <f>SUMIFS('Federal Data'!AG2:AG501,'Federal Data'!$H2:$H501,"SSI",'Federal Data'!$D2:$D501,"Nongrant")</f>
        <v>31865000</v>
      </c>
      <c r="X86" s="113">
        <f>SUMIFS('Federal Data'!AH2:AH501,'Federal Data'!$H2:$H501,"SSI",'Federal Data'!$D2:$D501,"Nongrant")</f>
        <v>28298000</v>
      </c>
      <c r="Y86" s="113">
        <f>SUMIFS('Federal Data'!AI2:AI501,'Federal Data'!$H2:$H501,"SSI",'Federal Data'!$D2:$D501,"Nongrant")</f>
        <v>31836000</v>
      </c>
      <c r="Z86" s="113">
        <f>SUMIFS('Federal Data'!AJ2:AJ501,'Federal Data'!$H2:$H501,"SSI",'Federal Data'!$D2:$D501,"Nongrant")</f>
        <v>33045000</v>
      </c>
      <c r="AA86" s="113">
        <f>SUMIFS('Federal Data'!AK2:AK501,'Federal Data'!$H2:$H501,"SSI",'Federal Data'!$D2:$D501,"Nongrant")</f>
        <v>33914000</v>
      </c>
      <c r="AB86" s="113">
        <f>SUMIFS('Federal Data'!AL2:AL501,'Federal Data'!$H2:$H501,"SSI",'Federal Data'!$D2:$D501,"Nongrant")</f>
        <v>38010000</v>
      </c>
      <c r="AC86" s="113">
        <f>SUMIFS('Federal Data'!AM2:AM501,'Federal Data'!$H2:$H501,"SSI",'Federal Data'!$D2:$D501,"Nongrant")</f>
        <v>37185000</v>
      </c>
      <c r="AD86" s="113">
        <f>SUMIFS('Federal Data'!AN2:AN501,'Federal Data'!$H2:$H501,"SSI",'Federal Data'!$D2:$D501,"Nongrant")</f>
        <v>35601000</v>
      </c>
      <c r="AE86" s="113">
        <f>SUMIFS('Federal Data'!AO2:AO501,'Federal Data'!$H2:$H501,"SSI",'Federal Data'!$D2:$D501,"Nongrant")</f>
        <v>40762000</v>
      </c>
      <c r="AF86" s="113">
        <f>SUMIFS('Federal Data'!AP2:AP501,'Federal Data'!$H2:$H501,"SSI",'Federal Data'!$D2:$D501,"Nongrant")</f>
        <v>44565000</v>
      </c>
      <c r="AG86" s="113">
        <f>SUMIFS('Federal Data'!AQ2:AQ501,'Federal Data'!$H2:$H501,"SSI",'Federal Data'!$D2:$D501,"Nongrant")</f>
        <v>47423000</v>
      </c>
      <c r="AH86" s="113">
        <f>SUMIFS('Federal Data'!AR2:AR501,'Federal Data'!$H2:$H501,"SSI",'Federal Data'!$D2:$D501,"Nongrant")</f>
        <v>53373000</v>
      </c>
      <c r="AI86" s="113">
        <f>SUMIFS('Federal Data'!AS2:AS501,'Federal Data'!$H2:$H501,"SSI",'Federal Data'!$D2:$D501,"Nongrant")</f>
        <v>47846000</v>
      </c>
      <c r="AJ86" s="113">
        <f>SUMIFS('Federal Data'!AT2:AT501,'Federal Data'!$H2:$H501,"SSI",'Federal Data'!$D2:$D501,"Nongrant")</f>
        <v>53834000</v>
      </c>
      <c r="AK86" s="113">
        <f>SUMIFS('Federal Data'!AU2:AU501,'Federal Data'!$H2:$H501,"SSI",'Federal Data'!$D2:$D501,"Nongrant")</f>
        <v>55234000</v>
      </c>
      <c r="AL86" s="113">
        <f>SUMIFS('Federal Data'!AV2:AV501,'Federal Data'!$H2:$H501,"SSI",'Federal Data'!$D2:$D501,"Nongrant")</f>
        <v>56366000</v>
      </c>
    </row>
    <row r="87" spans="1:38" outlineLevel="4">
      <c r="A87" s="22" t="str">
        <f>B83</f>
        <v>Cash Programs for Aid to the Disadvantaged</v>
      </c>
      <c r="B87" s="31" t="s">
        <v>104</v>
      </c>
      <c r="C87" s="113">
        <f>SUMIFS('Federal Data'!M2:M501,'Federal Data'!$H2:$H501,"TANF",'Federal Data'!$D2:$D501,"Nongrant")</f>
        <v>0</v>
      </c>
      <c r="D87" s="113">
        <f>SUMIFS('Federal Data'!N2:N501,'Federal Data'!$H2:$H501,"TANF",'Federal Data'!$D2:$D501,"Nongrant")</f>
        <v>0</v>
      </c>
      <c r="E87" s="113">
        <f>SUMIFS('Federal Data'!O2:O501,'Federal Data'!$H2:$H501,"TANF",'Federal Data'!$D2:$D501,"Nongrant")</f>
        <v>0</v>
      </c>
      <c r="F87" s="113">
        <f>SUMIFS('Federal Data'!P2:P501,'Federal Data'!$H2:$H501,"TANF",'Federal Data'!$D2:$D501,"Nongrant")</f>
        <v>0</v>
      </c>
      <c r="G87" s="113">
        <f>SUMIFS('Federal Data'!Q2:Q501,'Federal Data'!$H2:$H501,"TANF",'Federal Data'!$D2:$D501,"Nongrant")</f>
        <v>0</v>
      </c>
      <c r="H87" s="113">
        <f>SUMIFS('Federal Data'!R2:R501,'Federal Data'!$H2:$H501,"TANF",'Federal Data'!$D2:$D501,"Nongrant")</f>
        <v>0</v>
      </c>
      <c r="I87" s="113">
        <f>SUMIFS('Federal Data'!S2:S501,'Federal Data'!$H2:$H501,"TANF",'Federal Data'!$D2:$D501,"Nongrant")</f>
        <v>0</v>
      </c>
      <c r="J87" s="113">
        <f>SUMIFS('Federal Data'!T2:T501,'Federal Data'!$H2:$H501,"TANF",'Federal Data'!$D2:$D501,"Nongrant")</f>
        <v>0</v>
      </c>
      <c r="K87" s="113">
        <f>SUMIFS('Federal Data'!U2:U501,'Federal Data'!$H2:$H501,"TANF",'Federal Data'!$D2:$D501,"Nongrant")</f>
        <v>0</v>
      </c>
      <c r="L87" s="113">
        <f>SUMIFS('Federal Data'!V2:V501,'Federal Data'!$H2:$H501,"TANF",'Federal Data'!$D2:$D501,"Nongrant")</f>
        <v>0</v>
      </c>
      <c r="M87" s="113">
        <f>SUMIFS('Federal Data'!W2:W501,'Federal Data'!$H2:$H501,"TANF",'Federal Data'!$D2:$D501,"Nongrant")</f>
        <v>0</v>
      </c>
      <c r="N87" s="113">
        <f>SUMIFS('Federal Data'!X2:X501,'Federal Data'!$H2:$H501,"TANF",'Federal Data'!$D2:$D501,"Nongrant")</f>
        <v>0</v>
      </c>
      <c r="O87" s="113">
        <f>SUMIFS('Federal Data'!Y2:Y501,'Federal Data'!$H2:$H501,"TANF",'Federal Data'!$D2:$D501,"Nongrant")</f>
        <v>0</v>
      </c>
      <c r="P87" s="113">
        <f>SUMIFS('Federal Data'!Z2:Z501,'Federal Data'!$H2:$H501,"TANF",'Federal Data'!$D2:$D501,"Nongrant")</f>
        <v>0</v>
      </c>
      <c r="Q87" s="113">
        <f>SUMIFS('Federal Data'!AA2:AA501,'Federal Data'!$H2:$H501,"TANF",'Federal Data'!$D2:$D501,"Nongrant")</f>
        <v>0</v>
      </c>
      <c r="R87" s="113">
        <f>SUMIFS('Federal Data'!AB2:AB501,'Federal Data'!$H2:$H501,"TANF",'Federal Data'!$D2:$D501,"Nongrant")</f>
        <v>0</v>
      </c>
      <c r="S87" s="113">
        <f>SUMIFS('Federal Data'!AC2:AC501,'Federal Data'!$H2:$H501,"TANF",'Federal Data'!$D2:$D501,"Nongrant")</f>
        <v>0</v>
      </c>
      <c r="T87" s="113">
        <f>SUMIFS('Federal Data'!AD2:AD501,'Federal Data'!$H2:$H501,"TANF",'Federal Data'!$D2:$D501,"Nongrant")</f>
        <v>0</v>
      </c>
      <c r="U87" s="113">
        <f>SUMIFS('Federal Data'!AE2:AE501,'Federal Data'!$H2:$H501,"TANF",'Federal Data'!$D2:$D501,"Nongrant")</f>
        <v>0</v>
      </c>
      <c r="V87" s="113">
        <f>SUMIFS('Federal Data'!AF2:AF501,'Federal Data'!$H2:$H501,"TANF",'Federal Data'!$D2:$D501,"Nongrant")</f>
        <v>0</v>
      </c>
      <c r="W87" s="113">
        <f>SUMIFS('Federal Data'!AG2:AG501,'Federal Data'!$H2:$H501,"TANF",'Federal Data'!$D2:$D501,"Nongrant")</f>
        <v>0</v>
      </c>
      <c r="X87" s="113">
        <f>SUMIFS('Federal Data'!AH2:AH501,'Federal Data'!$H2:$H501,"TANF",'Federal Data'!$D2:$D501,"Nongrant")</f>
        <v>0</v>
      </c>
      <c r="Y87" s="113">
        <f>SUMIFS('Federal Data'!AI2:AI501,'Federal Data'!$H2:$H501,"TANF",'Federal Data'!$D2:$D501,"Nongrant")</f>
        <v>0</v>
      </c>
      <c r="Z87" s="113">
        <f>SUMIFS('Federal Data'!AJ2:AJ501,'Federal Data'!$H2:$H501,"TANF",'Federal Data'!$D2:$D501,"Nongrant")</f>
        <v>0</v>
      </c>
      <c r="AA87" s="113">
        <f>SUMIFS('Federal Data'!AK2:AK501,'Federal Data'!$H2:$H501,"TANF",'Federal Data'!$D2:$D501,"Nongrant")</f>
        <v>0</v>
      </c>
      <c r="AB87" s="113">
        <f>SUMIFS('Federal Data'!AL2:AL501,'Federal Data'!$H2:$H501,"TANF",'Federal Data'!$D2:$D501,"Nongrant")</f>
        <v>0</v>
      </c>
      <c r="AC87" s="113">
        <f>SUMIFS('Federal Data'!AM2:AM501,'Federal Data'!$H2:$H501,"TANF",'Federal Data'!$D2:$D501,"Nongrant")</f>
        <v>0</v>
      </c>
      <c r="AD87" s="113">
        <f>SUMIFS('Federal Data'!AN2:AN501,'Federal Data'!$H2:$H501,"TANF",'Federal Data'!$D2:$D501,"Nongrant")</f>
        <v>0</v>
      </c>
      <c r="AE87" s="113">
        <f>SUMIFS('Federal Data'!AO2:AO501,'Federal Data'!$H2:$H501,"TANF",'Federal Data'!$D2:$D501,"Nongrant")</f>
        <v>0</v>
      </c>
      <c r="AF87" s="113">
        <f>SUMIFS('Federal Data'!AP2:AP501,'Federal Data'!$H2:$H501,"TANF",'Federal Data'!$D2:$D501,"Nongrant")</f>
        <v>0</v>
      </c>
      <c r="AG87" s="113">
        <f>SUMIFS('Federal Data'!AQ2:AQ501,'Federal Data'!$H2:$H501,"TANF",'Federal Data'!$D2:$D501,"Nongrant")</f>
        <v>2000</v>
      </c>
      <c r="AH87" s="113">
        <f>SUMIFS('Federal Data'!AR2:AR501,'Federal Data'!$H2:$H501,"TANF",'Federal Data'!$D2:$D501,"Nongrant")</f>
        <v>0</v>
      </c>
      <c r="AI87" s="113">
        <f>SUMIFS('Federal Data'!AS2:AS501,'Federal Data'!$H2:$H501,"TANF",'Federal Data'!$D2:$D501,"Nongrant")</f>
        <v>0</v>
      </c>
      <c r="AJ87" s="113">
        <f>SUMIFS('Federal Data'!AT2:AT501,'Federal Data'!$H2:$H501,"TANF",'Federal Data'!$D2:$D501,"Nongrant")</f>
        <v>0</v>
      </c>
      <c r="AK87" s="113">
        <f>SUMIFS('Federal Data'!AU2:AU501,'Federal Data'!$H2:$H501,"TANF",'Federal Data'!$D2:$D501,"Nongrant")</f>
        <v>0</v>
      </c>
      <c r="AL87" s="113">
        <f>SUMIFS('Federal Data'!AV2:AV501,'Federal Data'!$H2:$H501,"TANF",'Federal Data'!$D2:$D501,"Nongrant")</f>
        <v>2000</v>
      </c>
    </row>
    <row r="88" spans="1:38" outlineLevel="4">
      <c r="A88" s="22" t="str">
        <f>B83</f>
        <v>Cash Programs for Aid to the Disadvantaged</v>
      </c>
      <c r="B88" s="31" t="s">
        <v>105</v>
      </c>
      <c r="C88" s="113">
        <f>SUMIFS('Federal Data'!M2:M501,'Federal Data'!$H2:$H501,"Refugee Assistance",'Federal Data'!$D2:$D501,"Nongrant")</f>
        <v>29553</v>
      </c>
      <c r="D88" s="113">
        <f>SUMIFS('Federal Data'!N2:N501,'Federal Data'!$H2:$H501,"Refugee Assistance",'Federal Data'!$D2:$D501,"Nongrant")</f>
        <v>85174</v>
      </c>
      <c r="E88" s="113">
        <f>SUMIFS('Federal Data'!O2:O501,'Federal Data'!$H2:$H501,"Refugee Assistance",'Federal Data'!$D2:$D501,"Nongrant")</f>
        <v>133517</v>
      </c>
      <c r="F88" s="113">
        <f>SUMIFS('Federal Data'!P2:P501,'Federal Data'!$H2:$H501,"Refugee Assistance",'Federal Data'!$D2:$D501,"Nongrant")</f>
        <v>19777</v>
      </c>
      <c r="G88" s="113">
        <f>SUMIFS('Federal Data'!Q2:Q501,'Federal Data'!$H2:$H501,"Refugee Assistance",'Federal Data'!$D2:$D501,"Nongrant")</f>
        <v>16057</v>
      </c>
      <c r="H88" s="113">
        <f>SUMIFS('Federal Data'!R2:R501,'Federal Data'!$H2:$H501,"Refugee Assistance",'Federal Data'!$D2:$D501,"Nongrant")</f>
        <v>21748</v>
      </c>
      <c r="I88" s="113">
        <f>SUMIFS('Federal Data'!S2:S501,'Federal Data'!$H2:$H501,"Refugee Assistance",'Federal Data'!$D2:$D501,"Nongrant")</f>
        <v>12799</v>
      </c>
      <c r="J88" s="113">
        <f>SUMIFS('Federal Data'!T2:T501,'Federal Data'!$H2:$H501,"Refugee Assistance",'Federal Data'!$D2:$D501,"Nongrant")</f>
        <v>13250</v>
      </c>
      <c r="K88" s="113">
        <f>SUMIFS('Federal Data'!U2:U501,'Federal Data'!$H2:$H501,"Refugee Assistance",'Federal Data'!$D2:$D501,"Nongrant")</f>
        <v>8774</v>
      </c>
      <c r="L88" s="113">
        <f>SUMIFS('Federal Data'!V2:V501,'Federal Data'!$H2:$H501,"Refugee Assistance",'Federal Data'!$D2:$D501,"Nongrant")</f>
        <v>18735</v>
      </c>
      <c r="M88" s="113">
        <f>SUMIFS('Federal Data'!W2:W501,'Federal Data'!$H2:$H501,"Refugee Assistance",'Federal Data'!$D2:$D501,"Nongrant")</f>
        <v>49687</v>
      </c>
      <c r="N88" s="113">
        <f>SUMIFS('Federal Data'!X2:X501,'Federal Data'!$H2:$H501,"Refugee Assistance",'Federal Data'!$D2:$D501,"Nongrant")</f>
        <v>40924</v>
      </c>
      <c r="O88" s="113">
        <f>SUMIFS('Federal Data'!Y2:Y501,'Federal Data'!$H2:$H501,"Refugee Assistance",'Federal Data'!$D2:$D501,"Nongrant")</f>
        <v>76725</v>
      </c>
      <c r="P88" s="113">
        <f>SUMIFS('Federal Data'!Z2:Z501,'Federal Data'!$H2:$H501,"Refugee Assistance",'Federal Data'!$D2:$D501,"Nongrant")</f>
        <v>33781</v>
      </c>
      <c r="Q88" s="113">
        <f>SUMIFS('Federal Data'!AA2:AA501,'Federal Data'!$H2:$H501,"Refugee Assistance",'Federal Data'!$D2:$D501,"Nongrant")</f>
        <v>44919</v>
      </c>
      <c r="R88" s="113">
        <f>SUMIFS('Federal Data'!AB2:AB501,'Federal Data'!$H2:$H501,"Refugee Assistance",'Federal Data'!$D2:$D501,"Nongrant")</f>
        <v>47000</v>
      </c>
      <c r="S88" s="113">
        <f>SUMIFS('Federal Data'!AC2:AC501,'Federal Data'!$H2:$H501,"Refugee Assistance",'Federal Data'!$D2:$D501,"Nongrant")</f>
        <v>42000</v>
      </c>
      <c r="T88" s="113">
        <f>SUMIFS('Federal Data'!AD2:AD501,'Federal Data'!$H2:$H501,"Refugee Assistance",'Federal Data'!$D2:$D501,"Nongrant")</f>
        <v>46000</v>
      </c>
      <c r="U88" s="113">
        <f>SUMIFS('Federal Data'!AE2:AE501,'Federal Data'!$H2:$H501,"Refugee Assistance",'Federal Data'!$D2:$D501,"Nongrant")</f>
        <v>31000</v>
      </c>
      <c r="V88" s="113">
        <f>SUMIFS('Federal Data'!AF2:AF501,'Federal Data'!$H2:$H501,"Refugee Assistance",'Federal Data'!$D2:$D501,"Nongrant")</f>
        <v>96000</v>
      </c>
      <c r="W88" s="113">
        <f>SUMIFS('Federal Data'!AG2:AG501,'Federal Data'!$H2:$H501,"Refugee Assistance",'Federal Data'!$D2:$D501,"Nongrant")</f>
        <v>103000</v>
      </c>
      <c r="X88" s="113">
        <f>SUMIFS('Federal Data'!AH2:AH501,'Federal Data'!$H2:$H501,"Refugee Assistance",'Federal Data'!$D2:$D501,"Nongrant")</f>
        <v>111000</v>
      </c>
      <c r="Y88" s="113">
        <f>SUMIFS('Federal Data'!AI2:AI501,'Federal Data'!$H2:$H501,"Refugee Assistance",'Federal Data'!$D2:$D501,"Nongrant")</f>
        <v>118000</v>
      </c>
      <c r="Z88" s="113">
        <f>SUMIFS('Federal Data'!AJ2:AJ501,'Federal Data'!$H2:$H501,"Refugee Assistance",'Federal Data'!$D2:$D501,"Nongrant")</f>
        <v>100000</v>
      </c>
      <c r="AA88" s="113">
        <f>SUMIFS('Federal Data'!AK2:AK501,'Federal Data'!$H2:$H501,"Refugee Assistance",'Federal Data'!$D2:$D501,"Nongrant")</f>
        <v>86000</v>
      </c>
      <c r="AB88" s="113">
        <f>SUMIFS('Federal Data'!AL2:AL501,'Federal Data'!$H2:$H501,"Refugee Assistance",'Federal Data'!$D2:$D501,"Nongrant")</f>
        <v>85000</v>
      </c>
      <c r="AC88" s="113">
        <f>SUMIFS('Federal Data'!AM2:AM501,'Federal Data'!$H2:$H501,"Refugee Assistance",'Federal Data'!$D2:$D501,"Nongrant")</f>
        <v>85000</v>
      </c>
      <c r="AD88" s="113">
        <f>SUMIFS('Federal Data'!AN2:AN501,'Federal Data'!$H2:$H501,"Refugee Assistance",'Federal Data'!$D2:$D501,"Nongrant")</f>
        <v>120000</v>
      </c>
      <c r="AE88" s="113">
        <f>SUMIFS('Federal Data'!AO2:AO501,'Federal Data'!$H2:$H501,"Refugee Assistance",'Federal Data'!$D2:$D501,"Nongrant")</f>
        <v>121000</v>
      </c>
      <c r="AF88" s="113">
        <f>SUMIFS('Federal Data'!AP2:AP501,'Federal Data'!$H2:$H501,"Refugee Assistance",'Federal Data'!$D2:$D501,"Nongrant")</f>
        <v>131000</v>
      </c>
      <c r="AG88" s="113">
        <f>SUMIFS('Federal Data'!AQ2:AQ501,'Federal Data'!$H2:$H501,"Refugee Assistance",'Federal Data'!$D2:$D501,"Nongrant")</f>
        <v>178000</v>
      </c>
      <c r="AH88" s="113">
        <f>SUMIFS('Federal Data'!AR2:AR501,'Federal Data'!$H2:$H501,"Refugee Assistance",'Federal Data'!$D2:$D501,"Nongrant")</f>
        <v>121000</v>
      </c>
      <c r="AI88" s="113">
        <f>SUMIFS('Federal Data'!AS2:AS501,'Federal Data'!$H2:$H501,"Refugee Assistance",'Federal Data'!$D2:$D501,"Nongrant")</f>
        <v>169000</v>
      </c>
      <c r="AJ88" s="113">
        <f>SUMIFS('Federal Data'!AT2:AT501,'Federal Data'!$H2:$H501,"Refugee Assistance",'Federal Data'!$D2:$D501,"Nongrant")</f>
        <v>709000</v>
      </c>
      <c r="AK88" s="113">
        <f>SUMIFS('Federal Data'!AU2:AU501,'Federal Data'!$H2:$H501,"Refugee Assistance",'Federal Data'!$D2:$D501,"Nongrant")</f>
        <v>606000</v>
      </c>
      <c r="AL88" s="113">
        <f>SUMIFS('Federal Data'!AV2:AV501,'Federal Data'!$H2:$H501,"Refugee Assistance",'Federal Data'!$D2:$D501,"Nongrant")</f>
        <v>458000</v>
      </c>
    </row>
    <row r="89" spans="1:38" outlineLevel="4">
      <c r="A89" s="22" t="str">
        <f>B83</f>
        <v>Cash Programs for Aid to the Disadvantaged</v>
      </c>
      <c r="B89" s="31" t="s">
        <v>106</v>
      </c>
      <c r="C89" s="113">
        <f>SUMIFS('Federal Data'!M2:M501,'Federal Data'!$H2:$H501,"Other",'Federal Data'!$D2:$D501,"Nongrant",'Federal Data'!$G2:$G501,"Cash Programs")</f>
        <v>0</v>
      </c>
      <c r="D89" s="113">
        <f>SUMIFS('Federal Data'!N2:N501,'Federal Data'!$H2:$H501,"Other",'Federal Data'!$D2:$D501,"Nongrant",'Federal Data'!$G2:$G501,"Cash Programs")</f>
        <v>0</v>
      </c>
      <c r="E89" s="113">
        <f>SUMIFS('Federal Data'!O2:O501,'Federal Data'!$H2:$H501,"Other",'Federal Data'!$D2:$D501,"Nongrant",'Federal Data'!$G2:$G501,"Cash Programs")</f>
        <v>0</v>
      </c>
      <c r="F89" s="113">
        <f>SUMIFS('Federal Data'!P2:P501,'Federal Data'!$H2:$H501,"Other",'Federal Data'!$D2:$D501,"Nongrant",'Federal Data'!$G2:$G501,"Cash Programs")</f>
        <v>0</v>
      </c>
      <c r="G89" s="113">
        <f>SUMIFS('Federal Data'!Q2:Q501,'Federal Data'!$H2:$H501,"Other",'Federal Data'!$D2:$D501,"Nongrant",'Federal Data'!$G2:$G501,"Cash Programs")</f>
        <v>0</v>
      </c>
      <c r="H89" s="113">
        <f>SUMIFS('Federal Data'!R2:R501,'Federal Data'!$H2:$H501,"Other",'Federal Data'!$D2:$D501,"Nongrant",'Federal Data'!$G2:$G501,"Cash Programs")</f>
        <v>0</v>
      </c>
      <c r="I89" s="113">
        <f>SUMIFS('Federal Data'!S2:S501,'Federal Data'!$H2:$H501,"Other",'Federal Data'!$D2:$D501,"Nongrant",'Federal Data'!$G2:$G501,"Cash Programs")</f>
        <v>0</v>
      </c>
      <c r="J89" s="113">
        <f>SUMIFS('Federal Data'!T2:T501,'Federal Data'!$H2:$H501,"Other",'Federal Data'!$D2:$D501,"Nongrant",'Federal Data'!$G2:$G501,"Cash Programs")</f>
        <v>0</v>
      </c>
      <c r="K89" s="113">
        <f>SUMIFS('Federal Data'!U2:U501,'Federal Data'!$H2:$H501,"Other",'Federal Data'!$D2:$D501,"Nongrant",'Federal Data'!$G2:$G501,"Cash Programs")</f>
        <v>0</v>
      </c>
      <c r="L89" s="113">
        <f>SUMIFS('Federal Data'!V2:V501,'Federal Data'!$H2:$H501,"Other",'Federal Data'!$D2:$D501,"Nongrant",'Federal Data'!$G2:$G501,"Cash Programs")</f>
        <v>0</v>
      </c>
      <c r="M89" s="113">
        <f>SUMIFS('Federal Data'!W2:W501,'Federal Data'!$H2:$H501,"Other",'Federal Data'!$D2:$D501,"Nongrant",'Federal Data'!$G2:$G501,"Cash Programs")</f>
        <v>0</v>
      </c>
      <c r="N89" s="113">
        <f>SUMIFS('Federal Data'!X2:X501,'Federal Data'!$H2:$H501,"Other",'Federal Data'!$D2:$D501,"Nongrant",'Federal Data'!$G2:$G501,"Cash Programs")</f>
        <v>0</v>
      </c>
      <c r="O89" s="113">
        <f>SUMIFS('Federal Data'!Y2:Y501,'Federal Data'!$H2:$H501,"Other",'Federal Data'!$D2:$D501,"Nongrant",'Federal Data'!$G2:$G501,"Cash Programs")</f>
        <v>0</v>
      </c>
      <c r="P89" s="113">
        <f>SUMIFS('Federal Data'!Z2:Z501,'Federal Data'!$H2:$H501,"Other",'Federal Data'!$D2:$D501,"Nongrant",'Federal Data'!$G2:$G501,"Cash Programs")</f>
        <v>0</v>
      </c>
      <c r="Q89" s="113">
        <f>SUMIFS('Federal Data'!AA2:AA501,'Federal Data'!$H2:$H501,"Other",'Federal Data'!$D2:$D501,"Nongrant",'Federal Data'!$G2:$G501,"Cash Programs")</f>
        <v>0</v>
      </c>
      <c r="R89" s="113">
        <f>SUMIFS('Federal Data'!AB2:AB501,'Federal Data'!$H2:$H501,"Other",'Federal Data'!$D2:$D501,"Nongrant",'Federal Data'!$G2:$G501,"Cash Programs")</f>
        <v>0</v>
      </c>
      <c r="S89" s="113">
        <f>SUMIFS('Federal Data'!AC2:AC501,'Federal Data'!$H2:$H501,"Other",'Federal Data'!$D2:$D501,"Nongrant",'Federal Data'!$G2:$G501,"Cash Programs")</f>
        <v>0</v>
      </c>
      <c r="T89" s="113">
        <f>SUMIFS('Federal Data'!AD2:AD501,'Federal Data'!$H2:$H501,"Other",'Federal Data'!$D2:$D501,"Nongrant",'Federal Data'!$G2:$G501,"Cash Programs")</f>
        <v>0</v>
      </c>
      <c r="U89" s="113">
        <f>SUMIFS('Federal Data'!AE2:AE501,'Federal Data'!$H2:$H501,"Other",'Federal Data'!$D2:$D501,"Nongrant",'Federal Data'!$G2:$G501,"Cash Programs")</f>
        <v>0</v>
      </c>
      <c r="V89" s="113">
        <f>SUMIFS('Federal Data'!AF2:AF501,'Federal Data'!$H2:$H501,"Other",'Federal Data'!$D2:$D501,"Nongrant",'Federal Data'!$G2:$G501,"Cash Programs")</f>
        <v>0</v>
      </c>
      <c r="W89" s="113">
        <f>SUMIFS('Federal Data'!AG2:AG501,'Federal Data'!$H2:$H501,"Other",'Federal Data'!$D2:$D501,"Nongrant",'Federal Data'!$G2:$G501,"Cash Programs")</f>
        <v>0</v>
      </c>
      <c r="X89" s="113">
        <f>SUMIFS('Federal Data'!AH2:AH501,'Federal Data'!$H2:$H501,"Other",'Federal Data'!$D2:$D501,"Nongrant",'Federal Data'!$G2:$G501,"Cash Programs")</f>
        <v>0</v>
      </c>
      <c r="Y89" s="113">
        <f>SUMIFS('Federal Data'!AI2:AI501,'Federal Data'!$H2:$H501,"Other",'Federal Data'!$D2:$D501,"Nongrant",'Federal Data'!$G2:$G501,"Cash Programs")</f>
        <v>0</v>
      </c>
      <c r="Z89" s="113">
        <f>SUMIFS('Federal Data'!AJ2:AJ501,'Federal Data'!$H2:$H501,"Other",'Federal Data'!$D2:$D501,"Nongrant",'Federal Data'!$G2:$G501,"Cash Programs")</f>
        <v>0</v>
      </c>
      <c r="AA89" s="113">
        <f>SUMIFS('Federal Data'!AK2:AK501,'Federal Data'!$H2:$H501,"Other",'Federal Data'!$D2:$D501,"Nongrant",'Federal Data'!$G2:$G501,"Cash Programs")</f>
        <v>0</v>
      </c>
      <c r="AB89" s="113">
        <f>SUMIFS('Federal Data'!AL2:AL501,'Federal Data'!$H2:$H501,"Other",'Federal Data'!$D2:$D501,"Nongrant",'Federal Data'!$G2:$G501,"Cash Programs")</f>
        <v>0</v>
      </c>
      <c r="AC89" s="113">
        <f>SUMIFS('Federal Data'!AM2:AM501,'Federal Data'!$H2:$H501,"Other",'Federal Data'!$D2:$D501,"Nongrant",'Federal Data'!$G2:$G501,"Cash Programs")</f>
        <v>0</v>
      </c>
      <c r="AD89" s="113">
        <f>SUMIFS('Federal Data'!AN2:AN501,'Federal Data'!$H2:$H501,"Other",'Federal Data'!$D2:$D501,"Nongrant",'Federal Data'!$G2:$G501,"Cash Programs")</f>
        <v>0</v>
      </c>
      <c r="AE89" s="113">
        <f>SUMIFS('Federal Data'!AO2:AO501,'Federal Data'!$H2:$H501,"Other",'Federal Data'!$D2:$D501,"Nongrant",'Federal Data'!$G2:$G501,"Cash Programs")</f>
        <v>13868000</v>
      </c>
      <c r="AF89" s="113">
        <f>SUMIFS('Federal Data'!AP2:AP501,'Federal Data'!$H2:$H501,"Other",'Federal Data'!$D2:$D501,"Nongrant",'Federal Data'!$G2:$G501,"Cash Programs")</f>
        <v>2687000</v>
      </c>
      <c r="AG89" s="113">
        <f>SUMIFS('Federal Data'!AQ2:AQ501,'Federal Data'!$H2:$H501,"Other",'Federal Data'!$D2:$D501,"Nongrant",'Federal Data'!$G2:$G501,"Cash Programs")</f>
        <v>13775000</v>
      </c>
      <c r="AH89" s="113">
        <f>SUMIFS('Federal Data'!AR2:AR501,'Federal Data'!$H2:$H501,"Other",'Federal Data'!$D2:$D501,"Nongrant",'Federal Data'!$G2:$G501,"Cash Programs")</f>
        <v>13636000</v>
      </c>
      <c r="AI89" s="113">
        <f>SUMIFS('Federal Data'!AS2:AS501,'Federal Data'!$H2:$H501,"Other",'Federal Data'!$D2:$D501,"Nongrant",'Federal Data'!$G2:$G501,"Cash Programs")</f>
        <v>253000</v>
      </c>
      <c r="AJ89" s="113">
        <f>SUMIFS('Federal Data'!AT2:AT501,'Federal Data'!$H2:$H501,"Other",'Federal Data'!$D2:$D501,"Nongrant",'Federal Data'!$G2:$G501,"Cash Programs")</f>
        <v>-11000</v>
      </c>
      <c r="AK89" s="113">
        <f>SUMIFS('Federal Data'!AU2:AU501,'Federal Data'!$H2:$H501,"Other",'Federal Data'!$D2:$D501,"Nongrant",'Federal Data'!$G2:$G501,"Cash Programs")</f>
        <v>0</v>
      </c>
      <c r="AL89" s="113">
        <f>SUMIFS('Federal Data'!AV2:AV501,'Federal Data'!$H2:$H501,"Other",'Federal Data'!$D2:$D501,"Nongrant",'Federal Data'!$G2:$G501,"Cash Programs")</f>
        <v>0</v>
      </c>
    </row>
    <row r="90" spans="1:38" outlineLevel="3">
      <c r="A90" s="22" t="str">
        <f>B82</f>
        <v>Standard of Living and Aid to the Disadvantaged</v>
      </c>
      <c r="B90" s="29" t="s">
        <v>61</v>
      </c>
      <c r="C90" s="113">
        <f>SUMIFS('Federal Data'!M2:M501,'Federal Data'!$G2:$G501,"Non-Cash Programs",'Federal Data'!$D2:$D501,"Nongrant")</f>
        <v>16023051</v>
      </c>
      <c r="D90" s="113">
        <f>SUMIFS('Federal Data'!N2:N501,'Federal Data'!$G2:$G501,"Non-Cash Programs",'Federal Data'!$D2:$D501,"Nongrant")</f>
        <v>19590770</v>
      </c>
      <c r="E90" s="113">
        <f>SUMIFS('Federal Data'!O2:O501,'Federal Data'!$G2:$G501,"Non-Cash Programs",'Federal Data'!$D2:$D501,"Nongrant")</f>
        <v>17897396</v>
      </c>
      <c r="F90" s="113">
        <f>SUMIFS('Federal Data'!P2:P501,'Federal Data'!$G2:$G501,"Non-Cash Programs",'Federal Data'!$D2:$D501,"Nongrant")</f>
        <v>20705675</v>
      </c>
      <c r="G90" s="113">
        <f>SUMIFS('Federal Data'!Q2:Q501,'Federal Data'!$G2:$G501,"Non-Cash Programs",'Federal Data'!$D2:$D501,"Nongrant")</f>
        <v>21335934</v>
      </c>
      <c r="H90" s="113">
        <f>SUMIFS('Federal Data'!R2:R501,'Federal Data'!$G2:$G501,"Non-Cash Programs",'Federal Data'!$D2:$D501,"Nongrant")</f>
        <v>35110858</v>
      </c>
      <c r="I90" s="113">
        <f>SUMIFS('Federal Data'!S2:S501,'Federal Data'!$G2:$G501,"Non-Cash Programs",'Federal Data'!$D2:$D501,"Nongrant")</f>
        <v>21440975</v>
      </c>
      <c r="J90" s="113">
        <f>SUMIFS('Federal Data'!T2:T501,'Federal Data'!$G2:$G501,"Non-Cash Programs",'Federal Data'!$D2:$D501,"Nongrant")</f>
        <v>21686405</v>
      </c>
      <c r="K90" s="113">
        <f>SUMIFS('Federal Data'!U2:U501,'Federal Data'!$G2:$G501,"Non-Cash Programs",'Federal Data'!$D2:$D501,"Nongrant")</f>
        <v>22922610</v>
      </c>
      <c r="L90" s="113">
        <f>SUMIFS('Federal Data'!V2:V501,'Federal Data'!$G2:$G501,"Non-Cash Programs",'Federal Data'!$D2:$D501,"Nongrant")</f>
        <v>25070571</v>
      </c>
      <c r="M90" s="113">
        <f>SUMIFS('Federal Data'!W2:W501,'Federal Data'!$G2:$G501,"Non-Cash Programs",'Federal Data'!$D2:$D501,"Nongrant")</f>
        <v>27554497</v>
      </c>
      <c r="N90" s="113">
        <f>SUMIFS('Federal Data'!X2:X501,'Federal Data'!$G2:$G501,"Non-Cash Programs",'Federal Data'!$D2:$D501,"Nongrant")</f>
        <v>31982323</v>
      </c>
      <c r="O90" s="113">
        <f>SUMIFS('Federal Data'!Y2:Y501,'Federal Data'!$G2:$G501,"Non-Cash Programs",'Federal Data'!$D2:$D501,"Nongrant")</f>
        <v>36231538</v>
      </c>
      <c r="P90" s="113">
        <f>SUMIFS('Federal Data'!Z2:Z501,'Federal Data'!$G2:$G501,"Non-Cash Programs",'Federal Data'!$D2:$D501,"Nongrant")</f>
        <v>39891163</v>
      </c>
      <c r="Q90" s="113">
        <f>SUMIFS('Federal Data'!AA2:AA501,'Federal Data'!$G2:$G501,"Non-Cash Programs",'Federal Data'!$D2:$D501,"Nongrant")</f>
        <v>41044013</v>
      </c>
      <c r="R90" s="113">
        <f>SUMIFS('Federal Data'!AB2:AB501,'Federal Data'!$G2:$G501,"Non-Cash Programs",'Federal Data'!$D2:$D501,"Nongrant")</f>
        <v>41252000</v>
      </c>
      <c r="S90" s="113">
        <f>SUMIFS('Federal Data'!AC2:AC501,'Federal Data'!$G2:$G501,"Non-Cash Programs",'Federal Data'!$D2:$D501,"Nongrant")</f>
        <v>41493000</v>
      </c>
      <c r="T90" s="113">
        <f>SUMIFS('Federal Data'!AD2:AD501,'Federal Data'!$G2:$G501,"Non-Cash Programs",'Federal Data'!$D2:$D501,"Nongrant")</f>
        <v>39525000</v>
      </c>
      <c r="U90" s="113">
        <f>SUMIFS('Federal Data'!AE2:AE501,'Federal Data'!$G2:$G501,"Non-Cash Programs",'Federal Data'!$D2:$D501,"Nongrant")</f>
        <v>35911000</v>
      </c>
      <c r="V90" s="113">
        <f>SUMIFS('Federal Data'!AF2:AF501,'Federal Data'!$G2:$G501,"Non-Cash Programs",'Federal Data'!$D2:$D501,"Nongrant")</f>
        <v>32182000</v>
      </c>
      <c r="W90" s="113">
        <f>SUMIFS('Federal Data'!AG2:AG501,'Federal Data'!$G2:$G501,"Non-Cash Programs",'Federal Data'!$D2:$D501,"Nongrant")</f>
        <v>35459000</v>
      </c>
      <c r="X90" s="113">
        <f>SUMIFS('Federal Data'!AH2:AH501,'Federal Data'!$G2:$G501,"Non-Cash Programs",'Federal Data'!$D2:$D501,"Nongrant")</f>
        <v>37445000</v>
      </c>
      <c r="Y90" s="113">
        <f>SUMIFS('Federal Data'!AI2:AI501,'Federal Data'!$G2:$G501,"Non-Cash Programs",'Federal Data'!$D2:$D501,"Nongrant")</f>
        <v>42990000</v>
      </c>
      <c r="Z90" s="113">
        <f>SUMIFS('Federal Data'!AJ2:AJ501,'Federal Data'!$G2:$G501,"Non-Cash Programs",'Federal Data'!$D2:$D501,"Nongrant")</f>
        <v>47869000</v>
      </c>
      <c r="AA90" s="113">
        <f>SUMIFS('Federal Data'!AK2:AK501,'Federal Data'!$G2:$G501,"Non-Cash Programs",'Federal Data'!$D2:$D501,"Nongrant")</f>
        <v>52437000</v>
      </c>
      <c r="AB90" s="113">
        <f>SUMIFS('Federal Data'!AL2:AL501,'Federal Data'!$G2:$G501,"Non-Cash Programs",'Federal Data'!$D2:$D501,"Nongrant")</f>
        <v>54520000</v>
      </c>
      <c r="AC90" s="113">
        <f>SUMIFS('Federal Data'!AM2:AM501,'Federal Data'!$G2:$G501,"Non-Cash Programs",'Federal Data'!$D2:$D501,"Nongrant")</f>
        <v>58711000</v>
      </c>
      <c r="AD90" s="113">
        <f>SUMIFS('Federal Data'!AN2:AN501,'Federal Data'!$G2:$G501,"Non-Cash Programs",'Federal Data'!$D2:$D501,"Nongrant")</f>
        <v>59728000</v>
      </c>
      <c r="AE90" s="113">
        <f>SUMIFS('Federal Data'!AO2:AO501,'Federal Data'!$G2:$G501,"Non-Cash Programs",'Federal Data'!$D2:$D501,"Nongrant")</f>
        <v>66487000</v>
      </c>
      <c r="AF90" s="113">
        <f>SUMIFS('Federal Data'!AP2:AP501,'Federal Data'!$G2:$G501,"Non-Cash Programs",'Federal Data'!$D2:$D501,"Nongrant")</f>
        <v>98471000</v>
      </c>
      <c r="AG90" s="113">
        <f>SUMIFS('Federal Data'!AQ2:AQ501,'Federal Data'!$G2:$G501,"Non-Cash Programs",'Federal Data'!$D2:$D501,"Nongrant")</f>
        <v>128589000</v>
      </c>
      <c r="AH90" s="113">
        <f>SUMIFS('Federal Data'!AR2:AR501,'Federal Data'!$G2:$G501,"Non-Cash Programs",'Federal Data'!$D2:$D501,"Nongrant")</f>
        <v>136072000</v>
      </c>
      <c r="AI90" s="113">
        <f>SUMIFS('Federal Data'!AS2:AS501,'Federal Data'!$G2:$G501,"Non-Cash Programs",'Federal Data'!$D2:$D501,"Nongrant")</f>
        <v>131779000</v>
      </c>
      <c r="AJ90" s="113">
        <f>SUMIFS('Federal Data'!AT2:AT501,'Federal Data'!$G2:$G501,"Non-Cash Programs",'Federal Data'!$D2:$D501,"Nongrant")</f>
        <v>134006000</v>
      </c>
      <c r="AK90" s="113">
        <f>SUMIFS('Federal Data'!AU2:AU501,'Federal Data'!$G2:$G501,"Non-Cash Programs",'Federal Data'!$D2:$D501,"Nongrant")</f>
        <v>140762000</v>
      </c>
      <c r="AL90" s="113">
        <f>SUMIFS('Federal Data'!AV2:AV501,'Federal Data'!$G2:$G501,"Non-Cash Programs",'Federal Data'!$D2:$D501,"Nongrant")</f>
        <v>163019000</v>
      </c>
    </row>
    <row r="91" spans="1:38" outlineLevel="4">
      <c r="A91" s="22" t="str">
        <f>B90</f>
        <v>Non-Cash Programs for Aid to the Disadvantaged</v>
      </c>
      <c r="B91" s="31" t="s">
        <v>110</v>
      </c>
      <c r="C91" s="113">
        <f>SUMIFS('Federal Data'!M2:M501,'Federal Data'!$H2:$H501,"Child Care Assistance",'Federal Data'!$D2:$D501,"Nongrant")</f>
        <v>0</v>
      </c>
      <c r="D91" s="113">
        <f>SUMIFS('Federal Data'!N2:N501,'Federal Data'!$H2:$H501,"Child Care Assistance",'Federal Data'!$D2:$D501,"Nongrant")</f>
        <v>0</v>
      </c>
      <c r="E91" s="113">
        <f>SUMIFS('Federal Data'!O2:O501,'Federal Data'!$H2:$H501,"Child Care Assistance",'Federal Data'!$D2:$D501,"Nongrant")</f>
        <v>0</v>
      </c>
      <c r="F91" s="113">
        <f>SUMIFS('Federal Data'!P2:P501,'Federal Data'!$H2:$H501,"Child Care Assistance",'Federal Data'!$D2:$D501,"Nongrant")</f>
        <v>0</v>
      </c>
      <c r="G91" s="113">
        <f>SUMIFS('Federal Data'!Q2:Q501,'Federal Data'!$H2:$H501,"Child Care Assistance",'Federal Data'!$D2:$D501,"Nongrant")</f>
        <v>0</v>
      </c>
      <c r="H91" s="113">
        <f>SUMIFS('Federal Data'!R2:R501,'Federal Data'!$H2:$H501,"Child Care Assistance",'Federal Data'!$D2:$D501,"Nongrant")</f>
        <v>0</v>
      </c>
      <c r="I91" s="113">
        <f>SUMIFS('Federal Data'!S2:S501,'Federal Data'!$H2:$H501,"Child Care Assistance",'Federal Data'!$D2:$D501,"Nongrant")</f>
        <v>0</v>
      </c>
      <c r="J91" s="113">
        <f>SUMIFS('Federal Data'!T2:T501,'Federal Data'!$H2:$H501,"Child Care Assistance",'Federal Data'!$D2:$D501,"Nongrant")</f>
        <v>0</v>
      </c>
      <c r="K91" s="113">
        <f>SUMIFS('Federal Data'!U2:U501,'Federal Data'!$H2:$H501,"Child Care Assistance",'Federal Data'!$D2:$D501,"Nongrant")</f>
        <v>0</v>
      </c>
      <c r="L91" s="113">
        <f>SUMIFS('Federal Data'!V2:V501,'Federal Data'!$H2:$H501,"Child Care Assistance",'Federal Data'!$D2:$D501,"Nongrant")</f>
        <v>0</v>
      </c>
      <c r="M91" s="113">
        <f>SUMIFS('Federal Data'!W2:W501,'Federal Data'!$H2:$H501,"Child Care Assistance",'Federal Data'!$D2:$D501,"Nongrant")</f>
        <v>0</v>
      </c>
      <c r="N91" s="113">
        <f>SUMIFS('Federal Data'!X2:X501,'Federal Data'!$H2:$H501,"Child Care Assistance",'Federal Data'!$D2:$D501,"Nongrant")</f>
        <v>0</v>
      </c>
      <c r="O91" s="113">
        <f>SUMIFS('Federal Data'!Y2:Y501,'Federal Data'!$H2:$H501,"Child Care Assistance",'Federal Data'!$D2:$D501,"Nongrant")</f>
        <v>0</v>
      </c>
      <c r="P91" s="113">
        <f>SUMIFS('Federal Data'!Z2:Z501,'Federal Data'!$H2:$H501,"Child Care Assistance",'Federal Data'!$D2:$D501,"Nongrant")</f>
        <v>0</v>
      </c>
      <c r="Q91" s="113">
        <f>SUMIFS('Federal Data'!AA2:AA501,'Federal Data'!$H2:$H501,"Child Care Assistance",'Federal Data'!$D2:$D501,"Nongrant")</f>
        <v>0</v>
      </c>
      <c r="R91" s="113">
        <f>SUMIFS('Federal Data'!AB2:AB501,'Federal Data'!$H2:$H501,"Child Care Assistance",'Federal Data'!$D2:$D501,"Nongrant")</f>
        <v>0</v>
      </c>
      <c r="S91" s="113">
        <f>SUMIFS('Federal Data'!AC2:AC501,'Federal Data'!$H2:$H501,"Child Care Assistance",'Federal Data'!$D2:$D501,"Nongrant")</f>
        <v>0</v>
      </c>
      <c r="T91" s="113">
        <f>SUMIFS('Federal Data'!AD2:AD501,'Federal Data'!$H2:$H501,"Child Care Assistance",'Federal Data'!$D2:$D501,"Nongrant")</f>
        <v>0</v>
      </c>
      <c r="U91" s="113">
        <f>SUMIFS('Federal Data'!AE2:AE501,'Federal Data'!$H2:$H501,"Child Care Assistance",'Federal Data'!$D2:$D501,"Nongrant")</f>
        <v>2000</v>
      </c>
      <c r="V91" s="113">
        <f>SUMIFS('Federal Data'!AF2:AF501,'Federal Data'!$H2:$H501,"Child Care Assistance",'Federal Data'!$D2:$D501,"Nongrant")</f>
        <v>3000</v>
      </c>
      <c r="W91" s="113">
        <f>SUMIFS('Federal Data'!AG2:AG501,'Federal Data'!$H2:$H501,"Child Care Assistance",'Federal Data'!$D2:$D501,"Nongrant")</f>
        <v>5000</v>
      </c>
      <c r="X91" s="113">
        <f>SUMIFS('Federal Data'!AH2:AH501,'Federal Data'!$H2:$H501,"Child Care Assistance",'Federal Data'!$D2:$D501,"Nongrant")</f>
        <v>12000</v>
      </c>
      <c r="Y91" s="113">
        <f>SUMIFS('Federal Data'!AI2:AI501,'Federal Data'!$H2:$H501,"Child Care Assistance",'Federal Data'!$D2:$D501,"Nongrant")</f>
        <v>14000</v>
      </c>
      <c r="Z91" s="113">
        <f>SUMIFS('Federal Data'!AJ2:AJ501,'Federal Data'!$H2:$H501,"Child Care Assistance",'Federal Data'!$D2:$D501,"Nongrant")</f>
        <v>14000</v>
      </c>
      <c r="AA91" s="113">
        <f>SUMIFS('Federal Data'!AK2:AK501,'Federal Data'!$H2:$H501,"Child Care Assistance",'Federal Data'!$D2:$D501,"Nongrant")</f>
        <v>7000</v>
      </c>
      <c r="AB91" s="113">
        <f>SUMIFS('Federal Data'!AL2:AL501,'Federal Data'!$H2:$H501,"Child Care Assistance",'Federal Data'!$D2:$D501,"Nongrant")</f>
        <v>7000</v>
      </c>
      <c r="AC91" s="113">
        <f>SUMIFS('Federal Data'!AM2:AM501,'Federal Data'!$H2:$H501,"Child Care Assistance",'Federal Data'!$D2:$D501,"Nongrant")</f>
        <v>7000</v>
      </c>
      <c r="AD91" s="113">
        <f>SUMIFS('Federal Data'!AN2:AN501,'Federal Data'!$H2:$H501,"Child Care Assistance",'Federal Data'!$D2:$D501,"Nongrant")</f>
        <v>7000</v>
      </c>
      <c r="AE91" s="113">
        <f>SUMIFS('Federal Data'!AO2:AO501,'Federal Data'!$H2:$H501,"Child Care Assistance",'Federal Data'!$D2:$D501,"Nongrant")</f>
        <v>6000</v>
      </c>
      <c r="AF91" s="113">
        <f>SUMIFS('Federal Data'!AP2:AP501,'Federal Data'!$H2:$H501,"Child Care Assistance",'Federal Data'!$D2:$D501,"Nongrant")</f>
        <v>7000</v>
      </c>
      <c r="AG91" s="113">
        <f>SUMIFS('Federal Data'!AQ2:AQ501,'Federal Data'!$H2:$H501,"Child Care Assistance",'Federal Data'!$D2:$D501,"Nongrant")</f>
        <v>7000</v>
      </c>
      <c r="AH91" s="113">
        <f>SUMIFS('Federal Data'!AR2:AR501,'Federal Data'!$H2:$H501,"Child Care Assistance",'Federal Data'!$D2:$D501,"Nongrant")</f>
        <v>9000</v>
      </c>
      <c r="AI91" s="113">
        <f>SUMIFS('Federal Data'!AS2:AS501,'Federal Data'!$H2:$H501,"Child Care Assistance",'Federal Data'!$D2:$D501,"Nongrant")</f>
        <v>9000</v>
      </c>
      <c r="AJ91" s="113">
        <f>SUMIFS('Federal Data'!AT2:AT501,'Federal Data'!$H2:$H501,"Child Care Assistance",'Federal Data'!$D2:$D501,"Nongrant")</f>
        <v>9000</v>
      </c>
      <c r="AK91" s="113">
        <f>SUMIFS('Federal Data'!AU2:AU501,'Federal Data'!$H2:$H501,"Child Care Assistance",'Federal Data'!$D2:$D501,"Nongrant")</f>
        <v>9000</v>
      </c>
      <c r="AL91" s="113">
        <f>SUMIFS('Federal Data'!AV2:AV501,'Federal Data'!$H2:$H501,"Child Care Assistance",'Federal Data'!$D2:$D501,"Nongrant")</f>
        <v>12000</v>
      </c>
    </row>
    <row r="92" spans="1:38" outlineLevel="4">
      <c r="A92" s="22" t="str">
        <f>B90</f>
        <v>Non-Cash Programs for Aid to the Disadvantaged</v>
      </c>
      <c r="B92" s="31" t="s">
        <v>111</v>
      </c>
      <c r="C92" s="113">
        <f>SUMIFS('Federal Data'!M2:M501,'Federal Data'!$H2:$H501,"Housing Assistance",'Federal Data'!$D2:$D501,"Nongrant")</f>
        <v>2187172</v>
      </c>
      <c r="D92" s="113">
        <f>SUMIFS('Federal Data'!N2:N501,'Federal Data'!$H2:$H501,"Housing Assistance",'Federal Data'!$D2:$D501,"Nongrant")</f>
        <v>3698515</v>
      </c>
      <c r="E92" s="113">
        <f>SUMIFS('Federal Data'!O2:O501,'Federal Data'!$H2:$H501,"Housing Assistance",'Federal Data'!$D2:$D501,"Nongrant")</f>
        <v>3819400</v>
      </c>
      <c r="F92" s="113">
        <f>SUMIFS('Federal Data'!P2:P501,'Federal Data'!$H2:$H501,"Housing Assistance",'Federal Data'!$D2:$D501,"Nongrant")</f>
        <v>4283284</v>
      </c>
      <c r="G92" s="113">
        <f>SUMIFS('Federal Data'!Q2:Q501,'Federal Data'!$H2:$H501,"Housing Assistance",'Federal Data'!$D2:$D501,"Nongrant")</f>
        <v>5504272</v>
      </c>
      <c r="H92" s="113">
        <f>SUMIFS('Federal Data'!R2:R501,'Federal Data'!$H2:$H501,"Housing Assistance",'Federal Data'!$D2:$D501,"Nongrant")</f>
        <v>18848995</v>
      </c>
      <c r="I92" s="113">
        <f>SUMIFS('Federal Data'!S2:S501,'Federal Data'!$H2:$H501,"Housing Assistance",'Federal Data'!$D2:$D501,"Nongrant")</f>
        <v>4943041</v>
      </c>
      <c r="J92" s="113">
        <f>SUMIFS('Federal Data'!T2:T501,'Federal Data'!$H2:$H501,"Housing Assistance",'Federal Data'!$D2:$D501,"Nongrant")</f>
        <v>5258312</v>
      </c>
      <c r="K92" s="113">
        <f>SUMIFS('Federal Data'!U2:U501,'Federal Data'!$H2:$H501,"Housing Assistance",'Federal Data'!$D2:$D501,"Nongrant")</f>
        <v>5258669</v>
      </c>
      <c r="L92" s="113">
        <f>SUMIFS('Federal Data'!V2:V501,'Federal Data'!$H2:$H501,"Housing Assistance",'Federal Data'!$D2:$D501,"Nongrant")</f>
        <v>6164042</v>
      </c>
      <c r="M92" s="113">
        <f>SUMIFS('Federal Data'!W2:W501,'Federal Data'!$H2:$H501,"Housing Assistance",'Federal Data'!$D2:$D501,"Nongrant")</f>
        <v>6354607</v>
      </c>
      <c r="N92" s="113">
        <f>SUMIFS('Federal Data'!X2:X501,'Federal Data'!$H2:$H501,"Housing Assistance",'Federal Data'!$D2:$D501,"Nongrant")</f>
        <v>6731975</v>
      </c>
      <c r="O92" s="113">
        <f>SUMIFS('Federal Data'!Y2:Y501,'Federal Data'!$H2:$H501,"Housing Assistance",'Federal Data'!$D2:$D501,"Nongrant")</f>
        <v>6654119</v>
      </c>
      <c r="P92" s="113">
        <f>SUMIFS('Federal Data'!Z2:Z501,'Federal Data'!$H2:$H501,"Housing Assistance",'Federal Data'!$D2:$D501,"Nongrant")</f>
        <v>7455953</v>
      </c>
      <c r="Q92" s="113">
        <f>SUMIFS('Federal Data'!AA2:AA501,'Federal Data'!$H2:$H501,"Housing Assistance",'Federal Data'!$D2:$D501,"Nongrant")</f>
        <v>8130857</v>
      </c>
      <c r="R92" s="113">
        <f>SUMIFS('Federal Data'!AB2:AB501,'Federal Data'!$H2:$H501,"Housing Assistance",'Federal Data'!$D2:$D501,"Nongrant")</f>
        <v>9156000</v>
      </c>
      <c r="S92" s="113">
        <f>SUMIFS('Federal Data'!AC2:AC501,'Federal Data'!$H2:$H501,"Housing Assistance",'Federal Data'!$D2:$D501,"Nongrant")</f>
        <v>10048000</v>
      </c>
      <c r="T92" s="113">
        <f>SUMIFS('Federal Data'!AD2:AD501,'Federal Data'!$H2:$H501,"Housing Assistance",'Federal Data'!$D2:$D501,"Nongrant")</f>
        <v>10165000</v>
      </c>
      <c r="U92" s="113">
        <f>SUMIFS('Federal Data'!AE2:AE501,'Federal Data'!$H2:$H501,"Housing Assistance",'Federal Data'!$D2:$D501,"Nongrant")</f>
        <v>9163000</v>
      </c>
      <c r="V92" s="113">
        <f>SUMIFS('Federal Data'!AF2:AF501,'Federal Data'!$H2:$H501,"Housing Assistance",'Federal Data'!$D2:$D501,"Nongrant")</f>
        <v>4971000</v>
      </c>
      <c r="W92" s="113">
        <f>SUMIFS('Federal Data'!AG2:AG501,'Federal Data'!$H2:$H501,"Housing Assistance",'Federal Data'!$D2:$D501,"Nongrant")</f>
        <v>8977000</v>
      </c>
      <c r="X92" s="113">
        <f>SUMIFS('Federal Data'!AH2:AH501,'Federal Data'!$H2:$H501,"Housing Assistance",'Federal Data'!$D2:$D501,"Nongrant")</f>
        <v>9112000</v>
      </c>
      <c r="Y92" s="113">
        <f>SUMIFS('Federal Data'!AI2:AI501,'Federal Data'!$H2:$H501,"Housing Assistance",'Federal Data'!$D2:$D501,"Nongrant")</f>
        <v>9591000</v>
      </c>
      <c r="Z92" s="113">
        <f>SUMIFS('Federal Data'!AJ2:AJ501,'Federal Data'!$H2:$H501,"Housing Assistance",'Federal Data'!$D2:$D501,"Nongrant")</f>
        <v>9552000</v>
      </c>
      <c r="AA92" s="113">
        <f>SUMIFS('Federal Data'!AK2:AK501,'Federal Data'!$H2:$H501,"Housing Assistance",'Federal Data'!$D2:$D501,"Nongrant")</f>
        <v>9754000</v>
      </c>
      <c r="AB92" s="113">
        <f>SUMIFS('Federal Data'!AL2:AL501,'Federal Data'!$H2:$H501,"Housing Assistance",'Federal Data'!$D2:$D501,"Nongrant")</f>
        <v>7698000</v>
      </c>
      <c r="AC92" s="113">
        <f>SUMIFS('Federal Data'!AM2:AM501,'Federal Data'!$H2:$H501,"Housing Assistance",'Federal Data'!$D2:$D501,"Nongrant")</f>
        <v>10343000</v>
      </c>
      <c r="AD92" s="113">
        <f>SUMIFS('Federal Data'!AN2:AN501,'Federal Data'!$H2:$H501,"Housing Assistance",'Federal Data'!$D2:$D501,"Nongrant")</f>
        <v>10838000</v>
      </c>
      <c r="AE92" s="113">
        <f>SUMIFS('Federal Data'!AO2:AO501,'Federal Data'!$H2:$H501,"Housing Assistance",'Federal Data'!$D2:$D501,"Nongrant")</f>
        <v>11378000</v>
      </c>
      <c r="AF92" s="113">
        <f>SUMIFS('Federal Data'!AP2:AP501,'Federal Data'!$H2:$H501,"Housing Assistance",'Federal Data'!$D2:$D501,"Nongrant")</f>
        <v>20958000</v>
      </c>
      <c r="AG92" s="113">
        <f>SUMIFS('Federal Data'!AQ2:AQ501,'Federal Data'!$H2:$H501,"Housing Assistance",'Federal Data'!$D2:$D501,"Nongrant")</f>
        <v>21154000</v>
      </c>
      <c r="AH92" s="113">
        <f>SUMIFS('Federal Data'!AR2:AR501,'Federal Data'!$H2:$H501,"Housing Assistance",'Federal Data'!$D2:$D501,"Nongrant")</f>
        <v>19603000</v>
      </c>
      <c r="AI92" s="113">
        <f>SUMIFS('Federal Data'!AS2:AS501,'Federal Data'!$H2:$H501,"Housing Assistance",'Federal Data'!$D2:$D501,"Nongrant")</f>
        <v>18101000</v>
      </c>
      <c r="AJ92" s="113">
        <f>SUMIFS('Federal Data'!AT2:AT501,'Federal Data'!$H2:$H501,"Housing Assistance",'Federal Data'!$D2:$D501,"Nongrant")</f>
        <v>18763000</v>
      </c>
      <c r="AK92" s="113">
        <f>SUMIFS('Federal Data'!AU2:AU501,'Federal Data'!$H2:$H501,"Housing Assistance",'Federal Data'!$D2:$D501,"Nongrant")</f>
        <v>19254000</v>
      </c>
      <c r="AL92" s="113">
        <f>SUMIFS('Federal Data'!AV2:AV501,'Federal Data'!$H2:$H501,"Housing Assistance",'Federal Data'!$D2:$D501,"Nongrant")</f>
        <v>19280000</v>
      </c>
    </row>
    <row r="93" spans="1:38" outlineLevel="4">
      <c r="A93" s="22" t="str">
        <f>B90</f>
        <v>Non-Cash Programs for Aid to the Disadvantaged</v>
      </c>
      <c r="B93" s="31" t="s">
        <v>112</v>
      </c>
      <c r="C93" s="113">
        <f>SUMIFS('Federal Data'!M2:M501,'Federal Data'!$H2:$H501,"Medicaid and CHIP",'Federal Data'!$D2:$D501,"Nongrant")</f>
        <v>0</v>
      </c>
      <c r="D93" s="113">
        <f>SUMIFS('Federal Data'!N2:N501,'Federal Data'!$H2:$H501,"Medicaid and CHIP",'Federal Data'!$D2:$D501,"Nongrant")</f>
        <v>0</v>
      </c>
      <c r="E93" s="113">
        <f>SUMIFS('Federal Data'!O2:O501,'Federal Data'!$H2:$H501,"Medicaid and CHIP",'Federal Data'!$D2:$D501,"Nongrant")</f>
        <v>0</v>
      </c>
      <c r="F93" s="113">
        <f>SUMIFS('Federal Data'!P2:P501,'Federal Data'!$H2:$H501,"Medicaid and CHIP",'Federal Data'!$D2:$D501,"Nongrant")</f>
        <v>0</v>
      </c>
      <c r="G93" s="113">
        <f>SUMIFS('Federal Data'!Q2:Q501,'Federal Data'!$H2:$H501,"Medicaid and CHIP",'Federal Data'!$D2:$D501,"Nongrant")</f>
        <v>0</v>
      </c>
      <c r="H93" s="113">
        <f>SUMIFS('Federal Data'!R2:R501,'Federal Data'!$H2:$H501,"Medicaid and CHIP",'Federal Data'!$D2:$D501,"Nongrant")</f>
        <v>0</v>
      </c>
      <c r="I93" s="113">
        <f>SUMIFS('Federal Data'!S2:S501,'Federal Data'!$H2:$H501,"Medicaid and CHIP",'Federal Data'!$D2:$D501,"Nongrant")</f>
        <v>0</v>
      </c>
      <c r="J93" s="113">
        <f>SUMIFS('Federal Data'!T2:T501,'Federal Data'!$H2:$H501,"Medicaid and CHIP",'Federal Data'!$D2:$D501,"Nongrant")</f>
        <v>0</v>
      </c>
      <c r="K93" s="113">
        <f>SUMIFS('Federal Data'!U2:U501,'Federal Data'!$H2:$H501,"Medicaid and CHIP",'Federal Data'!$D2:$D501,"Nongrant")</f>
        <v>0</v>
      </c>
      <c r="L93" s="113">
        <f>SUMIFS('Federal Data'!V2:V501,'Federal Data'!$H2:$H501,"Medicaid and CHIP",'Federal Data'!$D2:$D501,"Nongrant")</f>
        <v>0</v>
      </c>
      <c r="M93" s="113">
        <f>SUMIFS('Federal Data'!W2:W501,'Federal Data'!$H2:$H501,"Medicaid and CHIP",'Federal Data'!$D2:$D501,"Nongrant")</f>
        <v>0</v>
      </c>
      <c r="N93" s="113">
        <f>SUMIFS('Federal Data'!X2:X501,'Federal Data'!$H2:$H501,"Medicaid and CHIP",'Federal Data'!$D2:$D501,"Nongrant")</f>
        <v>0</v>
      </c>
      <c r="O93" s="113">
        <f>SUMIFS('Federal Data'!Y2:Y501,'Federal Data'!$H2:$H501,"Medicaid and CHIP",'Federal Data'!$D2:$D501,"Nongrant")</f>
        <v>0</v>
      </c>
      <c r="P93" s="113">
        <f>SUMIFS('Federal Data'!Z2:Z501,'Federal Data'!$H2:$H501,"Medicaid and CHIP",'Federal Data'!$D2:$D501,"Nongrant")</f>
        <v>0</v>
      </c>
      <c r="Q93" s="113">
        <f>SUMIFS('Federal Data'!AA2:AA501,'Federal Data'!$H2:$H501,"Medicaid and CHIP",'Federal Data'!$D2:$D501,"Nongrant")</f>
        <v>0</v>
      </c>
      <c r="R93" s="113">
        <f>SUMIFS('Federal Data'!AB2:AB501,'Federal Data'!$H2:$H501,"Medicaid and CHIP",'Federal Data'!$D2:$D501,"Nongrant")</f>
        <v>0</v>
      </c>
      <c r="S93" s="113">
        <f>SUMIFS('Federal Data'!AC2:AC501,'Federal Data'!$H2:$H501,"Medicaid and CHIP",'Federal Data'!$D2:$D501,"Nongrant")</f>
        <v>0</v>
      </c>
      <c r="T93" s="113">
        <f>SUMIFS('Federal Data'!AD2:AD501,'Federal Data'!$H2:$H501,"Medicaid and CHIP",'Federal Data'!$D2:$D501,"Nongrant")</f>
        <v>0</v>
      </c>
      <c r="U93" s="113">
        <f>SUMIFS('Federal Data'!AE2:AE501,'Federal Data'!$H2:$H501,"Medicaid and CHIP",'Federal Data'!$D2:$D501,"Nongrant")</f>
        <v>0</v>
      </c>
      <c r="V93" s="113">
        <f>SUMIFS('Federal Data'!AF2:AF501,'Federal Data'!$H2:$H501,"Medicaid and CHIP",'Federal Data'!$D2:$D501,"Nongrant")</f>
        <v>0</v>
      </c>
      <c r="W93" s="113">
        <f>SUMIFS('Federal Data'!AG2:AG501,'Federal Data'!$H2:$H501,"Medicaid and CHIP",'Federal Data'!$D2:$D501,"Nongrant")</f>
        <v>0</v>
      </c>
      <c r="X93" s="113">
        <f>SUMIFS('Federal Data'!AH2:AH501,'Federal Data'!$H2:$H501,"Medicaid and CHIP",'Federal Data'!$D2:$D501,"Nongrant")</f>
        <v>-60000</v>
      </c>
      <c r="Y93" s="113">
        <f>SUMIFS('Federal Data'!AI2:AI501,'Federal Data'!$H2:$H501,"Medicaid and CHIP",'Federal Data'!$D2:$D501,"Nongrant")</f>
        <v>-138000</v>
      </c>
      <c r="Z93" s="113">
        <f>SUMIFS('Federal Data'!AJ2:AJ501,'Federal Data'!$H2:$H501,"Medicaid and CHIP",'Federal Data'!$D2:$D501,"Nongrant")</f>
        <v>-112000</v>
      </c>
      <c r="AA93" s="113">
        <f>SUMIFS('Federal Data'!AK2:AK501,'Federal Data'!$H2:$H501,"Medicaid and CHIP",'Federal Data'!$D2:$D501,"Nongrant")</f>
        <v>0</v>
      </c>
      <c r="AB93" s="113">
        <f>SUMIFS('Federal Data'!AL2:AL501,'Federal Data'!$H2:$H501,"Medicaid and CHIP",'Federal Data'!$D2:$D501,"Nongrant")</f>
        <v>0</v>
      </c>
      <c r="AC93" s="113">
        <f>SUMIFS('Federal Data'!AM2:AM501,'Federal Data'!$H2:$H501,"Medicaid and CHIP",'Federal Data'!$D2:$D501,"Nongrant")</f>
        <v>0</v>
      </c>
      <c r="AD93" s="113">
        <f>SUMIFS('Federal Data'!AN2:AN501,'Federal Data'!$H2:$H501,"Medicaid and CHIP",'Federal Data'!$D2:$D501,"Nongrant")</f>
        <v>0</v>
      </c>
      <c r="AE93" s="113">
        <f>SUMIFS('Federal Data'!AO2:AO501,'Federal Data'!$H2:$H501,"Medicaid and CHIP",'Federal Data'!$D2:$D501,"Nongrant")</f>
        <v>0</v>
      </c>
      <c r="AF93" s="113">
        <f>SUMIFS('Federal Data'!AP2:AP501,'Federal Data'!$H2:$H501,"Medicaid and CHIP",'Federal Data'!$D2:$D501,"Nongrant")</f>
        <v>1000</v>
      </c>
      <c r="AG93" s="113">
        <f>SUMIFS('Federal Data'!AQ2:AQ501,'Federal Data'!$H2:$H501,"Medicaid and CHIP",'Federal Data'!$D2:$D501,"Nongrant")</f>
        <v>0</v>
      </c>
      <c r="AH93" s="113">
        <f>SUMIFS('Federal Data'!AR2:AR501,'Federal Data'!$H2:$H501,"Medicaid and CHIP",'Federal Data'!$D2:$D501,"Nongrant")</f>
        <v>6000</v>
      </c>
      <c r="AI93" s="113">
        <f>SUMIFS('Federal Data'!AS2:AS501,'Federal Data'!$H2:$H501,"Medicaid and CHIP",'Federal Data'!$D2:$D501,"Nongrant")</f>
        <v>6000</v>
      </c>
      <c r="AJ93" s="113">
        <f>SUMIFS('Federal Data'!AT2:AT501,'Federal Data'!$H2:$H501,"Medicaid and CHIP",'Federal Data'!$D2:$D501,"Nongrant")</f>
        <v>8000</v>
      </c>
      <c r="AK93" s="113">
        <f>SUMIFS('Federal Data'!AU2:AU501,'Federal Data'!$H2:$H501,"Medicaid and CHIP",'Federal Data'!$D2:$D501,"Nongrant")</f>
        <v>8000</v>
      </c>
      <c r="AL93" s="113">
        <f>SUMIFS('Federal Data'!AV2:AV501,'Federal Data'!$H2:$H501,"Medicaid and CHIP",'Federal Data'!$D2:$D501,"Nongrant")</f>
        <v>9000</v>
      </c>
    </row>
    <row r="94" spans="1:38" outlineLevel="4">
      <c r="A94" s="22" t="str">
        <f>B90</f>
        <v>Non-Cash Programs for Aid to the Disadvantaged</v>
      </c>
      <c r="B94" s="31" t="s">
        <v>57</v>
      </c>
      <c r="C94" s="113">
        <f>SUMIFS('Federal Data'!M2:M501,'Federal Data'!$H2:$H501,"Other Medical Assistance to Persons",'Federal Data'!$D2:$D501,"Nongrant")</f>
        <v>668959</v>
      </c>
      <c r="D94" s="113">
        <f>SUMIFS('Federal Data'!N2:N501,'Federal Data'!$H2:$H501,"Other Medical Assistance to Persons",'Federal Data'!$D2:$D501,"Nongrant")</f>
        <v>695845</v>
      </c>
      <c r="E94" s="113">
        <f>SUMIFS('Federal Data'!O2:O501,'Federal Data'!$H2:$H501,"Other Medical Assistance to Persons",'Federal Data'!$D2:$D501,"Nongrant")</f>
        <v>667808</v>
      </c>
      <c r="F94" s="113">
        <f>SUMIFS('Federal Data'!P2:P501,'Federal Data'!$H2:$H501,"Other Medical Assistance to Persons",'Federal Data'!$D2:$D501,"Nongrant")</f>
        <v>698333</v>
      </c>
      <c r="G94" s="113">
        <f>SUMIFS('Federal Data'!Q2:Q501,'Federal Data'!$H2:$H501,"Other Medical Assistance to Persons",'Federal Data'!$D2:$D501,"Nongrant")</f>
        <v>787765</v>
      </c>
      <c r="H94" s="113">
        <f>SUMIFS('Federal Data'!R2:R501,'Federal Data'!$H2:$H501,"Other Medical Assistance to Persons",'Federal Data'!$D2:$D501,"Nongrant")</f>
        <v>863210</v>
      </c>
      <c r="I94" s="113">
        <f>SUMIFS('Federal Data'!S2:S501,'Federal Data'!$H2:$H501,"Other Medical Assistance to Persons",'Federal Data'!$D2:$D501,"Nongrant")</f>
        <v>858710</v>
      </c>
      <c r="J94" s="113">
        <f>SUMIFS('Federal Data'!T2:T501,'Federal Data'!$H2:$H501,"Other Medical Assistance to Persons",'Federal Data'!$D2:$D501,"Nongrant")</f>
        <v>855649</v>
      </c>
      <c r="K94" s="113">
        <f>SUMIFS('Federal Data'!U2:U501,'Federal Data'!$H2:$H501,"Other Medical Assistance to Persons",'Federal Data'!$D2:$D501,"Nongrant")</f>
        <v>941235</v>
      </c>
      <c r="L94" s="113">
        <f>SUMIFS('Federal Data'!V2:V501,'Federal Data'!$H2:$H501,"Other Medical Assistance to Persons",'Federal Data'!$D2:$D501,"Nongrant")</f>
        <v>1047364</v>
      </c>
      <c r="M94" s="113">
        <f>SUMIFS('Federal Data'!W2:W501,'Federal Data'!$H2:$H501,"Other Medical Assistance to Persons",'Federal Data'!$D2:$D501,"Nongrant")</f>
        <v>1110404</v>
      </c>
      <c r="N94" s="113">
        <f>SUMIFS('Federal Data'!X2:X501,'Federal Data'!$H2:$H501,"Other Medical Assistance to Persons",'Federal Data'!$D2:$D501,"Nongrant")</f>
        <v>1305660</v>
      </c>
      <c r="O94" s="113">
        <f>SUMIFS('Federal Data'!Y2:Y501,'Federal Data'!$H2:$H501,"Other Medical Assistance to Persons",'Federal Data'!$D2:$D501,"Nongrant")</f>
        <v>1963253</v>
      </c>
      <c r="P94" s="113">
        <f>SUMIFS('Federal Data'!Z2:Z501,'Federal Data'!$H2:$H501,"Other Medical Assistance to Persons",'Federal Data'!$D2:$D501,"Nongrant")</f>
        <v>2383694</v>
      </c>
      <c r="Q94" s="113">
        <f>SUMIFS('Federal Data'!AA2:AA501,'Federal Data'!$H2:$H501,"Other Medical Assistance to Persons",'Federal Data'!$D2:$D501,"Nongrant")</f>
        <v>2589227</v>
      </c>
      <c r="R94" s="113">
        <f>SUMIFS('Federal Data'!AB2:AB501,'Federal Data'!$H2:$H501,"Other Medical Assistance to Persons",'Federal Data'!$D2:$D501,"Nongrant")</f>
        <v>2008000</v>
      </c>
      <c r="S94" s="113">
        <f>SUMIFS('Federal Data'!AC2:AC501,'Federal Data'!$H2:$H501,"Other Medical Assistance to Persons",'Federal Data'!$D2:$D501,"Nongrant")</f>
        <v>2028000</v>
      </c>
      <c r="T94" s="113">
        <f>SUMIFS('Federal Data'!AD2:AD501,'Federal Data'!$H2:$H501,"Other Medical Assistance to Persons",'Federal Data'!$D2:$D501,"Nongrant")</f>
        <v>2173000</v>
      </c>
      <c r="U94" s="113">
        <f>SUMIFS('Federal Data'!AE2:AE501,'Federal Data'!$H2:$H501,"Other Medical Assistance to Persons",'Federal Data'!$D2:$D501,"Nongrant")</f>
        <v>2149000</v>
      </c>
      <c r="V94" s="113">
        <f>SUMIFS('Federal Data'!AF2:AF501,'Federal Data'!$H2:$H501,"Other Medical Assistance to Persons",'Federal Data'!$D2:$D501,"Nongrant")</f>
        <v>2199000</v>
      </c>
      <c r="W94" s="113">
        <f>SUMIFS('Federal Data'!AG2:AG501,'Federal Data'!$H2:$H501,"Other Medical Assistance to Persons",'Federal Data'!$D2:$D501,"Nongrant")</f>
        <v>2378000</v>
      </c>
      <c r="X94" s="113">
        <f>SUMIFS('Federal Data'!AH2:AH501,'Federal Data'!$H2:$H501,"Other Medical Assistance to Persons",'Federal Data'!$D2:$D501,"Nongrant")</f>
        <v>2561000</v>
      </c>
      <c r="Y94" s="113">
        <f>SUMIFS('Federal Data'!AI2:AI501,'Federal Data'!$H2:$H501,"Other Medical Assistance to Persons",'Federal Data'!$D2:$D501,"Nongrant")</f>
        <v>2817000</v>
      </c>
      <c r="Z94" s="113">
        <f>SUMIFS('Federal Data'!AJ2:AJ501,'Federal Data'!$H2:$H501,"Other Medical Assistance to Persons",'Federal Data'!$D2:$D501,"Nongrant")</f>
        <v>2948000</v>
      </c>
      <c r="AA94" s="113">
        <f>SUMIFS('Federal Data'!AK2:AK501,'Federal Data'!$H2:$H501,"Other Medical Assistance to Persons",'Federal Data'!$D2:$D501,"Nongrant")</f>
        <v>3145000</v>
      </c>
      <c r="AB94" s="113">
        <f>SUMIFS('Federal Data'!AL2:AL501,'Federal Data'!$H2:$H501,"Other Medical Assistance to Persons",'Federal Data'!$D2:$D501,"Nongrant")</f>
        <v>3207000</v>
      </c>
      <c r="AC94" s="113">
        <f>SUMIFS('Federal Data'!AM2:AM501,'Federal Data'!$H2:$H501,"Other Medical Assistance to Persons",'Federal Data'!$D2:$D501,"Nongrant")</f>
        <v>3347000</v>
      </c>
      <c r="AD94" s="113">
        <f>SUMIFS('Federal Data'!AN2:AN501,'Federal Data'!$H2:$H501,"Other Medical Assistance to Persons",'Federal Data'!$D2:$D501,"Nongrant")</f>
        <v>3375000</v>
      </c>
      <c r="AE94" s="113">
        <f>SUMIFS('Federal Data'!AO2:AO501,'Federal Data'!$H2:$H501,"Other Medical Assistance to Persons",'Federal Data'!$D2:$D501,"Nongrant")</f>
        <v>3347000</v>
      </c>
      <c r="AF94" s="113">
        <f>SUMIFS('Federal Data'!AP2:AP501,'Federal Data'!$H2:$H501,"Other Medical Assistance to Persons",'Federal Data'!$D2:$D501,"Nongrant")</f>
        <v>4070000</v>
      </c>
      <c r="AG94" s="113">
        <f>SUMIFS('Federal Data'!AQ2:AQ501,'Federal Data'!$H2:$H501,"Other Medical Assistance to Persons",'Federal Data'!$D2:$D501,"Nongrant")</f>
        <v>8421000</v>
      </c>
      <c r="AH94" s="113">
        <f>SUMIFS('Federal Data'!AR2:AR501,'Federal Data'!$H2:$H501,"Other Medical Assistance to Persons",'Federal Data'!$D2:$D501,"Nongrant")</f>
        <v>6582000</v>
      </c>
      <c r="AI94" s="113">
        <f>SUMIFS('Federal Data'!AS2:AS501,'Federal Data'!$H2:$H501,"Other Medical Assistance to Persons",'Federal Data'!$D2:$D501,"Nongrant")</f>
        <v>4914000</v>
      </c>
      <c r="AJ94" s="113">
        <f>SUMIFS('Federal Data'!AT2:AT501,'Federal Data'!$H2:$H501,"Other Medical Assistance to Persons",'Federal Data'!$D2:$D501,"Nongrant")</f>
        <v>4500000</v>
      </c>
      <c r="AK94" s="113">
        <f>SUMIFS('Federal Data'!AU2:AU501,'Federal Data'!$H2:$H501,"Other Medical Assistance to Persons",'Federal Data'!$D2:$D501,"Nongrant")</f>
        <v>17675000</v>
      </c>
      <c r="AL94" s="113">
        <f>SUMIFS('Federal Data'!AV2:AV501,'Federal Data'!$H2:$H501,"Other Medical Assistance to Persons",'Federal Data'!$D2:$D501,"Nongrant")</f>
        <v>40868000</v>
      </c>
    </row>
    <row r="95" spans="1:38" outlineLevel="4">
      <c r="A95" s="22" t="str">
        <f>B90</f>
        <v>Non-Cash Programs for Aid to the Disadvantaged</v>
      </c>
      <c r="B95" s="31" t="s">
        <v>113</v>
      </c>
      <c r="C95" s="113">
        <f>SUMIFS('Federal Data'!M2:M501,'Federal Data'!$H2:$H501,"Pell Grants",'Federal Data'!$D2:$D501,"Nongrant")</f>
        <v>3604504</v>
      </c>
      <c r="D95" s="113">
        <f>SUMIFS('Federal Data'!N2:N501,'Federal Data'!$H2:$H501,"Pell Grants",'Federal Data'!$D2:$D501,"Nongrant")</f>
        <v>3827935</v>
      </c>
      <c r="E95" s="113">
        <f>SUMIFS('Federal Data'!O2:O501,'Federal Data'!$H2:$H501,"Pell Grants",'Federal Data'!$D2:$D501,"Nongrant")</f>
        <v>2675717</v>
      </c>
      <c r="F95" s="113">
        <f>SUMIFS('Federal Data'!P2:P501,'Federal Data'!$H2:$H501,"Pell Grants",'Federal Data'!$D2:$D501,"Nongrant")</f>
        <v>3992842</v>
      </c>
      <c r="G95" s="113">
        <f>SUMIFS('Federal Data'!Q2:Q501,'Federal Data'!$H2:$H501,"Pell Grants",'Federal Data'!$D2:$D501,"Nongrant")</f>
        <v>3673678</v>
      </c>
      <c r="H95" s="113">
        <f>SUMIFS('Federal Data'!R2:R501,'Federal Data'!$H2:$H501,"Pell Grants",'Federal Data'!$D2:$D501,"Nongrant")</f>
        <v>4086709</v>
      </c>
      <c r="I95" s="113">
        <f>SUMIFS('Federal Data'!S2:S501,'Federal Data'!$H2:$H501,"Pell Grants",'Federal Data'!$D2:$D501,"Nongrant")</f>
        <v>4503138</v>
      </c>
      <c r="J95" s="113">
        <f>SUMIFS('Federal Data'!T2:T501,'Federal Data'!$H2:$H501,"Pell Grants",'Federal Data'!$D2:$D501,"Nongrant")</f>
        <v>4713396</v>
      </c>
      <c r="K95" s="113">
        <f>SUMIFS('Federal Data'!U2:U501,'Federal Data'!$H2:$H501,"Pell Grants",'Federal Data'!$D2:$D501,"Nongrant")</f>
        <v>5151582</v>
      </c>
      <c r="L95" s="113">
        <f>SUMIFS('Federal Data'!V2:V501,'Federal Data'!$H2:$H501,"Pell Grants",'Federal Data'!$D2:$D501,"Nongrant")</f>
        <v>5791801</v>
      </c>
      <c r="M95" s="113">
        <f>SUMIFS('Federal Data'!W2:W501,'Federal Data'!$H2:$H501,"Pell Grants",'Federal Data'!$D2:$D501,"Nongrant")</f>
        <v>5846916</v>
      </c>
      <c r="N95" s="113">
        <f>SUMIFS('Federal Data'!X2:X501,'Federal Data'!$H2:$H501,"Pell Grants",'Federal Data'!$D2:$D501,"Nongrant")</f>
        <v>6273668</v>
      </c>
      <c r="O95" s="113">
        <f>SUMIFS('Federal Data'!Y2:Y501,'Federal Data'!$H2:$H501,"Pell Grants",'Federal Data'!$D2:$D501,"Nongrant")</f>
        <v>6998060</v>
      </c>
      <c r="P95" s="113">
        <f>SUMIFS('Federal Data'!Z2:Z501,'Federal Data'!$H2:$H501,"Pell Grants",'Federal Data'!$D2:$D501,"Nongrant")</f>
        <v>7589005</v>
      </c>
      <c r="Q95" s="113">
        <f>SUMIFS('Federal Data'!AA2:AA501,'Federal Data'!$H2:$H501,"Pell Grants",'Federal Data'!$D2:$D501,"Nongrant")</f>
        <v>7037115</v>
      </c>
      <c r="R95" s="113">
        <f>SUMIFS('Federal Data'!AB2:AB501,'Federal Data'!$H2:$H501,"Pell Grants",'Federal Data'!$D2:$D501,"Nongrant")</f>
        <v>6965000</v>
      </c>
      <c r="S95" s="113">
        <f>SUMIFS('Federal Data'!AC2:AC501,'Federal Data'!$H2:$H501,"Pell Grants",'Federal Data'!$D2:$D501,"Nongrant")</f>
        <v>6783000</v>
      </c>
      <c r="T95" s="113">
        <f>SUMIFS('Federal Data'!AD2:AD501,'Federal Data'!$H2:$H501,"Pell Grants",'Federal Data'!$D2:$D501,"Nongrant")</f>
        <v>7205000</v>
      </c>
      <c r="U95" s="113">
        <f>SUMIFS('Federal Data'!AE2:AE501,'Federal Data'!$H2:$H501,"Pell Grants",'Federal Data'!$D2:$D501,"Nongrant")</f>
        <v>7883000</v>
      </c>
      <c r="V95" s="113">
        <f>SUMIFS('Federal Data'!AF2:AF501,'Federal Data'!$H2:$H501,"Pell Grants",'Federal Data'!$D2:$D501,"Nongrant")</f>
        <v>9102000</v>
      </c>
      <c r="W95" s="113">
        <f>SUMIFS('Federal Data'!AG2:AG501,'Federal Data'!$H2:$H501,"Pell Grants",'Federal Data'!$D2:$D501,"Nongrant")</f>
        <v>9036000</v>
      </c>
      <c r="X95" s="113">
        <f>SUMIFS('Federal Data'!AH2:AH501,'Federal Data'!$H2:$H501,"Pell Grants",'Federal Data'!$D2:$D501,"Nongrant")</f>
        <v>10118000</v>
      </c>
      <c r="Y95" s="113">
        <f>SUMIFS('Federal Data'!AI2:AI501,'Federal Data'!$H2:$H501,"Pell Grants",'Federal Data'!$D2:$D501,"Nongrant")</f>
        <v>12307000</v>
      </c>
      <c r="Z95" s="113">
        <f>SUMIFS('Federal Data'!AJ2:AJ501,'Federal Data'!$H2:$H501,"Pell Grants",'Federal Data'!$D2:$D501,"Nongrant")</f>
        <v>13983000</v>
      </c>
      <c r="AA95" s="113">
        <f>SUMIFS('Federal Data'!AK2:AK501,'Federal Data'!$H2:$H501,"Pell Grants",'Federal Data'!$D2:$D501,"Nongrant")</f>
        <v>14789000</v>
      </c>
      <c r="AB95" s="113">
        <f>SUMIFS('Federal Data'!AL2:AL501,'Federal Data'!$H2:$H501,"Pell Grants",'Federal Data'!$D2:$D501,"Nongrant")</f>
        <v>15042000</v>
      </c>
      <c r="AC95" s="113">
        <f>SUMIFS('Federal Data'!AM2:AM501,'Federal Data'!$H2:$H501,"Pell Grants",'Federal Data'!$D2:$D501,"Nongrant")</f>
        <v>14642000</v>
      </c>
      <c r="AD95" s="113">
        <f>SUMIFS('Federal Data'!AN2:AN501,'Federal Data'!$H2:$H501,"Pell Grants",'Federal Data'!$D2:$D501,"Nongrant")</f>
        <v>14867000</v>
      </c>
      <c r="AE95" s="113">
        <f>SUMIFS('Federal Data'!AO2:AO501,'Federal Data'!$H2:$H501,"Pell Grants",'Federal Data'!$D2:$D501,"Nongrant")</f>
        <v>17013000</v>
      </c>
      <c r="AF95" s="113">
        <f>SUMIFS('Federal Data'!AP2:AP501,'Federal Data'!$H2:$H501,"Pell Grants",'Federal Data'!$D2:$D501,"Nongrant")</f>
        <v>23124000</v>
      </c>
      <c r="AG95" s="113">
        <f>SUMIFS('Federal Data'!AQ2:AQ501,'Federal Data'!$H2:$H501,"Pell Grants",'Federal Data'!$D2:$D501,"Nongrant")</f>
        <v>33891000</v>
      </c>
      <c r="AH95" s="113">
        <f>SUMIFS('Federal Data'!AR2:AR501,'Federal Data'!$H2:$H501,"Pell Grants",'Federal Data'!$D2:$D501,"Nongrant")</f>
        <v>37847000</v>
      </c>
      <c r="AI95" s="113">
        <f>SUMIFS('Federal Data'!AS2:AS501,'Federal Data'!$H2:$H501,"Pell Grants",'Federal Data'!$D2:$D501,"Nongrant")</f>
        <v>34974000</v>
      </c>
      <c r="AJ95" s="113">
        <f>SUMIFS('Federal Data'!AT2:AT501,'Federal Data'!$H2:$H501,"Pell Grants",'Federal Data'!$D2:$D501,"Nongrant")</f>
        <v>34037000</v>
      </c>
      <c r="AK95" s="113">
        <f>SUMIFS('Federal Data'!AU2:AU501,'Federal Data'!$H2:$H501,"Pell Grants",'Federal Data'!$D2:$D501,"Nongrant")</f>
        <v>33176000</v>
      </c>
      <c r="AL95" s="113">
        <f>SUMIFS('Federal Data'!AV2:AV501,'Federal Data'!$H2:$H501,"Pell Grants",'Federal Data'!$D2:$D501,"Nongrant")</f>
        <v>31588000</v>
      </c>
    </row>
    <row r="96" spans="1:38" outlineLevel="4">
      <c r="A96" s="22" t="str">
        <f>B90</f>
        <v>Non-Cash Programs for Aid to the Disadvantaged</v>
      </c>
      <c r="B96" s="31" t="s">
        <v>114</v>
      </c>
      <c r="C96" s="113">
        <f>SUMIFS('Federal Data'!M2:M501,'Federal Data'!$H2:$H501,"SNAP (and other nutritional programs)",'Federal Data'!$D2:$D501,"Nongrant")</f>
        <v>8942004</v>
      </c>
      <c r="D96" s="113">
        <f>SUMIFS('Federal Data'!N2:N501,'Federal Data'!$H2:$H501,"SNAP (and other nutritional programs)",'Federal Data'!$D2:$D501,"Nongrant")</f>
        <v>11039193</v>
      </c>
      <c r="E96" s="113">
        <f>SUMIFS('Federal Data'!O2:O501,'Federal Data'!$H2:$H501,"SNAP (and other nutritional programs)",'Federal Data'!$D2:$D501,"Nongrant")</f>
        <v>10524444</v>
      </c>
      <c r="F96" s="113">
        <f>SUMIFS('Federal Data'!P2:P501,'Federal Data'!$H2:$H501,"SNAP (and other nutritional programs)",'Federal Data'!$D2:$D501,"Nongrant")</f>
        <v>11478759</v>
      </c>
      <c r="G96" s="113">
        <f>SUMIFS('Federal Data'!Q2:Q501,'Federal Data'!$H2:$H501,"SNAP (and other nutritional programs)",'Federal Data'!$D2:$D501,"Nongrant")</f>
        <v>11113932</v>
      </c>
      <c r="H96" s="113">
        <f>SUMIFS('Federal Data'!R2:R501,'Federal Data'!$H2:$H501,"SNAP (and other nutritional programs)",'Federal Data'!$D2:$D501,"Nongrant")</f>
        <v>11108630</v>
      </c>
      <c r="I96" s="113">
        <f>SUMIFS('Federal Data'!S2:S501,'Federal Data'!$H2:$H501,"SNAP (and other nutritional programs)",'Federal Data'!$D2:$D501,"Nongrant")</f>
        <v>10895071</v>
      </c>
      <c r="J96" s="113">
        <f>SUMIFS('Federal Data'!T2:T501,'Federal Data'!$H2:$H501,"SNAP (and other nutritional programs)",'Federal Data'!$D2:$D501,"Nongrant")</f>
        <v>10673718</v>
      </c>
      <c r="K96" s="113">
        <f>SUMIFS('Federal Data'!U2:U501,'Federal Data'!$H2:$H501,"SNAP (and other nutritional programs)",'Federal Data'!$D2:$D501,"Nongrant")</f>
        <v>11394882</v>
      </c>
      <c r="L96" s="113">
        <f>SUMIFS('Federal Data'!V2:V501,'Federal Data'!$H2:$H501,"SNAP (and other nutritional programs)",'Federal Data'!$D2:$D501,"Nongrant")</f>
        <v>11869554</v>
      </c>
      <c r="M96" s="113">
        <f>SUMIFS('Federal Data'!W2:W501,'Federal Data'!$H2:$H501,"SNAP (and other nutritional programs)",'Federal Data'!$D2:$D501,"Nongrant")</f>
        <v>14024265</v>
      </c>
      <c r="N96" s="113">
        <f>SUMIFS('Federal Data'!X2:X501,'Federal Data'!$H2:$H501,"SNAP (and other nutritional programs)",'Federal Data'!$D2:$D501,"Nongrant")</f>
        <v>17528209</v>
      </c>
      <c r="O96" s="113">
        <f>SUMIFS('Federal Data'!Y2:Y501,'Federal Data'!$H2:$H501,"SNAP (and other nutritional programs)",'Federal Data'!$D2:$D501,"Nongrant")</f>
        <v>20463697</v>
      </c>
      <c r="P96" s="113">
        <f>SUMIFS('Federal Data'!Z2:Z501,'Federal Data'!$H2:$H501,"SNAP (and other nutritional programs)",'Federal Data'!$D2:$D501,"Nongrant")</f>
        <v>22250853</v>
      </c>
      <c r="Q96" s="113">
        <f>SUMIFS('Federal Data'!AA2:AA501,'Federal Data'!$H2:$H501,"SNAP (and other nutritional programs)",'Federal Data'!$D2:$D501,"Nongrant")</f>
        <v>23076121</v>
      </c>
      <c r="R96" s="113">
        <f>SUMIFS('Federal Data'!AB2:AB501,'Federal Data'!$H2:$H501,"SNAP (and other nutritional programs)",'Federal Data'!$D2:$D501,"Nongrant")</f>
        <v>23053000</v>
      </c>
      <c r="S96" s="113">
        <f>SUMIFS('Federal Data'!AC2:AC501,'Federal Data'!$H2:$H501,"SNAP (and other nutritional programs)",'Federal Data'!$D2:$D501,"Nongrant")</f>
        <v>22634000</v>
      </c>
      <c r="T96" s="113">
        <f>SUMIFS('Federal Data'!AD2:AD501,'Federal Data'!$H2:$H501,"SNAP (and other nutritional programs)",'Federal Data'!$D2:$D501,"Nongrant")</f>
        <v>19982000</v>
      </c>
      <c r="U96" s="113">
        <f>SUMIFS('Federal Data'!AE2:AE501,'Federal Data'!$H2:$H501,"SNAP (and other nutritional programs)",'Federal Data'!$D2:$D501,"Nongrant")</f>
        <v>16714000</v>
      </c>
      <c r="V96" s="113">
        <f>SUMIFS('Federal Data'!AF2:AF501,'Federal Data'!$H2:$H501,"SNAP (and other nutritional programs)",'Federal Data'!$D2:$D501,"Nongrant")</f>
        <v>15907000</v>
      </c>
      <c r="W96" s="113">
        <f>SUMIFS('Federal Data'!AG2:AG501,'Federal Data'!$H2:$H501,"SNAP (and other nutritional programs)",'Federal Data'!$D2:$D501,"Nongrant")</f>
        <v>15063000</v>
      </c>
      <c r="X96" s="113">
        <f>SUMIFS('Federal Data'!AH2:AH501,'Federal Data'!$H2:$H501,"SNAP (and other nutritional programs)",'Federal Data'!$D2:$D501,"Nongrant")</f>
        <v>15702000</v>
      </c>
      <c r="Y96" s="113">
        <f>SUMIFS('Federal Data'!AI2:AI501,'Federal Data'!$H2:$H501,"SNAP (and other nutritional programs)",'Federal Data'!$D2:$D501,"Nongrant")</f>
        <v>18399000</v>
      </c>
      <c r="Z96" s="113">
        <f>SUMIFS('Federal Data'!AJ2:AJ501,'Federal Data'!$H2:$H501,"SNAP (and other nutritional programs)",'Federal Data'!$D2:$D501,"Nongrant")</f>
        <v>21484000</v>
      </c>
      <c r="AA96" s="113">
        <f>SUMIFS('Federal Data'!AK2:AK501,'Federal Data'!$H2:$H501,"SNAP (and other nutritional programs)",'Federal Data'!$D2:$D501,"Nongrant")</f>
        <v>24742000</v>
      </c>
      <c r="AB96" s="113">
        <f>SUMIFS('Federal Data'!AL2:AL501,'Federal Data'!$H2:$H501,"SNAP (and other nutritional programs)",'Federal Data'!$D2:$D501,"Nongrant")</f>
        <v>28566000</v>
      </c>
      <c r="AC96" s="113">
        <f>SUMIFS('Federal Data'!AM2:AM501,'Federal Data'!$H2:$H501,"SNAP (and other nutritional programs)",'Federal Data'!$D2:$D501,"Nongrant")</f>
        <v>30372000</v>
      </c>
      <c r="AD96" s="113">
        <f>SUMIFS('Federal Data'!AN2:AN501,'Federal Data'!$H2:$H501,"SNAP (and other nutritional programs)",'Federal Data'!$D2:$D501,"Nongrant")</f>
        <v>30641000</v>
      </c>
      <c r="AE96" s="113">
        <f>SUMIFS('Federal Data'!AO2:AO501,'Federal Data'!$H2:$H501,"SNAP (and other nutritional programs)",'Federal Data'!$D2:$D501,"Nongrant")</f>
        <v>34743000</v>
      </c>
      <c r="AF96" s="113">
        <f>SUMIFS('Federal Data'!AP2:AP501,'Federal Data'!$H2:$H501,"SNAP (and other nutritional programs)",'Federal Data'!$D2:$D501,"Nongrant")</f>
        <v>50311000</v>
      </c>
      <c r="AG96" s="113">
        <f>SUMIFS('Federal Data'!AQ2:AQ501,'Federal Data'!$H2:$H501,"SNAP (and other nutritional programs)",'Federal Data'!$D2:$D501,"Nongrant")</f>
        <v>65116000</v>
      </c>
      <c r="AH96" s="113">
        <f>SUMIFS('Federal Data'!AR2:AR501,'Federal Data'!$H2:$H501,"SNAP (and other nutritional programs)",'Federal Data'!$D2:$D501,"Nongrant")</f>
        <v>72025000</v>
      </c>
      <c r="AI96" s="113">
        <f>SUMIFS('Federal Data'!AS2:AS501,'Federal Data'!$H2:$H501,"SNAP (and other nutritional programs)",'Federal Data'!$D2:$D501,"Nongrant")</f>
        <v>73775000</v>
      </c>
      <c r="AJ96" s="113">
        <f>SUMIFS('Federal Data'!AT2:AT501,'Federal Data'!$H2:$H501,"SNAP (and other nutritional programs)",'Federal Data'!$D2:$D501,"Nongrant")</f>
        <v>76689000</v>
      </c>
      <c r="AK96" s="113">
        <f>SUMIFS('Federal Data'!AU2:AU501,'Federal Data'!$H2:$H501,"SNAP (and other nutritional programs)",'Federal Data'!$D2:$D501,"Nongrant")</f>
        <v>70640000</v>
      </c>
      <c r="AL96" s="113">
        <f>SUMIFS('Federal Data'!AV2:AV501,'Federal Data'!$H2:$H501,"SNAP (and other nutritional programs)",'Federal Data'!$D2:$D501,"Nongrant")</f>
        <v>71262000</v>
      </c>
    </row>
    <row r="97" spans="1:41" outlineLevel="4">
      <c r="A97" s="22" t="str">
        <f>B90</f>
        <v>Non-Cash Programs for Aid to the Disadvantaged</v>
      </c>
      <c r="B97" s="31" t="s">
        <v>115</v>
      </c>
      <c r="C97" s="113">
        <f>SUMIFS('Federal Data'!M2:M501,'Federal Data'!$H2:$H501,"Other",'Federal Data'!$D2:$D501,"Nongrant",'Federal Data'!$G2:$G501,"Non-Cash Programs")</f>
        <v>620412</v>
      </c>
      <c r="D97" s="113">
        <f>SUMIFS('Federal Data'!N2:N501,'Federal Data'!$H2:$H501,"Other",'Federal Data'!$D2:$D501,"Nongrant",'Federal Data'!$G2:$G501,"Non-Cash Programs")</f>
        <v>329282</v>
      </c>
      <c r="E97" s="113">
        <f>SUMIFS('Federal Data'!O2:O501,'Federal Data'!$H2:$H501,"Other",'Federal Data'!$D2:$D501,"Nongrant",'Federal Data'!$G2:$G501,"Non-Cash Programs")</f>
        <v>210027</v>
      </c>
      <c r="F97" s="113">
        <f>SUMIFS('Federal Data'!P2:P501,'Federal Data'!$H2:$H501,"Other",'Federal Data'!$D2:$D501,"Nongrant",'Federal Data'!$G2:$G501,"Non-Cash Programs")</f>
        <v>252457</v>
      </c>
      <c r="G97" s="113">
        <f>SUMIFS('Federal Data'!Q2:Q501,'Federal Data'!$H2:$H501,"Other",'Federal Data'!$D2:$D501,"Nongrant",'Federal Data'!$G2:$G501,"Non-Cash Programs")</f>
        <v>256287</v>
      </c>
      <c r="H97" s="113">
        <f>SUMIFS('Federal Data'!R2:R501,'Federal Data'!$H2:$H501,"Other",'Federal Data'!$D2:$D501,"Nongrant",'Federal Data'!$G2:$G501,"Non-Cash Programs")</f>
        <v>203314</v>
      </c>
      <c r="I97" s="113">
        <f>SUMIFS('Federal Data'!S2:S501,'Federal Data'!$H2:$H501,"Other",'Federal Data'!$D2:$D501,"Nongrant",'Federal Data'!$G2:$G501,"Non-Cash Programs")</f>
        <v>241015</v>
      </c>
      <c r="J97" s="113">
        <f>SUMIFS('Federal Data'!T2:T501,'Federal Data'!$H2:$H501,"Other",'Federal Data'!$D2:$D501,"Nongrant",'Federal Data'!$G2:$G501,"Non-Cash Programs")</f>
        <v>185330</v>
      </c>
      <c r="K97" s="113">
        <f>SUMIFS('Federal Data'!U2:U501,'Federal Data'!$H2:$H501,"Other",'Federal Data'!$D2:$D501,"Nongrant",'Federal Data'!$G2:$G501,"Non-Cash Programs")</f>
        <v>176242</v>
      </c>
      <c r="L97" s="113">
        <f>SUMIFS('Federal Data'!V2:V501,'Federal Data'!$H2:$H501,"Other",'Federal Data'!$D2:$D501,"Nongrant",'Federal Data'!$G2:$G501,"Non-Cash Programs")</f>
        <v>197810</v>
      </c>
      <c r="M97" s="113">
        <f>SUMIFS('Federal Data'!W2:W501,'Federal Data'!$H2:$H501,"Other",'Federal Data'!$D2:$D501,"Nongrant",'Federal Data'!$G2:$G501,"Non-Cash Programs")</f>
        <v>218305</v>
      </c>
      <c r="N97" s="113">
        <f>SUMIFS('Federal Data'!X2:X501,'Federal Data'!$H2:$H501,"Other",'Federal Data'!$D2:$D501,"Nongrant",'Federal Data'!$G2:$G501,"Non-Cash Programs")</f>
        <v>142811</v>
      </c>
      <c r="O97" s="113">
        <f>SUMIFS('Federal Data'!Y2:Y501,'Federal Data'!$H2:$H501,"Other",'Federal Data'!$D2:$D501,"Nongrant",'Federal Data'!$G2:$G501,"Non-Cash Programs")</f>
        <v>152409</v>
      </c>
      <c r="P97" s="113">
        <f>SUMIFS('Federal Data'!Z2:Z501,'Federal Data'!$H2:$H501,"Other",'Federal Data'!$D2:$D501,"Nongrant",'Federal Data'!$G2:$G501,"Non-Cash Programs")</f>
        <v>211658</v>
      </c>
      <c r="Q97" s="113">
        <f>SUMIFS('Federal Data'!AA2:AA501,'Federal Data'!$H2:$H501,"Other",'Federal Data'!$D2:$D501,"Nongrant",'Federal Data'!$G2:$G501,"Non-Cash Programs")</f>
        <v>210693</v>
      </c>
      <c r="R97" s="113">
        <f>SUMIFS('Federal Data'!AB2:AB501,'Federal Data'!$H2:$H501,"Other",'Federal Data'!$D2:$D501,"Nongrant",'Federal Data'!$G2:$G501,"Non-Cash Programs")</f>
        <v>70000</v>
      </c>
      <c r="S97" s="113">
        <f>SUMIFS('Federal Data'!AC2:AC501,'Federal Data'!$H2:$H501,"Other",'Federal Data'!$D2:$D501,"Nongrant",'Federal Data'!$G2:$G501,"Non-Cash Programs")</f>
        <v>0</v>
      </c>
      <c r="T97" s="113">
        <f>SUMIFS('Federal Data'!AD2:AD501,'Federal Data'!$H2:$H501,"Other",'Federal Data'!$D2:$D501,"Nongrant",'Federal Data'!$G2:$G501,"Non-Cash Programs")</f>
        <v>0</v>
      </c>
      <c r="U97" s="113">
        <f>SUMIFS('Federal Data'!AE2:AE501,'Federal Data'!$H2:$H501,"Other",'Federal Data'!$D2:$D501,"Nongrant",'Federal Data'!$G2:$G501,"Non-Cash Programs")</f>
        <v>0</v>
      </c>
      <c r="V97" s="113">
        <f>SUMIFS('Federal Data'!AF2:AF501,'Federal Data'!$H2:$H501,"Other",'Federal Data'!$D2:$D501,"Nongrant",'Federal Data'!$G2:$G501,"Non-Cash Programs")</f>
        <v>0</v>
      </c>
      <c r="W97" s="113">
        <f>SUMIFS('Federal Data'!AG2:AG501,'Federal Data'!$H2:$H501,"Other",'Federal Data'!$D2:$D501,"Nongrant",'Federal Data'!$G2:$G501,"Non-Cash Programs")</f>
        <v>0</v>
      </c>
      <c r="X97" s="113">
        <f>SUMIFS('Federal Data'!AH2:AH501,'Federal Data'!$H2:$H501,"Other",'Federal Data'!$D2:$D501,"Nongrant",'Federal Data'!$G2:$G501,"Non-Cash Programs")</f>
        <v>0</v>
      </c>
      <c r="Y97" s="113">
        <f>SUMIFS('Federal Data'!AI2:AI501,'Federal Data'!$H2:$H501,"Other",'Federal Data'!$D2:$D501,"Nongrant",'Federal Data'!$G2:$G501,"Non-Cash Programs")</f>
        <v>0</v>
      </c>
      <c r="Z97" s="113">
        <f>SUMIFS('Federal Data'!AJ2:AJ501,'Federal Data'!$H2:$H501,"Other",'Federal Data'!$D2:$D501,"Nongrant",'Federal Data'!$G2:$G501,"Non-Cash Programs")</f>
        <v>0</v>
      </c>
      <c r="AA97" s="113">
        <f>SUMIFS('Federal Data'!AK2:AK501,'Federal Data'!$H2:$H501,"Other",'Federal Data'!$D2:$D501,"Nongrant",'Federal Data'!$G2:$G501,"Non-Cash Programs")</f>
        <v>0</v>
      </c>
      <c r="AB97" s="113">
        <f>SUMIFS('Federal Data'!AL2:AL501,'Federal Data'!$H2:$H501,"Other",'Federal Data'!$D2:$D501,"Nongrant",'Federal Data'!$G2:$G501,"Non-Cash Programs")</f>
        <v>0</v>
      </c>
      <c r="AC97" s="113">
        <f>SUMIFS('Federal Data'!AM2:AM501,'Federal Data'!$H2:$H501,"Other",'Federal Data'!$D2:$D501,"Nongrant",'Federal Data'!$G2:$G501,"Non-Cash Programs")</f>
        <v>0</v>
      </c>
      <c r="AD97" s="113">
        <f>SUMIFS('Federal Data'!AN2:AN501,'Federal Data'!$H2:$H501,"Other",'Federal Data'!$D2:$D501,"Nongrant",'Federal Data'!$G2:$G501,"Non-Cash Programs")</f>
        <v>0</v>
      </c>
      <c r="AE97" s="113">
        <f>SUMIFS('Federal Data'!AO2:AO501,'Federal Data'!$H2:$H501,"Other",'Federal Data'!$D2:$D501,"Nongrant",'Federal Data'!$G2:$G501,"Non-Cash Programs")</f>
        <v>0</v>
      </c>
      <c r="AF97" s="113">
        <f>SUMIFS('Federal Data'!AP2:AP501,'Federal Data'!$H2:$H501,"Other",'Federal Data'!$D2:$D501,"Nongrant",'Federal Data'!$G2:$G501,"Non-Cash Programs")</f>
        <v>0</v>
      </c>
      <c r="AG97" s="113">
        <f>SUMIFS('Federal Data'!AQ2:AQ501,'Federal Data'!$H2:$H501,"Other",'Federal Data'!$D2:$D501,"Nongrant",'Federal Data'!$G2:$G501,"Non-Cash Programs")</f>
        <v>0</v>
      </c>
      <c r="AH97" s="113">
        <f>SUMIFS('Federal Data'!AR2:AR501,'Federal Data'!$H2:$H501,"Other",'Federal Data'!$D2:$D501,"Nongrant",'Federal Data'!$G2:$G501,"Non-Cash Programs")</f>
        <v>0</v>
      </c>
      <c r="AI97" s="113">
        <f>SUMIFS('Federal Data'!AS2:AS501,'Federal Data'!$H2:$H501,"Other",'Federal Data'!$D2:$D501,"Nongrant",'Federal Data'!$G2:$G501,"Non-Cash Programs")</f>
        <v>0</v>
      </c>
      <c r="AJ97" s="113">
        <f>SUMIFS('Federal Data'!AT2:AT501,'Federal Data'!$H2:$H501,"Other",'Federal Data'!$D2:$D501,"Nongrant",'Federal Data'!$G2:$G501,"Non-Cash Programs")</f>
        <v>0</v>
      </c>
      <c r="AK97" s="113">
        <f>SUMIFS('Federal Data'!AU2:AU501,'Federal Data'!$H2:$H501,"Other",'Federal Data'!$D2:$D501,"Nongrant",'Federal Data'!$G2:$G501,"Non-Cash Programs")</f>
        <v>0</v>
      </c>
      <c r="AL97" s="113">
        <f>SUMIFS('Federal Data'!AV2:AV501,'Federal Data'!$H2:$H501,"Other",'Federal Data'!$D2:$D501,"Nongrant",'Federal Data'!$G2:$G501,"Non-Cash Programs")</f>
        <v>0</v>
      </c>
    </row>
    <row r="98" spans="1:41" outlineLevel="3">
      <c r="A98" s="22" t="str">
        <f>B82</f>
        <v>Standard of Living and Aid to the Disadvantaged</v>
      </c>
      <c r="B98" s="29" t="s">
        <v>315</v>
      </c>
      <c r="C98" s="113">
        <f>SUMIFS('Federal Data'!M2:M501,'Federal Data'!$G2:$G501,"Unemployment Insurance",'Federal Data'!$D2:$D501,"Nongrant")</f>
        <v>16913119</v>
      </c>
      <c r="D98" s="113">
        <f>SUMIFS('Federal Data'!N2:N501,'Federal Data'!$G2:$G501,"Unemployment Insurance",'Federal Data'!$D2:$D501,"Nongrant")</f>
        <v>18340985</v>
      </c>
      <c r="E98" s="113">
        <f>SUMIFS('Federal Data'!O2:O501,'Federal Data'!$G2:$G501,"Unemployment Insurance",'Federal Data'!$D2:$D501,"Nongrant")</f>
        <v>22341745</v>
      </c>
      <c r="F98" s="113">
        <f>SUMIFS('Federal Data'!P2:P501,'Federal Data'!$G2:$G501,"Unemployment Insurance",'Federal Data'!$D2:$D501,"Nongrant")</f>
        <v>29993662</v>
      </c>
      <c r="G98" s="113">
        <f>SUMIFS('Federal Data'!Q2:Q501,'Federal Data'!$G2:$G501,"Unemployment Insurance",'Federal Data'!$D2:$D501,"Nongrant")</f>
        <v>17038028</v>
      </c>
      <c r="H98" s="113">
        <f>SUMIFS('Federal Data'!R2:R501,'Federal Data'!$G2:$G501,"Unemployment Insurance",'Federal Data'!$D2:$D501,"Nongrant")</f>
        <v>16240750</v>
      </c>
      <c r="I98" s="113">
        <f>SUMIFS('Federal Data'!S2:S501,'Federal Data'!$G2:$G501,"Unemployment Insurance",'Federal Data'!$D2:$D501,"Nongrant")</f>
        <v>16475820</v>
      </c>
      <c r="J98" s="113">
        <f>SUMIFS('Federal Data'!T2:T501,'Federal Data'!$G2:$G501,"Unemployment Insurance",'Federal Data'!$D2:$D501,"Nongrant")</f>
        <v>15806021</v>
      </c>
      <c r="K98" s="113">
        <f>SUMIFS('Federal Data'!U2:U501,'Federal Data'!$G2:$G501,"Unemployment Insurance",'Federal Data'!$D2:$D501,"Nongrant")</f>
        <v>13876964</v>
      </c>
      <c r="L98" s="113">
        <f>SUMIFS('Federal Data'!V2:V501,'Federal Data'!$G2:$G501,"Unemployment Insurance",'Federal Data'!$D2:$D501,"Nongrant")</f>
        <v>14145291</v>
      </c>
      <c r="M98" s="113">
        <f>SUMIFS('Federal Data'!W2:W501,'Federal Data'!$G2:$G501,"Unemployment Insurance",'Federal Data'!$D2:$D501,"Nongrant")</f>
        <v>17464552</v>
      </c>
      <c r="N98" s="113">
        <f>SUMIFS('Federal Data'!X2:X501,'Federal Data'!$G2:$G501,"Unemployment Insurance",'Federal Data'!$D2:$D501,"Nongrant")</f>
        <v>25469338</v>
      </c>
      <c r="O98" s="113">
        <f>SUMIFS('Federal Data'!Y2:Y501,'Federal Data'!$G2:$G501,"Unemployment Insurance",'Federal Data'!$D2:$D501,"Nongrant")</f>
        <v>37722499</v>
      </c>
      <c r="P98" s="113">
        <f>SUMIFS('Federal Data'!Z2:Z501,'Federal Data'!$G2:$G501,"Unemployment Insurance",'Federal Data'!$D2:$D501,"Nongrant")</f>
        <v>36230267</v>
      </c>
      <c r="Q98" s="113">
        <f>SUMIFS('Federal Data'!AA2:AA501,'Federal Data'!$G2:$G501,"Unemployment Insurance",'Federal Data'!$D2:$D501,"Nongrant")</f>
        <v>27222191</v>
      </c>
      <c r="R98" s="113">
        <f>SUMIFS('Federal Data'!AB2:AB501,'Federal Data'!$G2:$G501,"Unemployment Insurance",'Federal Data'!$D2:$D501,"Nongrant")</f>
        <v>21982000</v>
      </c>
      <c r="S98" s="113">
        <f>SUMIFS('Federal Data'!AC2:AC501,'Federal Data'!$G2:$G501,"Unemployment Insurance",'Federal Data'!$D2:$D501,"Nongrant")</f>
        <v>23199000</v>
      </c>
      <c r="T98" s="113">
        <f>SUMIFS('Federal Data'!AD2:AD501,'Federal Data'!$G2:$G501,"Unemployment Insurance",'Federal Data'!$D2:$D501,"Nongrant")</f>
        <v>21197000</v>
      </c>
      <c r="U98" s="113">
        <f>SUMIFS('Federal Data'!AE2:AE501,'Federal Data'!$G2:$G501,"Unemployment Insurance",'Federal Data'!$D2:$D501,"Nongrant")</f>
        <v>20251000</v>
      </c>
      <c r="V98" s="113">
        <f>SUMIFS('Federal Data'!AF2:AF501,'Federal Data'!$G2:$G501,"Unemployment Insurance",'Federal Data'!$D2:$D501,"Nongrant")</f>
        <v>21538000</v>
      </c>
      <c r="W98" s="113">
        <f>SUMIFS('Federal Data'!AG2:AG501,'Federal Data'!$G2:$G501,"Unemployment Insurance",'Federal Data'!$D2:$D501,"Nongrant")</f>
        <v>21050000</v>
      </c>
      <c r="X98" s="113">
        <f>SUMIFS('Federal Data'!AH2:AH501,'Federal Data'!$G2:$G501,"Unemployment Insurance",'Federal Data'!$D2:$D501,"Nongrant")</f>
        <v>28310000</v>
      </c>
      <c r="Y98" s="113">
        <f>SUMIFS('Federal Data'!AI2:AI501,'Federal Data'!$G2:$G501,"Unemployment Insurance",'Federal Data'!$D2:$D501,"Nongrant")</f>
        <v>50913000</v>
      </c>
      <c r="Z98" s="113">
        <f>SUMIFS('Federal Data'!AJ2:AJ501,'Federal Data'!$G2:$G501,"Unemployment Insurance",'Federal Data'!$D2:$D501,"Nongrant")</f>
        <v>55056000</v>
      </c>
      <c r="AA98" s="113">
        <f>SUMIFS('Federal Data'!AK2:AK501,'Federal Data'!$G2:$G501,"Unemployment Insurance",'Federal Data'!$D2:$D501,"Nongrant")</f>
        <v>43088000</v>
      </c>
      <c r="AB98" s="113">
        <f>SUMIFS('Federal Data'!AL2:AL501,'Federal Data'!$G2:$G501,"Unemployment Insurance",'Federal Data'!$D2:$D501,"Nongrant")</f>
        <v>33010000</v>
      </c>
      <c r="AC98" s="113">
        <f>SUMIFS('Federal Data'!AM2:AM501,'Federal Data'!$G2:$G501,"Unemployment Insurance",'Federal Data'!$D2:$D501,"Nongrant")</f>
        <v>31974000</v>
      </c>
      <c r="AD98" s="113">
        <f>SUMIFS('Federal Data'!AN2:AN501,'Federal Data'!$G2:$G501,"Unemployment Insurance",'Federal Data'!$D2:$D501,"Nongrant")</f>
        <v>33334000</v>
      </c>
      <c r="AE98" s="113">
        <f>SUMIFS('Federal Data'!AO2:AO501,'Federal Data'!$G2:$G501,"Unemployment Insurance",'Federal Data'!$D2:$D501,"Nongrant")</f>
        <v>43511000</v>
      </c>
      <c r="AF98" s="113">
        <f>SUMIFS('Federal Data'!AP2:AP501,'Federal Data'!$G2:$G501,"Unemployment Insurance",'Federal Data'!$D2:$D501,"Nongrant")</f>
        <v>119690000</v>
      </c>
      <c r="AG98" s="113">
        <f>SUMIFS('Federal Data'!AQ2:AQ501,'Federal Data'!$G2:$G501,"Unemployment Insurance",'Federal Data'!$D2:$D501,"Nongrant")</f>
        <v>156550000</v>
      </c>
      <c r="AH98" s="113">
        <f>SUMIFS('Federal Data'!AR2:AR501,'Federal Data'!$G2:$G501,"Unemployment Insurance",'Federal Data'!$D2:$D501,"Nongrant")</f>
        <v>116603000</v>
      </c>
      <c r="AI98" s="113">
        <f>SUMIFS('Federal Data'!AS2:AS501,'Federal Data'!$G2:$G501,"Unemployment Insurance",'Federal Data'!$D2:$D501,"Nongrant")</f>
        <v>92641000</v>
      </c>
      <c r="AJ98" s="113">
        <f>SUMIFS('Federal Data'!AT2:AT501,'Federal Data'!$G2:$G501,"Unemployment Insurance",'Federal Data'!$D2:$D501,"Nongrant")</f>
        <v>68152000</v>
      </c>
      <c r="AK98" s="113">
        <f>SUMIFS('Federal Data'!AU2:AU501,'Federal Data'!$G2:$G501,"Unemployment Insurance",'Federal Data'!$D2:$D501,"Nongrant")</f>
        <v>43746000</v>
      </c>
      <c r="AL98" s="113">
        <f>SUMIFS('Federal Data'!AV2:AV501,'Federal Data'!$G2:$G501,"Unemployment Insurance",'Federal Data'!$D2:$D501,"Nongrant")</f>
        <v>34162000</v>
      </c>
    </row>
    <row r="99" spans="1:41" outlineLevel="3">
      <c r="A99" s="22" t="str">
        <f>B82</f>
        <v>Standard of Living and Aid to the Disadvantaged</v>
      </c>
      <c r="B99" s="29" t="s">
        <v>62</v>
      </c>
      <c r="C99" s="113">
        <f>SUMIFS('Federal Data'!M2:M501,'Federal Data'!$G2:$G501,"Employment and Training",'Federal Data'!$D2:$D501,"Nongrant")</f>
        <v>1190738</v>
      </c>
      <c r="D99" s="113">
        <f>SUMIFS('Federal Data'!N2:N501,'Federal Data'!$G2:$G501,"Employment and Training",'Federal Data'!$D2:$D501,"Nongrant")</f>
        <v>1261621</v>
      </c>
      <c r="E99" s="113">
        <f>SUMIFS('Federal Data'!O2:O501,'Federal Data'!$G2:$G501,"Employment and Training",'Federal Data'!$D2:$D501,"Nongrant")</f>
        <v>1142790</v>
      </c>
      <c r="F99" s="113">
        <f>SUMIFS('Federal Data'!P2:P501,'Federal Data'!$G2:$G501,"Employment and Training",'Federal Data'!$D2:$D501,"Nongrant")</f>
        <v>1010169</v>
      </c>
      <c r="G99" s="113">
        <f>SUMIFS('Federal Data'!Q2:Q501,'Federal Data'!$G2:$G501,"Employment and Training",'Federal Data'!$D2:$D501,"Nongrant")</f>
        <v>1006297</v>
      </c>
      <c r="H99" s="113">
        <f>SUMIFS('Federal Data'!R2:R501,'Federal Data'!$G2:$G501,"Employment and Training",'Federal Data'!$D2:$D501,"Nongrant")</f>
        <v>978474</v>
      </c>
      <c r="I99" s="113">
        <f>SUMIFS('Federal Data'!S2:S501,'Federal Data'!$G2:$G501,"Employment and Training",'Federal Data'!$D2:$D501,"Nongrant")</f>
        <v>983455</v>
      </c>
      <c r="J99" s="113">
        <f>SUMIFS('Federal Data'!T2:T501,'Federal Data'!$G2:$G501,"Employment and Training",'Federal Data'!$D2:$D501,"Nongrant")</f>
        <v>1010929</v>
      </c>
      <c r="K99" s="113">
        <f>SUMIFS('Federal Data'!U2:U501,'Federal Data'!$G2:$G501,"Employment and Training",'Federal Data'!$D2:$D501,"Nongrant")</f>
        <v>1127538</v>
      </c>
      <c r="L99" s="113">
        <f>SUMIFS('Federal Data'!V2:V501,'Federal Data'!$G2:$G501,"Employment and Training",'Federal Data'!$D2:$D501,"Nongrant")</f>
        <v>1127840</v>
      </c>
      <c r="M99" s="113">
        <f>SUMIFS('Federal Data'!W2:W501,'Federal Data'!$G2:$G501,"Employment and Training",'Federal Data'!$D2:$D501,"Nongrant")</f>
        <v>1202853</v>
      </c>
      <c r="N99" s="113">
        <f>SUMIFS('Federal Data'!X2:X501,'Federal Data'!$G2:$G501,"Employment and Training",'Federal Data'!$D2:$D501,"Nongrant")</f>
        <v>1252689</v>
      </c>
      <c r="O99" s="113">
        <f>SUMIFS('Federal Data'!Y2:Y501,'Federal Data'!$G2:$G501,"Employment and Training",'Federal Data'!$D2:$D501,"Nongrant")</f>
        <v>1358778</v>
      </c>
      <c r="P99" s="113">
        <f>SUMIFS('Federal Data'!Z2:Z501,'Federal Data'!$G2:$G501,"Employment and Training",'Federal Data'!$D2:$D501,"Nongrant")</f>
        <v>1456548</v>
      </c>
      <c r="Q99" s="113">
        <f>SUMIFS('Federal Data'!AA2:AA501,'Federal Data'!$G2:$G501,"Employment and Training",'Federal Data'!$D2:$D501,"Nongrant")</f>
        <v>1507144</v>
      </c>
      <c r="R99" s="113">
        <f>SUMIFS('Federal Data'!AB2:AB501,'Federal Data'!$G2:$G501,"Employment and Training",'Federal Data'!$D2:$D501,"Nongrant")</f>
        <v>1563000</v>
      </c>
      <c r="S99" s="113">
        <f>SUMIFS('Federal Data'!AC2:AC501,'Federal Data'!$G2:$G501,"Employment and Training",'Federal Data'!$D2:$D501,"Nongrant")</f>
        <v>1490000</v>
      </c>
      <c r="T99" s="113">
        <f>SUMIFS('Federal Data'!AD2:AD501,'Federal Data'!$G2:$G501,"Employment and Training",'Federal Data'!$D2:$D501,"Nongrant")</f>
        <v>1567000</v>
      </c>
      <c r="U99" s="113">
        <f>SUMIFS('Federal Data'!AE2:AE501,'Federal Data'!$G2:$G501,"Employment and Training",'Federal Data'!$D2:$D501,"Nongrant")</f>
        <v>1800000</v>
      </c>
      <c r="V99" s="113">
        <f>SUMIFS('Federal Data'!AF2:AF501,'Federal Data'!$G2:$G501,"Employment and Training",'Federal Data'!$D2:$D501,"Nongrant")</f>
        <v>1803000</v>
      </c>
      <c r="W99" s="113">
        <f>SUMIFS('Federal Data'!AG2:AG501,'Federal Data'!$G2:$G501,"Employment and Training",'Federal Data'!$D2:$D501,"Nongrant")</f>
        <v>1860000</v>
      </c>
      <c r="X99" s="113">
        <f>SUMIFS('Federal Data'!AH2:AH501,'Federal Data'!$G2:$G501,"Employment and Training",'Federal Data'!$D2:$D501,"Nongrant")</f>
        <v>1935000</v>
      </c>
      <c r="Y99" s="113">
        <f>SUMIFS('Federal Data'!AI2:AI501,'Federal Data'!$G2:$G501,"Employment and Training",'Federal Data'!$D2:$D501,"Nongrant")</f>
        <v>2187000</v>
      </c>
      <c r="Z99" s="113">
        <f>SUMIFS('Federal Data'!AJ2:AJ501,'Federal Data'!$G2:$G501,"Employment and Training",'Federal Data'!$D2:$D501,"Nongrant")</f>
        <v>2228000</v>
      </c>
      <c r="AA99" s="113">
        <f>SUMIFS('Federal Data'!AK2:AK501,'Federal Data'!$G2:$G501,"Employment and Training",'Federal Data'!$D2:$D501,"Nongrant")</f>
        <v>2304000</v>
      </c>
      <c r="AB99" s="113">
        <f>SUMIFS('Federal Data'!AL2:AL501,'Federal Data'!$G2:$G501,"Employment and Training",'Federal Data'!$D2:$D501,"Nongrant")</f>
        <v>2527000</v>
      </c>
      <c r="AC99" s="113">
        <f>SUMIFS('Federal Data'!AM2:AM501,'Federal Data'!$G2:$G501,"Employment and Training",'Federal Data'!$D2:$D501,"Nongrant")</f>
        <v>1352000</v>
      </c>
      <c r="AD99" s="113">
        <f>SUMIFS('Federal Data'!AN2:AN501,'Federal Data'!$G2:$G501,"Employment and Training",'Federal Data'!$D2:$D501,"Nongrant")</f>
        <v>2739000</v>
      </c>
      <c r="AE99" s="113">
        <f>SUMIFS('Federal Data'!AO2:AO501,'Federal Data'!$G2:$G501,"Employment and Training",'Federal Data'!$D2:$D501,"Nongrant")</f>
        <v>2660000</v>
      </c>
      <c r="AF99" s="113">
        <f>SUMIFS('Federal Data'!AP2:AP501,'Federal Data'!$G2:$G501,"Employment and Training",'Federal Data'!$D2:$D501,"Nongrant")</f>
        <v>2452000</v>
      </c>
      <c r="AG99" s="113">
        <f>SUMIFS('Federal Data'!AQ2:AQ501,'Federal Data'!$G2:$G501,"Employment and Training",'Federal Data'!$D2:$D501,"Nongrant")</f>
        <v>3206000</v>
      </c>
      <c r="AH99" s="113">
        <f>SUMIFS('Federal Data'!AR2:AR501,'Federal Data'!$G2:$G501,"Employment and Training",'Federal Data'!$D2:$D501,"Nongrant")</f>
        <v>3342000</v>
      </c>
      <c r="AI99" s="113">
        <f>SUMIFS('Federal Data'!AS2:AS501,'Federal Data'!$G2:$G501,"Employment and Training",'Federal Data'!$D2:$D501,"Nongrant")</f>
        <v>3016000</v>
      </c>
      <c r="AJ99" s="113">
        <f>SUMIFS('Federal Data'!AT2:AT501,'Federal Data'!$G2:$G501,"Employment and Training",'Federal Data'!$D2:$D501,"Nongrant")</f>
        <v>2915000</v>
      </c>
      <c r="AK99" s="113">
        <f>SUMIFS('Federal Data'!AU2:AU501,'Federal Data'!$G2:$G501,"Employment and Training",'Federal Data'!$D2:$D501,"Nongrant")</f>
        <v>2642000</v>
      </c>
      <c r="AL99" s="113">
        <f>SUMIFS('Federal Data'!AV2:AV501,'Federal Data'!$G2:$G501,"Employment and Training",'Federal Data'!$D2:$D501,"Nongrant")</f>
        <v>2786000</v>
      </c>
      <c r="AO99" s="51"/>
    </row>
    <row r="100" spans="1:41" outlineLevel="3">
      <c r="A100" s="22" t="str">
        <f>B82</f>
        <v>Standard of Living and Aid to the Disadvantaged</v>
      </c>
      <c r="B100" s="49" t="s">
        <v>63</v>
      </c>
      <c r="C100" s="119">
        <f>SUMIFS('Federal Data'!M2:M501,'Federal Data'!$G2:$G501,"Other Tax Credits",'Federal Data'!$D2:$D501,"Nongrant")</f>
        <v>0</v>
      </c>
      <c r="D100" s="119">
        <f>SUMIFS('Federal Data'!N2:N501,'Federal Data'!$G2:$G501,"Other Tax Credits",'Federal Data'!$D2:$D501,"Nongrant")</f>
        <v>0</v>
      </c>
      <c r="E100" s="119">
        <f>SUMIFS('Federal Data'!O2:O501,'Federal Data'!$G2:$G501,"Other Tax Credits",'Federal Data'!$D2:$D501,"Nongrant")</f>
        <v>0</v>
      </c>
      <c r="F100" s="119">
        <f>SUMIFS('Federal Data'!P2:P501,'Federal Data'!$G2:$G501,"Other Tax Credits",'Federal Data'!$D2:$D501,"Nongrant")</f>
        <v>0</v>
      </c>
      <c r="G100" s="119">
        <f>SUMIFS('Federal Data'!Q2:Q501,'Federal Data'!$G2:$G501,"Other Tax Credits",'Federal Data'!$D2:$D501,"Nongrant")</f>
        <v>0</v>
      </c>
      <c r="H100" s="119">
        <f>SUMIFS('Federal Data'!R2:R501,'Federal Data'!$G2:$G501,"Other Tax Credits",'Federal Data'!$D2:$D501,"Nongrant")</f>
        <v>0</v>
      </c>
      <c r="I100" s="119">
        <f>SUMIFS('Federal Data'!S2:S501,'Federal Data'!$G2:$G501,"Other Tax Credits",'Federal Data'!$D2:$D501,"Nongrant")</f>
        <v>0</v>
      </c>
      <c r="J100" s="119">
        <f>SUMIFS('Federal Data'!T2:T501,'Federal Data'!$G2:$G501,"Other Tax Credits",'Federal Data'!$D2:$D501,"Nongrant")</f>
        <v>0</v>
      </c>
      <c r="K100" s="119">
        <f>SUMIFS('Federal Data'!U2:U501,'Federal Data'!$G2:$G501,"Other Tax Credits",'Federal Data'!$D2:$D501,"Nongrant")</f>
        <v>0</v>
      </c>
      <c r="L100" s="119">
        <f>SUMIFS('Federal Data'!V2:V501,'Federal Data'!$G2:$G501,"Other Tax Credits",'Federal Data'!$D2:$D501,"Nongrant")</f>
        <v>0</v>
      </c>
      <c r="M100" s="119">
        <f>SUMIFS('Federal Data'!W2:W501,'Federal Data'!$G2:$G501,"Other Tax Credits",'Federal Data'!$D2:$D501,"Nongrant")</f>
        <v>0</v>
      </c>
      <c r="N100" s="119">
        <f>SUMIFS('Federal Data'!X2:X501,'Federal Data'!$G2:$G501,"Other Tax Credits",'Federal Data'!$D2:$D501,"Nongrant")</f>
        <v>0</v>
      </c>
      <c r="O100" s="119">
        <f>SUMIFS('Federal Data'!Y2:Y501,'Federal Data'!$G2:$G501,"Other Tax Credits",'Federal Data'!$D2:$D501,"Nongrant")</f>
        <v>0</v>
      </c>
      <c r="P100" s="119">
        <f>SUMIFS('Federal Data'!Z2:Z501,'Federal Data'!$G2:$G501,"Other Tax Credits",'Federal Data'!$D2:$D501,"Nongrant")</f>
        <v>0</v>
      </c>
      <c r="Q100" s="119">
        <f>SUMIFS('Federal Data'!AA2:AA501,'Federal Data'!$G2:$G501,"Other Tax Credits",'Federal Data'!$D2:$D501,"Nongrant")</f>
        <v>0</v>
      </c>
      <c r="R100" s="119">
        <f>SUMIFS('Federal Data'!AB2:AB501,'Federal Data'!$G2:$G501,"Other Tax Credits",'Federal Data'!$D2:$D501,"Nongrant")</f>
        <v>0</v>
      </c>
      <c r="S100" s="119">
        <f>SUMIFS('Federal Data'!AC2:AC501,'Federal Data'!$G2:$G501,"Other Tax Credits",'Federal Data'!$D2:$D501,"Nongrant")</f>
        <v>0</v>
      </c>
      <c r="T100" s="119">
        <f>SUMIFS('Federal Data'!AD2:AD501,'Federal Data'!$G2:$G501,"Other Tax Credits",'Federal Data'!$D2:$D501,"Nongrant")</f>
        <v>0</v>
      </c>
      <c r="U100" s="119">
        <f>SUMIFS('Federal Data'!AE2:AE501,'Federal Data'!$G2:$G501,"Other Tax Credits",'Federal Data'!$D2:$D501,"Nongrant")</f>
        <v>0</v>
      </c>
      <c r="V100" s="119">
        <f>SUMIFS('Federal Data'!AF2:AF501,'Federal Data'!$G2:$G501,"Other Tax Credits",'Federal Data'!$D2:$D501,"Nongrant")</f>
        <v>0</v>
      </c>
      <c r="W100" s="119">
        <f>SUMIFS('Federal Data'!AG2:AG501,'Federal Data'!$G2:$G501,"Other Tax Credits",'Federal Data'!$D2:$D501,"Nongrant")</f>
        <v>0</v>
      </c>
      <c r="X100" s="119">
        <f>SUMIFS('Federal Data'!AH2:AH501,'Federal Data'!$G2:$G501,"Other Tax Credits",'Federal Data'!$D2:$D501,"Nongrant")</f>
        <v>0</v>
      </c>
      <c r="Y100" s="119">
        <f>SUMIFS('Federal Data'!AI2:AI501,'Federal Data'!$G2:$G501,"Other Tax Credits",'Federal Data'!$D2:$D501,"Nongrant")</f>
        <v>0</v>
      </c>
      <c r="Z100" s="119">
        <f>SUMIFS('Federal Data'!AJ2:AJ501,'Federal Data'!$G2:$G501,"Other Tax Credits",'Federal Data'!$D2:$D501,"Nongrant")</f>
        <v>0</v>
      </c>
      <c r="AA100" s="119">
        <f>SUMIFS('Federal Data'!AK2:AK501,'Federal Data'!$G2:$G501,"Other Tax Credits",'Federal Data'!$D2:$D501,"Nongrant")</f>
        <v>0</v>
      </c>
      <c r="AB100" s="119">
        <f>SUMIFS('Federal Data'!AL2:AL501,'Federal Data'!$G2:$G501,"Other Tax Credits",'Federal Data'!$D2:$D501,"Nongrant")</f>
        <v>0</v>
      </c>
      <c r="AC100" s="119">
        <f>SUMIFS('Federal Data'!AM2:AM501,'Federal Data'!$G2:$G501,"Other Tax Credits",'Federal Data'!$D2:$D501,"Nongrant")</f>
        <v>0</v>
      </c>
      <c r="AD100" s="119">
        <f>SUMIFS('Federal Data'!AN2:AN501,'Federal Data'!$G2:$G501,"Other Tax Credits",'Federal Data'!$D2:$D501,"Nongrant")</f>
        <v>0</v>
      </c>
      <c r="AE100" s="119">
        <f>SUMIFS('Federal Data'!AO2:AO501,'Federal Data'!$G2:$G501,"Other Tax Credits",'Federal Data'!$D2:$D501,"Nongrant")</f>
        <v>0</v>
      </c>
      <c r="AF100" s="119">
        <f>SUMIFS('Federal Data'!AP2:AP501,'Federal Data'!$G2:$G501,"Other Tax Credits",'Federal Data'!$D2:$D501,"Nongrant")</f>
        <v>711000</v>
      </c>
      <c r="AG100" s="119">
        <f>SUMIFS('Federal Data'!AQ2:AQ501,'Federal Data'!$G2:$G501,"Other Tax Credits",'Federal Data'!$D2:$D501,"Nongrant")</f>
        <v>1080000</v>
      </c>
      <c r="AH100" s="119">
        <f>SUMIFS('Federal Data'!AR2:AR501,'Federal Data'!$G2:$G501,"Other Tax Credits",'Federal Data'!$D2:$D501,"Nongrant")</f>
        <v>1178000</v>
      </c>
      <c r="AI100" s="119">
        <f>SUMIFS('Federal Data'!AS2:AS501,'Federal Data'!$G2:$G501,"Other Tax Credits",'Federal Data'!$D2:$D501,"Nongrant")</f>
        <v>981000</v>
      </c>
      <c r="AJ100" s="119">
        <f>SUMIFS('Federal Data'!AT2:AT501,'Federal Data'!$G2:$G501,"Other Tax Credits",'Federal Data'!$D2:$D501,"Nongrant")</f>
        <v>312000</v>
      </c>
      <c r="AK100" s="119">
        <f>SUMIFS('Federal Data'!AU2:AU501,'Federal Data'!$G2:$G501,"Other Tax Credits",'Federal Data'!$D2:$D501,"Nongrant")</f>
        <v>125000</v>
      </c>
      <c r="AL100" s="119">
        <f>SUMIFS('Federal Data'!AV2:AV501,'Federal Data'!$G2:$G501,"Other Tax Credits",'Federal Data'!$D2:$D501,"Nongrant")</f>
        <v>23000</v>
      </c>
    </row>
    <row r="101" spans="1:41" outlineLevel="2">
      <c r="A101" s="22" t="str">
        <f>B58</f>
        <v>Promote the General Welfare</v>
      </c>
      <c r="B101" s="28" t="s">
        <v>335</v>
      </c>
      <c r="C101" s="118">
        <f>C202</f>
        <v>9192686</v>
      </c>
      <c r="D101" s="118">
        <f t="shared" ref="D101:AL101" si="0">D202</f>
        <v>9246848</v>
      </c>
      <c r="E101" s="118">
        <f t="shared" si="0"/>
        <v>14004332</v>
      </c>
      <c r="F101" s="118">
        <f t="shared" si="0"/>
        <v>21370549</v>
      </c>
      <c r="G101" s="118">
        <f t="shared" si="0"/>
        <v>10023218</v>
      </c>
      <c r="H101" s="118">
        <f t="shared" si="0"/>
        <v>17372282</v>
      </c>
      <c r="I101" s="118">
        <f t="shared" si="0"/>
        <v>26761082</v>
      </c>
      <c r="J101" s="118">
        <f t="shared" si="0"/>
        <v>24364567</v>
      </c>
      <c r="K101" s="118">
        <f t="shared" si="0"/>
        <v>24670363</v>
      </c>
      <c r="L101" s="118">
        <f t="shared" si="0"/>
        <v>23914712</v>
      </c>
      <c r="M101" s="118">
        <f t="shared" si="0"/>
        <v>20459941</v>
      </c>
      <c r="N101" s="118">
        <f t="shared" si="0"/>
        <v>27563123</v>
      </c>
      <c r="O101" s="118">
        <f t="shared" si="0"/>
        <v>23654158</v>
      </c>
      <c r="P101" s="118">
        <f t="shared" si="0"/>
        <v>8159731</v>
      </c>
      <c r="Q101" s="118">
        <f t="shared" si="0"/>
        <v>491101</v>
      </c>
      <c r="R101" s="118">
        <f t="shared" si="0"/>
        <v>-2185000</v>
      </c>
      <c r="S101" s="118">
        <f t="shared" si="0"/>
        <v>-839000</v>
      </c>
      <c r="T101" s="118">
        <f t="shared" si="0"/>
        <v>-8339000</v>
      </c>
      <c r="U101" s="118">
        <f t="shared" si="0"/>
        <v>7965000</v>
      </c>
      <c r="V101" s="118">
        <f t="shared" si="0"/>
        <v>16650000</v>
      </c>
      <c r="W101" s="118">
        <f t="shared" si="0"/>
        <v>31629000</v>
      </c>
      <c r="X101" s="118">
        <f t="shared" si="0"/>
        <v>21612000</v>
      </c>
      <c r="Y101" s="118">
        <f t="shared" si="0"/>
        <v>16734000</v>
      </c>
      <c r="Z101" s="118">
        <f t="shared" si="0"/>
        <v>12214000</v>
      </c>
      <c r="AA101" s="118">
        <f t="shared" si="0"/>
        <v>3788000</v>
      </c>
      <c r="AB101" s="118">
        <f t="shared" si="0"/>
        <v>16766000</v>
      </c>
      <c r="AC101" s="118">
        <f t="shared" si="0"/>
        <v>14113000</v>
      </c>
      <c r="AD101" s="118">
        <f t="shared" si="0"/>
        <v>14649000</v>
      </c>
      <c r="AE101" s="118">
        <f t="shared" si="0"/>
        <v>31406000</v>
      </c>
      <c r="AF101" s="118">
        <f t="shared" si="0"/>
        <v>24455000</v>
      </c>
      <c r="AG101" s="118">
        <f t="shared" si="0"/>
        <v>-4066000</v>
      </c>
      <c r="AH101" s="118">
        <f t="shared" si="0"/>
        <v>15927000</v>
      </c>
      <c r="AI101" s="118">
        <f t="shared" si="0"/>
        <v>18101000</v>
      </c>
      <c r="AJ101" s="118">
        <f t="shared" si="0"/>
        <v>18235000</v>
      </c>
      <c r="AK101" s="118">
        <f t="shared" si="0"/>
        <v>2770000</v>
      </c>
      <c r="AL101" s="118">
        <f t="shared" si="0"/>
        <v>-4900000</v>
      </c>
    </row>
    <row r="102" spans="1:41" outlineLevel="1">
      <c r="A102" s="22" t="str">
        <f>B28</f>
        <v>Spending By Mission</v>
      </c>
      <c r="B102" s="48" t="s">
        <v>263</v>
      </c>
      <c r="C102" s="112">
        <f>SUMIFS('Federal Data'!M2:M501,'Federal Data'!$E2:$E501,"Secure the Blessings",'Federal Data'!$D2:$D501,"Nongrant")+SUMIFS('Federal Data'!M2:M501,'Federal Data'!$E2:$E501,"Obligations",'Federal Data'!$D2:$D501,"Nongrant")</f>
        <v>257805088</v>
      </c>
      <c r="D102" s="112">
        <f>SUMIFS('Federal Data'!N2:N501,'Federal Data'!$E2:$E501,"Secure the Blessings",'Federal Data'!$D2:$D501,"Nongrant")+SUMIFS('Federal Data'!N2:N501,'Federal Data'!$E2:$E501,"Obligations",'Federal Data'!$D2:$D501,"Nongrant")</f>
        <v>314893530</v>
      </c>
      <c r="E102" s="112">
        <f>SUMIFS('Federal Data'!O2:O501,'Federal Data'!$E2:$E501,"Secure the Blessings",'Federal Data'!$D2:$D501,"Nongrant")+SUMIFS('Federal Data'!O2:O501,'Federal Data'!$E2:$E501,"Obligations",'Federal Data'!$D2:$D501,"Nongrant")</f>
        <v>358584135</v>
      </c>
      <c r="F102" s="112">
        <f>SUMIFS('Federal Data'!P2:P501,'Federal Data'!$E2:$E501,"Secure the Blessings",'Federal Data'!$D2:$D501,"Nongrant")+SUMIFS('Federal Data'!P2:P501,'Federal Data'!$E2:$E501,"Obligations",'Federal Data'!$D2:$D501,"Nongrant")</f>
        <v>383811624</v>
      </c>
      <c r="G102" s="112">
        <f>SUMIFS('Federal Data'!Q2:Q501,'Federal Data'!$E2:$E501,"Secure the Blessings",'Federal Data'!$D2:$D501,"Nongrant")+SUMIFS('Federal Data'!Q2:Q501,'Federal Data'!$E2:$E501,"Obligations",'Federal Data'!$D2:$D501,"Nongrant")</f>
        <v>406443222</v>
      </c>
      <c r="H102" s="112">
        <f>SUMIFS('Federal Data'!R2:R501,'Federal Data'!$E2:$E501,"Secure the Blessings",'Federal Data'!$D2:$D501,"Nongrant")+SUMIFS('Federal Data'!R2:R501,'Federal Data'!$E2:$E501,"Obligations",'Federal Data'!$D2:$D501,"Nongrant")</f>
        <v>452003696</v>
      </c>
      <c r="I102" s="112">
        <f>SUMIFS('Federal Data'!S2:S501,'Federal Data'!$E2:$E501,"Secure the Blessings",'Federal Data'!$D2:$D501,"Nongrant")+SUMIFS('Federal Data'!S2:S501,'Federal Data'!$E2:$E501,"Obligations",'Federal Data'!$D2:$D501,"Nongrant")</f>
        <v>477330977</v>
      </c>
      <c r="J102" s="112">
        <f>SUMIFS('Federal Data'!T2:T501,'Federal Data'!$E2:$E501,"Secure the Blessings",'Federal Data'!$D2:$D501,"Nongrant")+SUMIFS('Federal Data'!T2:T501,'Federal Data'!$E2:$E501,"Obligations",'Federal Data'!$D2:$D501,"Nongrant")</f>
        <v>487884600</v>
      </c>
      <c r="K102" s="112">
        <f>SUMIFS('Federal Data'!U2:U501,'Federal Data'!$E2:$E501,"Secure the Blessings",'Federal Data'!$D2:$D501,"Nongrant")+SUMIFS('Federal Data'!U2:U501,'Federal Data'!$E2:$E501,"Obligations",'Federal Data'!$D2:$D501,"Nongrant")</f>
        <v>513741484</v>
      </c>
      <c r="L102" s="112">
        <f>SUMIFS('Federal Data'!V2:V501,'Federal Data'!$E2:$E501,"Secure the Blessings",'Federal Data'!$D2:$D501,"Nongrant")+SUMIFS('Federal Data'!V2:V501,'Federal Data'!$E2:$E501,"Obligations",'Federal Data'!$D2:$D501,"Nongrant")</f>
        <v>556344815</v>
      </c>
      <c r="M102" s="112">
        <f>SUMIFS('Federal Data'!W2:W501,'Federal Data'!$E2:$E501,"Secure the Blessings",'Federal Data'!$D2:$D501,"Nongrant")+SUMIFS('Federal Data'!W2:W501,'Federal Data'!$E2:$E501,"Obligations",'Federal Data'!$D2:$D501,"Nongrant")</f>
        <v>601145617</v>
      </c>
      <c r="N102" s="112">
        <f>SUMIFS('Federal Data'!X2:X501,'Federal Data'!$E2:$E501,"Secure the Blessings",'Federal Data'!$D2:$D501,"Nongrant")+SUMIFS('Federal Data'!X2:X501,'Federal Data'!$E2:$E501,"Obligations",'Federal Data'!$D2:$D501,"Nongrant")</f>
        <v>646407379</v>
      </c>
      <c r="O102" s="112">
        <f>SUMIFS('Federal Data'!Y2:Y501,'Federal Data'!$E2:$E501,"Secure the Blessings",'Federal Data'!$D2:$D501,"Nongrant")+SUMIFS('Federal Data'!Y2:Y501,'Federal Data'!$E2:$E501,"Obligations",'Federal Data'!$D2:$D501,"Nongrant")</f>
        <v>688460616</v>
      </c>
      <c r="P102" s="112">
        <f>SUMIFS('Federal Data'!Z2:Z501,'Federal Data'!$E2:$E501,"Secure the Blessings",'Federal Data'!$D2:$D501,"Nongrant")+SUMIFS('Federal Data'!Z2:Z501,'Federal Data'!$E2:$E501,"Obligations",'Federal Data'!$D2:$D501,"Nongrant")</f>
        <v>725483116</v>
      </c>
      <c r="Q102" s="112">
        <f>SUMIFS('Federal Data'!AA2:AA501,'Federal Data'!$E2:$E501,"Secure the Blessings",'Federal Data'!$D2:$D501,"Nongrant")+SUMIFS('Federal Data'!AA2:AA501,'Federal Data'!$E2:$E501,"Obligations",'Federal Data'!$D2:$D501,"Nongrant")</f>
        <v>751675390</v>
      </c>
      <c r="R102" s="112">
        <f>SUMIFS('Federal Data'!AB2:AB501,'Federal Data'!$E2:$E501,"Secure the Blessings",'Federal Data'!$D2:$D501,"Nongrant")+SUMIFS('Federal Data'!AB2:AB501,'Federal Data'!$E2:$E501,"Obligations",'Federal Data'!$D2:$D501,"Nongrant")</f>
        <v>817206000</v>
      </c>
      <c r="S102" s="112">
        <f>SUMIFS('Federal Data'!AC2:AC501,'Federal Data'!$E2:$E501,"Secure the Blessings",'Federal Data'!$D2:$D501,"Nongrant")+SUMIFS('Federal Data'!AC2:AC501,'Federal Data'!$E2:$E501,"Obligations",'Federal Data'!$D2:$D501,"Nongrant")</f>
        <v>848952000</v>
      </c>
      <c r="T102" s="112">
        <f>SUMIFS('Federal Data'!AD2:AD501,'Federal Data'!$E2:$E501,"Secure the Blessings",'Federal Data'!$D2:$D501,"Nongrant")+SUMIFS('Federal Data'!AD2:AD501,'Federal Data'!$E2:$E501,"Obligations",'Federal Data'!$D2:$D501,"Nongrant")</f>
        <v>884970000</v>
      </c>
      <c r="U102" s="112">
        <f>SUMIFS('Federal Data'!AE2:AE501,'Federal Data'!$E2:$E501,"Secure the Blessings",'Federal Data'!$D2:$D501,"Nongrant")+SUMIFS('Federal Data'!AE2:AE501,'Federal Data'!$E2:$E501,"Obligations",'Federal Data'!$D2:$D501,"Nongrant")</f>
        <v>908208000</v>
      </c>
      <c r="V102" s="112">
        <f>SUMIFS('Federal Data'!AF2:AF501,'Federal Data'!$E2:$E501,"Secure the Blessings",'Federal Data'!$D2:$D501,"Nongrant")+SUMIFS('Federal Data'!AF2:AF501,'Federal Data'!$E2:$E501,"Obligations",'Federal Data'!$D2:$D501,"Nongrant")</f>
        <v>914862000</v>
      </c>
      <c r="W102" s="112">
        <f>SUMIFS('Federal Data'!AG2:AG501,'Federal Data'!$E2:$E501,"Secure the Blessings",'Federal Data'!$D2:$D501,"Nongrant")+SUMIFS('Federal Data'!AG2:AG501,'Federal Data'!$E2:$E501,"Obligations",'Federal Data'!$D2:$D501,"Nongrant")</f>
        <v>945161000</v>
      </c>
      <c r="X102" s="112">
        <f>SUMIFS('Federal Data'!AH2:AH501,'Federal Data'!$E2:$E501,"Secure the Blessings",'Federal Data'!$D2:$D501,"Nongrant")+SUMIFS('Federal Data'!AH2:AH501,'Federal Data'!$E2:$E501,"Obligations",'Federal Data'!$D2:$D501,"Nongrant")</f>
        <v>967391000</v>
      </c>
      <c r="Y102" s="112">
        <f>SUMIFS('Federal Data'!AI2:AI501,'Federal Data'!$E2:$E501,"Secure the Blessings",'Federal Data'!$D2:$D501,"Nongrant")+SUMIFS('Federal Data'!AI2:AI501,'Federal Data'!$E2:$E501,"Obligations",'Federal Data'!$D2:$D501,"Nongrant")</f>
        <v>969048000</v>
      </c>
      <c r="Z102" s="112">
        <f>SUMIFS('Federal Data'!AJ2:AJ501,'Federal Data'!$E2:$E501,"Secure the Blessings",'Federal Data'!$D2:$D501,"Nongrant")+SUMIFS('Federal Data'!AJ2:AJ501,'Federal Data'!$E2:$E501,"Obligations",'Federal Data'!$D2:$D501,"Nongrant")</f>
        <v>995916000</v>
      </c>
      <c r="AA102" s="112">
        <f>SUMIFS('Federal Data'!AK2:AK501,'Federal Data'!$E2:$E501,"Secure the Blessings",'Federal Data'!$D2:$D501,"Nongrant")+SUMIFS('Federal Data'!AK2:AK501,'Federal Data'!$E2:$E501,"Obligations",'Federal Data'!$D2:$D501,"Nongrant")</f>
        <v>1045904000</v>
      </c>
      <c r="AB102" s="112">
        <f>SUMIFS('Federal Data'!AL2:AL501,'Federal Data'!$E2:$E501,"Secure the Blessings",'Federal Data'!$D2:$D501,"Nongrant")+SUMIFS('Federal Data'!AL2:AL501,'Federal Data'!$E2:$E501,"Obligations",'Federal Data'!$D2:$D501,"Nongrant")</f>
        <v>1140192000</v>
      </c>
      <c r="AC102" s="112">
        <f>SUMIFS('Federal Data'!AM2:AM501,'Federal Data'!$E2:$E501,"Secure the Blessings",'Federal Data'!$D2:$D501,"Nongrant")+SUMIFS('Federal Data'!AM2:AM501,'Federal Data'!$E2:$E501,"Obligations",'Federal Data'!$D2:$D501,"Nongrant")</f>
        <v>1266042000</v>
      </c>
      <c r="AD102" s="112">
        <f>SUMIFS('Federal Data'!AN2:AN501,'Federal Data'!$E2:$E501,"Secure the Blessings",'Federal Data'!$D2:$D501,"Nongrant")+SUMIFS('Federal Data'!AN2:AN501,'Federal Data'!$E2:$E501,"Obligations",'Federal Data'!$D2:$D501,"Nongrant")</f>
        <v>1320334000</v>
      </c>
      <c r="AE102" s="112">
        <f>SUMIFS('Federal Data'!AO2:AO501,'Federal Data'!$E2:$E501,"Secure the Blessings",'Federal Data'!$D2:$D501,"Nongrant")+SUMIFS('Federal Data'!AO2:AO501,'Federal Data'!$E2:$E501,"Obligations",'Federal Data'!$D2:$D501,"Nongrant")</f>
        <v>1393798000</v>
      </c>
      <c r="AF102" s="112">
        <f>SUMIFS('Federal Data'!AP2:AP501,'Federal Data'!$E2:$E501,"Secure the Blessings",'Federal Data'!$D2:$D501,"Nongrant")+SUMIFS('Federal Data'!AP2:AP501,'Federal Data'!$E2:$E501,"Obligations",'Federal Data'!$D2:$D501,"Nongrant")</f>
        <v>1524222000</v>
      </c>
      <c r="AG102" s="112">
        <f>SUMIFS('Federal Data'!AQ2:AQ501,'Federal Data'!$E2:$E501,"Secure the Blessings",'Federal Data'!$D2:$D501,"Nongrant")+SUMIFS('Federal Data'!AQ2:AQ501,'Federal Data'!$E2:$E501,"Obligations",'Federal Data'!$D2:$D501,"Nongrant")</f>
        <v>1525077000</v>
      </c>
      <c r="AH102" s="112">
        <f>SUMIFS('Federal Data'!AR2:AR501,'Federal Data'!$E2:$E501,"Secure the Blessings",'Federal Data'!$D2:$D501,"Nongrant")+SUMIFS('Federal Data'!AR2:AR501,'Federal Data'!$E2:$E501,"Obligations",'Federal Data'!$D2:$D501,"Nongrant")</f>
        <v>1578939000</v>
      </c>
      <c r="AI102" s="112">
        <f>SUMIFS('Federal Data'!AS2:AS501,'Federal Data'!$E2:$E501,"Secure the Blessings",'Federal Data'!$D2:$D501,"Nongrant")+SUMIFS('Federal Data'!AS2:AS501,'Federal Data'!$E2:$E501,"Obligations",'Federal Data'!$D2:$D501,"Nongrant")</f>
        <v>1584667000</v>
      </c>
      <c r="AJ102" s="112">
        <f>SUMIFS('Federal Data'!AT2:AT501,'Federal Data'!$E2:$E501,"Secure the Blessings",'Federal Data'!$D2:$D501,"Nongrant")+SUMIFS('Federal Data'!AT2:AT501,'Federal Data'!$E2:$E501,"Obligations",'Federal Data'!$D2:$D501,"Nongrant")</f>
        <v>1579291000</v>
      </c>
      <c r="AK102" s="112">
        <f>SUMIFS('Federal Data'!AU2:AU501,'Federal Data'!$E2:$E501,"Secure the Blessings",'Federal Data'!$D2:$D501,"Nongrant")+SUMIFS('Federal Data'!AU2:AU501,'Federal Data'!$E2:$E501,"Obligations",'Federal Data'!$D2:$D501,"Nongrant")</f>
        <v>1660369000</v>
      </c>
      <c r="AL102" s="112">
        <f>SUMIFS('Federal Data'!AV2:AV501,'Federal Data'!$E2:$E501,"Secure the Blessings",'Federal Data'!$D2:$D501,"Nongrant")+SUMIFS('Federal Data'!AV2:AV501,'Federal Data'!$E2:$E501,"Obligations",'Federal Data'!$D2:$D501,"Nongrant")</f>
        <v>1806970000</v>
      </c>
    </row>
    <row r="103" spans="1:41" outlineLevel="2">
      <c r="A103" s="22" t="str">
        <f>B102</f>
        <v>Secure the Blessings of Liberty to Ourselves and Our Posterity</v>
      </c>
      <c r="B103" s="28" t="s">
        <v>158</v>
      </c>
      <c r="C103" s="113">
        <f>C104+C108</f>
        <v>4329717</v>
      </c>
      <c r="D103" s="113">
        <f t="shared" ref="D103:AK103" si="1">D104+D108</f>
        <v>6205890</v>
      </c>
      <c r="E103" s="113">
        <f t="shared" si="1"/>
        <v>5755774</v>
      </c>
      <c r="F103" s="113">
        <f t="shared" si="1"/>
        <v>4536536</v>
      </c>
      <c r="G103" s="113">
        <f t="shared" si="1"/>
        <v>5222365</v>
      </c>
      <c r="H103" s="113">
        <f t="shared" si="1"/>
        <v>5462535</v>
      </c>
      <c r="I103" s="113">
        <f t="shared" si="1"/>
        <v>5084967</v>
      </c>
      <c r="J103" s="113">
        <f t="shared" si="1"/>
        <v>4171338</v>
      </c>
      <c r="K103" s="113">
        <f t="shared" si="1"/>
        <v>4521222</v>
      </c>
      <c r="L103" s="113">
        <f t="shared" si="1"/>
        <v>6397898</v>
      </c>
      <c r="M103" s="113">
        <f t="shared" si="1"/>
        <v>6918833</v>
      </c>
      <c r="N103" s="113">
        <f t="shared" si="1"/>
        <v>7808689</v>
      </c>
      <c r="O103" s="113">
        <f t="shared" si="1"/>
        <v>6603804</v>
      </c>
      <c r="P103" s="113">
        <f t="shared" si="1"/>
        <v>9267421</v>
      </c>
      <c r="Q103" s="113">
        <f t="shared" si="1"/>
        <v>3404279</v>
      </c>
      <c r="R103" s="113">
        <f t="shared" si="1"/>
        <v>9927000</v>
      </c>
      <c r="S103" s="113">
        <f t="shared" si="1"/>
        <v>8038000</v>
      </c>
      <c r="T103" s="113">
        <f t="shared" si="1"/>
        <v>7679000</v>
      </c>
      <c r="U103" s="113">
        <f t="shared" si="1"/>
        <v>6846000</v>
      </c>
      <c r="V103" s="113">
        <f t="shared" si="1"/>
        <v>4330000</v>
      </c>
      <c r="W103" s="113">
        <f t="shared" si="1"/>
        <v>4082000</v>
      </c>
      <c r="X103" s="113">
        <f t="shared" si="1"/>
        <v>2651000</v>
      </c>
      <c r="Y103" s="113">
        <f t="shared" si="1"/>
        <v>8723000</v>
      </c>
      <c r="Z103" s="113">
        <f t="shared" si="1"/>
        <v>12273000</v>
      </c>
      <c r="AA103" s="113">
        <f t="shared" si="1"/>
        <v>13998000</v>
      </c>
      <c r="AB103" s="113">
        <f t="shared" si="1"/>
        <v>19988000</v>
      </c>
      <c r="AC103" s="113">
        <f t="shared" si="1"/>
        <v>39202000</v>
      </c>
      <c r="AD103" s="113">
        <f t="shared" si="1"/>
        <v>13115000</v>
      </c>
      <c r="AE103" s="113">
        <f t="shared" si="1"/>
        <v>9901000</v>
      </c>
      <c r="AF103" s="113">
        <f t="shared" si="1"/>
        <v>-22669000</v>
      </c>
      <c r="AG103" s="113">
        <f t="shared" si="1"/>
        <v>-9196000</v>
      </c>
      <c r="AH103" s="113">
        <f t="shared" si="1"/>
        <v>-32491000</v>
      </c>
      <c r="AI103" s="113">
        <f t="shared" si="1"/>
        <v>-18444000</v>
      </c>
      <c r="AJ103" s="113">
        <f t="shared" si="1"/>
        <v>-30002000</v>
      </c>
      <c r="AK103" s="113">
        <f t="shared" si="1"/>
        <v>-8832000</v>
      </c>
      <c r="AL103" s="113">
        <f t="shared" ref="AL103" si="2">AL104+AL108</f>
        <v>24122000</v>
      </c>
    </row>
    <row r="104" spans="1:41" outlineLevel="3">
      <c r="A104" s="22" t="str">
        <f>B103</f>
        <v>Education</v>
      </c>
      <c r="B104" s="29" t="s">
        <v>44</v>
      </c>
      <c r="C104" s="113">
        <f>SUMIFS('Federal Data'!M2:M501,'Federal Data'!$F2:$F501,"Education Inside the Classroom",'Federal Data'!$D2:$D501,"Nongrant")</f>
        <v>3467879</v>
      </c>
      <c r="D104" s="113">
        <f>SUMIFS('Federal Data'!N2:N501,'Federal Data'!$F2:$F501,"Education Inside the Classroom",'Federal Data'!$D2:$D501,"Nongrant")</f>
        <v>5316868</v>
      </c>
      <c r="E104" s="113">
        <f>SUMIFS('Federal Data'!O2:O501,'Federal Data'!$F2:$F501,"Education Inside the Classroom",'Federal Data'!$D2:$D501,"Nongrant")</f>
        <v>4853160</v>
      </c>
      <c r="F104" s="113">
        <f>SUMIFS('Federal Data'!P2:P501,'Federal Data'!$F2:$F501,"Education Inside the Classroom",'Federal Data'!$D2:$D501,"Nongrant")</f>
        <v>3694881</v>
      </c>
      <c r="G104" s="113">
        <f>SUMIFS('Federal Data'!Q2:Q501,'Federal Data'!$F2:$F501,"Education Inside the Classroom",'Federal Data'!$D2:$D501,"Nongrant")</f>
        <v>4156273</v>
      </c>
      <c r="H104" s="113">
        <f>SUMIFS('Federal Data'!R2:R501,'Federal Data'!$F2:$F501,"Education Inside the Classroom",'Federal Data'!$D2:$D501,"Nongrant")</f>
        <v>4516832</v>
      </c>
      <c r="I104" s="113">
        <f>SUMIFS('Federal Data'!S2:S501,'Federal Data'!$F2:$F501,"Education Inside the Classroom",'Federal Data'!$D2:$D501,"Nongrant")</f>
        <v>4137618</v>
      </c>
      <c r="J104" s="113">
        <f>SUMIFS('Federal Data'!T2:T501,'Federal Data'!$F2:$F501,"Education Inside the Classroom",'Federal Data'!$D2:$D501,"Nongrant")</f>
        <v>3192882</v>
      </c>
      <c r="K104" s="113">
        <f>SUMIFS('Federal Data'!U2:U501,'Federal Data'!$F2:$F501,"Education Inside the Classroom",'Federal Data'!$D2:$D501,"Nongrant")</f>
        <v>3518858</v>
      </c>
      <c r="L104" s="113">
        <f>SUMIFS('Federal Data'!V2:V501,'Federal Data'!$F2:$F501,"Education Inside the Classroom",'Federal Data'!$D2:$D501,"Nongrant")</f>
        <v>5306274</v>
      </c>
      <c r="M104" s="113">
        <f>SUMIFS('Federal Data'!W2:W501,'Federal Data'!$F2:$F501,"Education Inside the Classroom",'Federal Data'!$D2:$D501,"Nongrant")</f>
        <v>5761688</v>
      </c>
      <c r="N104" s="113">
        <f>SUMIFS('Federal Data'!X2:X501,'Federal Data'!$F2:$F501,"Education Inside the Classroom",'Federal Data'!$D2:$D501,"Nongrant")</f>
        <v>6528093</v>
      </c>
      <c r="O104" s="113">
        <f>SUMIFS('Federal Data'!Y2:Y501,'Federal Data'!$F2:$F501,"Education Inside the Classroom",'Federal Data'!$D2:$D501,"Nongrant")</f>
        <v>4931398</v>
      </c>
      <c r="P104" s="113">
        <f>SUMIFS('Federal Data'!Z2:Z501,'Federal Data'!$F2:$F501,"Education Inside the Classroom",'Federal Data'!$D2:$D501,"Nongrant")</f>
        <v>7546504</v>
      </c>
      <c r="Q104" s="113">
        <f>SUMIFS('Federal Data'!AA2:AA501,'Federal Data'!$F2:$F501,"Education Inside the Classroom",'Federal Data'!$D2:$D501,"Nongrant")</f>
        <v>1618291</v>
      </c>
      <c r="R104" s="113">
        <f>SUMIFS('Federal Data'!AB2:AB501,'Federal Data'!$F2:$F501,"Education Inside the Classroom",'Federal Data'!$D2:$D501,"Nongrant")</f>
        <v>8102000</v>
      </c>
      <c r="S104" s="113">
        <f>SUMIFS('Federal Data'!AC2:AC501,'Federal Data'!$F2:$F501,"Education Inside the Classroom",'Federal Data'!$D2:$D501,"Nongrant")</f>
        <v>6164000</v>
      </c>
      <c r="T104" s="113">
        <f>SUMIFS('Federal Data'!AD2:AD501,'Federal Data'!$F2:$F501,"Education Inside the Classroom",'Federal Data'!$D2:$D501,"Nongrant")</f>
        <v>5871000</v>
      </c>
      <c r="U104" s="113">
        <f>SUMIFS('Federal Data'!AE2:AE501,'Federal Data'!$F2:$F501,"Education Inside the Classroom",'Federal Data'!$D2:$D501,"Nongrant")</f>
        <v>4982000</v>
      </c>
      <c r="V104" s="113">
        <f>SUMIFS('Federal Data'!AF2:AF501,'Federal Data'!$F2:$F501,"Education Inside the Classroom",'Federal Data'!$D2:$D501,"Nongrant")</f>
        <v>2406000</v>
      </c>
      <c r="W104" s="113">
        <f>SUMIFS('Federal Data'!AG2:AG501,'Federal Data'!$F2:$F501,"Education Inside the Classroom",'Federal Data'!$D2:$D501,"Nongrant")</f>
        <v>2104000</v>
      </c>
      <c r="X104" s="113">
        <f>SUMIFS('Federal Data'!AH2:AH501,'Federal Data'!$F2:$F501,"Education Inside the Classroom",'Federal Data'!$D2:$D501,"Nongrant")</f>
        <v>615000</v>
      </c>
      <c r="Y104" s="113">
        <f>SUMIFS('Federal Data'!AI2:AI501,'Federal Data'!$F2:$F501,"Education Inside the Classroom",'Federal Data'!$D2:$D501,"Nongrant")</f>
        <v>6500000</v>
      </c>
      <c r="Z104" s="113">
        <f>SUMIFS('Federal Data'!AJ2:AJ501,'Federal Data'!$F2:$F501,"Education Inside the Classroom",'Federal Data'!$D2:$D501,"Nongrant")</f>
        <v>10122000</v>
      </c>
      <c r="AA104" s="113">
        <f>SUMIFS('Federal Data'!AK2:AK501,'Federal Data'!$F2:$F501,"Education Inside the Classroom",'Federal Data'!$D2:$D501,"Nongrant")</f>
        <v>11736000</v>
      </c>
      <c r="AB104" s="113">
        <f>SUMIFS('Federal Data'!AL2:AL501,'Federal Data'!$F2:$F501,"Education Inside the Classroom",'Federal Data'!$D2:$D501,"Nongrant")</f>
        <v>17662000</v>
      </c>
      <c r="AC104" s="113">
        <f>SUMIFS('Federal Data'!AM2:AM501,'Federal Data'!$F2:$F501,"Education Inside the Classroom",'Federal Data'!$D2:$D501,"Nongrant")</f>
        <v>36966000</v>
      </c>
      <c r="AD104" s="113">
        <f>SUMIFS('Federal Data'!AN2:AN501,'Federal Data'!$F2:$F501,"Education Inside the Classroom",'Federal Data'!$D2:$D501,"Nongrant")</f>
        <v>10750000</v>
      </c>
      <c r="AE104" s="113">
        <f>SUMIFS('Federal Data'!AO2:AO501,'Federal Data'!$F2:$F501,"Education Inside the Classroom",'Federal Data'!$D2:$D501,"Nongrant")</f>
        <v>7490000</v>
      </c>
      <c r="AF104" s="113">
        <f>SUMIFS('Federal Data'!AP2:AP501,'Federal Data'!$F2:$F501,"Education Inside the Classroom",'Federal Data'!$D2:$D501,"Nongrant")</f>
        <v>-25309000</v>
      </c>
      <c r="AG104" s="113">
        <f>SUMIFS('Federal Data'!AQ2:AQ501,'Federal Data'!$F2:$F501,"Education Inside the Classroom",'Federal Data'!$D2:$D501,"Nongrant")</f>
        <v>-11967000</v>
      </c>
      <c r="AH104" s="113">
        <f>SUMIFS('Federal Data'!AR2:AR501,'Federal Data'!$F2:$F501,"Education Inside the Classroom",'Federal Data'!$D2:$D501,"Nongrant")</f>
        <v>-35347000</v>
      </c>
      <c r="AI104" s="113">
        <f>SUMIFS('Federal Data'!AS2:AS501,'Federal Data'!$F2:$F501,"Education Inside the Classroom",'Federal Data'!$D2:$D501,"Nongrant")</f>
        <v>-21308000</v>
      </c>
      <c r="AJ104" s="113">
        <f>SUMIFS('Federal Data'!AT2:AT501,'Federal Data'!$F2:$F501,"Education Inside the Classroom",'Federal Data'!$D2:$D501,"Nongrant")</f>
        <v>-32869000</v>
      </c>
      <c r="AK104" s="113">
        <f>SUMIFS('Federal Data'!AU2:AU501,'Federal Data'!$F2:$F501,"Education Inside the Classroom",'Federal Data'!$D2:$D501,"Nongrant")</f>
        <v>-11587000</v>
      </c>
      <c r="AL104" s="113">
        <f>SUMIFS('Federal Data'!AV2:AV501,'Federal Data'!$F2:$F501,"Education Inside the Classroom",'Federal Data'!$D2:$D501,"Nongrant")</f>
        <v>21370000</v>
      </c>
    </row>
    <row r="105" spans="1:41" outlineLevel="4">
      <c r="A105" s="22" t="str">
        <f>B104</f>
        <v>Education Inside the Classroom</v>
      </c>
      <c r="B105" s="31" t="s">
        <v>45</v>
      </c>
      <c r="C105" s="113">
        <f>SUMIFS('Federal Data'!M2:M501,'Federal Data'!$G2:$G501,"Elementary and Secondary Education",'Federal Data'!$D2:$D501,"Nongrant")</f>
        <v>436966</v>
      </c>
      <c r="D105" s="113">
        <f>SUMIFS('Federal Data'!N2:N501,'Federal Data'!$G2:$G501,"Elementary and Secondary Education",'Federal Data'!$D2:$D501,"Nongrant")</f>
        <v>461003</v>
      </c>
      <c r="E105" s="113">
        <f>SUMIFS('Federal Data'!O2:O501,'Federal Data'!$G2:$G501,"Elementary and Secondary Education",'Federal Data'!$D2:$D501,"Nongrant")</f>
        <v>456932</v>
      </c>
      <c r="F105" s="113">
        <f>SUMIFS('Federal Data'!P2:P501,'Federal Data'!$G2:$G501,"Elementary and Secondary Education",'Federal Data'!$D2:$D501,"Nongrant")</f>
        <v>545400</v>
      </c>
      <c r="G105" s="113">
        <f>SUMIFS('Federal Data'!Q2:Q501,'Federal Data'!$G2:$G501,"Elementary and Secondary Education",'Federal Data'!$D2:$D501,"Nongrant")</f>
        <v>557669</v>
      </c>
      <c r="H105" s="113">
        <f>SUMIFS('Federal Data'!R2:R501,'Federal Data'!$G2:$G501,"Elementary and Secondary Education",'Federal Data'!$D2:$D501,"Nongrant")</f>
        <v>512673</v>
      </c>
      <c r="I105" s="113">
        <f>SUMIFS('Federal Data'!S2:S501,'Federal Data'!$G2:$G501,"Elementary and Secondary Education",'Federal Data'!$D2:$D501,"Nongrant")</f>
        <v>343175</v>
      </c>
      <c r="J105" s="113">
        <f>SUMIFS('Federal Data'!T2:T501,'Federal Data'!$G2:$G501,"Elementary and Secondary Education",'Federal Data'!$D2:$D501,"Nongrant")</f>
        <v>631277</v>
      </c>
      <c r="K105" s="113">
        <f>SUMIFS('Federal Data'!U2:U501,'Federal Data'!$G2:$G501,"Elementary and Secondary Education",'Federal Data'!$D2:$D501,"Nongrant")</f>
        <v>500772</v>
      </c>
      <c r="L105" s="113">
        <f>SUMIFS('Federal Data'!V2:V501,'Federal Data'!$G2:$G501,"Elementary and Secondary Education",'Federal Data'!$D2:$D501,"Nongrant")</f>
        <v>585090</v>
      </c>
      <c r="M105" s="113">
        <f>SUMIFS('Federal Data'!W2:W501,'Federal Data'!$G2:$G501,"Elementary and Secondary Education",'Federal Data'!$D2:$D501,"Nongrant")</f>
        <v>579728</v>
      </c>
      <c r="N105" s="113">
        <f>SUMIFS('Federal Data'!X2:X501,'Federal Data'!$G2:$G501,"Elementary and Secondary Education",'Federal Data'!$D2:$D501,"Nongrant")</f>
        <v>866231</v>
      </c>
      <c r="O105" s="113">
        <f>SUMIFS('Federal Data'!Y2:Y501,'Federal Data'!$G2:$G501,"Elementary and Secondary Education",'Federal Data'!$D2:$D501,"Nongrant")</f>
        <v>698081</v>
      </c>
      <c r="P105" s="113">
        <f>SUMIFS('Federal Data'!Z2:Z501,'Federal Data'!$G2:$G501,"Elementary and Secondary Education",'Federal Data'!$D2:$D501,"Nongrant")</f>
        <v>722884</v>
      </c>
      <c r="Q105" s="113">
        <f>SUMIFS('Federal Data'!AA2:AA501,'Federal Data'!$G2:$G501,"Elementary and Secondary Education",'Federal Data'!$D2:$D501,"Nongrant")</f>
        <v>842917</v>
      </c>
      <c r="R105" s="113">
        <f>SUMIFS('Federal Data'!AB2:AB501,'Federal Data'!$G2:$G501,"Elementary and Secondary Education",'Federal Data'!$D2:$D501,"Nongrant")</f>
        <v>979000</v>
      </c>
      <c r="S105" s="113">
        <f>SUMIFS('Federal Data'!AC2:AC501,'Federal Data'!$G2:$G501,"Elementary and Secondary Education",'Federal Data'!$D2:$D501,"Nongrant")</f>
        <v>839000</v>
      </c>
      <c r="T105" s="113">
        <f>SUMIFS('Federal Data'!AD2:AD501,'Federal Data'!$G2:$G501,"Elementary and Secondary Education",'Federal Data'!$D2:$D501,"Nongrant")</f>
        <v>833000</v>
      </c>
      <c r="U105" s="113">
        <f>SUMIFS('Federal Data'!AE2:AE501,'Federal Data'!$G2:$G501,"Elementary and Secondary Education",'Federal Data'!$D2:$D501,"Nongrant")</f>
        <v>859000</v>
      </c>
      <c r="V105" s="113">
        <f>SUMIFS('Federal Data'!AF2:AF501,'Federal Data'!$G2:$G501,"Elementary and Secondary Education",'Federal Data'!$D2:$D501,"Nongrant")</f>
        <v>875000</v>
      </c>
      <c r="W105" s="113">
        <f>SUMIFS('Federal Data'!AG2:AG501,'Federal Data'!$G2:$G501,"Elementary and Secondary Education",'Federal Data'!$D2:$D501,"Nongrant")</f>
        <v>1204000</v>
      </c>
      <c r="X105" s="113">
        <f>SUMIFS('Federal Data'!AH2:AH501,'Federal Data'!$G2:$G501,"Elementary and Secondary Education",'Federal Data'!$D2:$D501,"Nongrant")</f>
        <v>1497000</v>
      </c>
      <c r="Y105" s="113">
        <f>SUMIFS('Federal Data'!AI2:AI501,'Federal Data'!$G2:$G501,"Elementary and Secondary Education",'Federal Data'!$D2:$D501,"Nongrant")</f>
        <v>2166000</v>
      </c>
      <c r="Z105" s="113">
        <f>SUMIFS('Federal Data'!AJ2:AJ501,'Federal Data'!$G2:$G501,"Elementary and Secondary Education",'Federal Data'!$D2:$D501,"Nongrant")</f>
        <v>1861000</v>
      </c>
      <c r="AA105" s="113">
        <f>SUMIFS('Federal Data'!AK2:AK501,'Federal Data'!$G2:$G501,"Elementary and Secondary Education",'Federal Data'!$D2:$D501,"Nongrant")</f>
        <v>1724000</v>
      </c>
      <c r="AB105" s="113">
        <f>SUMIFS('Federal Data'!AL2:AL501,'Federal Data'!$G2:$G501,"Elementary and Secondary Education",'Federal Data'!$D2:$D501,"Nongrant")</f>
        <v>1747000</v>
      </c>
      <c r="AC105" s="113">
        <f>SUMIFS('Federal Data'!AM2:AM501,'Federal Data'!$G2:$G501,"Elementary and Secondary Education",'Federal Data'!$D2:$D501,"Nongrant")</f>
        <v>1648000</v>
      </c>
      <c r="AD105" s="113">
        <f>SUMIFS('Federal Data'!AN2:AN501,'Federal Data'!$G2:$G501,"Elementary and Secondary Education",'Federal Data'!$D2:$D501,"Nongrant")</f>
        <v>1455000</v>
      </c>
      <c r="AE105" s="113">
        <f>SUMIFS('Federal Data'!AO2:AO501,'Federal Data'!$G2:$G501,"Elementary and Secondary Education",'Federal Data'!$D2:$D501,"Nongrant")</f>
        <v>1432000</v>
      </c>
      <c r="AF105" s="113">
        <f>SUMIFS('Federal Data'!AP2:AP501,'Federal Data'!$G2:$G501,"Elementary and Secondary Education",'Federal Data'!$D2:$D501,"Nongrant")</f>
        <v>1527000</v>
      </c>
      <c r="AG105" s="113">
        <f>SUMIFS('Federal Data'!AQ2:AQ501,'Federal Data'!$G2:$G501,"Elementary and Secondary Education",'Federal Data'!$D2:$D501,"Nongrant")</f>
        <v>1504000</v>
      </c>
      <c r="AH105" s="113">
        <f>SUMIFS('Federal Data'!AR2:AR501,'Federal Data'!$G2:$G501,"Elementary and Secondary Education",'Federal Data'!$D2:$D501,"Nongrant")</f>
        <v>1890000</v>
      </c>
      <c r="AI105" s="113">
        <f>SUMIFS('Federal Data'!AS2:AS501,'Federal Data'!$G2:$G501,"Elementary and Secondary Education",'Federal Data'!$D2:$D501,"Nongrant")</f>
        <v>1965000</v>
      </c>
      <c r="AJ105" s="113">
        <f>SUMIFS('Federal Data'!AT2:AT501,'Federal Data'!$G2:$G501,"Elementary and Secondary Education",'Federal Data'!$D2:$D501,"Nongrant")</f>
        <v>2124000</v>
      </c>
      <c r="AK105" s="113">
        <f>SUMIFS('Federal Data'!AU2:AU501,'Federal Data'!$G2:$G501,"Elementary and Secondary Education",'Federal Data'!$D2:$D501,"Nongrant")</f>
        <v>1871000</v>
      </c>
      <c r="AL105" s="113">
        <f>SUMIFS('Federal Data'!AV2:AV501,'Federal Data'!$G2:$G501,"Elementary and Secondary Education",'Federal Data'!$D2:$D501,"Nongrant")</f>
        <v>1972000</v>
      </c>
    </row>
    <row r="106" spans="1:41" outlineLevel="4">
      <c r="A106" s="22" t="str">
        <f>B104</f>
        <v>Education Inside the Classroom</v>
      </c>
      <c r="B106" s="31" t="s">
        <v>276</v>
      </c>
      <c r="C106" s="113">
        <f>SUMIFS('Federal Data'!M2:M501,'Federal Data'!$G2:$G501,"Higher Education",'Federal Data'!$D2:$D501,"Nongrant")</f>
        <v>3020625</v>
      </c>
      <c r="D106" s="113">
        <f>SUMIFS('Federal Data'!N2:N501,'Federal Data'!$G2:$G501,"Higher Education",'Federal Data'!$D2:$D501,"Nongrant")</f>
        <v>4850345</v>
      </c>
      <c r="E106" s="113">
        <f>SUMIFS('Federal Data'!O2:O501,'Federal Data'!$G2:$G501,"Higher Education",'Federal Data'!$D2:$D501,"Nongrant")</f>
        <v>4380589</v>
      </c>
      <c r="F106" s="113">
        <f>SUMIFS('Federal Data'!P2:P501,'Federal Data'!$G2:$G501,"Higher Education",'Federal Data'!$D2:$D501,"Nongrant")</f>
        <v>3136930</v>
      </c>
      <c r="G106" s="113">
        <f>SUMIFS('Federal Data'!Q2:Q501,'Federal Data'!$G2:$G501,"Higher Education",'Federal Data'!$D2:$D501,"Nongrant")</f>
        <v>3574763</v>
      </c>
      <c r="H106" s="113">
        <f>SUMIFS('Federal Data'!R2:R501,'Federal Data'!$G2:$G501,"Higher Education",'Federal Data'!$D2:$D501,"Nongrant")</f>
        <v>3978989</v>
      </c>
      <c r="I106" s="113">
        <f>SUMIFS('Federal Data'!S2:S501,'Federal Data'!$G2:$G501,"Higher Education",'Federal Data'!$D2:$D501,"Nongrant")</f>
        <v>3767651</v>
      </c>
      <c r="J106" s="113">
        <f>SUMIFS('Federal Data'!T2:T501,'Federal Data'!$G2:$G501,"Higher Education",'Federal Data'!$D2:$D501,"Nongrant")</f>
        <v>2556044</v>
      </c>
      <c r="K106" s="113">
        <f>SUMIFS('Federal Data'!U2:U501,'Federal Data'!$G2:$G501,"Higher Education",'Federal Data'!$D2:$D501,"Nongrant")</f>
        <v>3003362</v>
      </c>
      <c r="L106" s="113">
        <f>SUMIFS('Federal Data'!V2:V501,'Federal Data'!$G2:$G501,"Higher Education",'Federal Data'!$D2:$D501,"Nongrant")</f>
        <v>4703231</v>
      </c>
      <c r="M106" s="113">
        <f>SUMIFS('Federal Data'!W2:W501,'Federal Data'!$G2:$G501,"Higher Education",'Federal Data'!$D2:$D501,"Nongrant")</f>
        <v>5162364</v>
      </c>
      <c r="N106" s="113">
        <f>SUMIFS('Federal Data'!X2:X501,'Federal Data'!$G2:$G501,"Higher Education",'Federal Data'!$D2:$D501,"Nongrant")</f>
        <v>5608966</v>
      </c>
      <c r="O106" s="113">
        <f>SUMIFS('Federal Data'!Y2:Y501,'Federal Data'!$G2:$G501,"Higher Education",'Federal Data'!$D2:$D501,"Nongrant")</f>
        <v>4174078</v>
      </c>
      <c r="P106" s="113">
        <f>SUMIFS('Federal Data'!Z2:Z501,'Federal Data'!$G2:$G501,"Higher Education",'Federal Data'!$D2:$D501,"Nongrant")</f>
        <v>6766291</v>
      </c>
      <c r="Q106" s="113">
        <f>SUMIFS('Federal Data'!AA2:AA501,'Federal Data'!$G2:$G501,"Higher Education",'Federal Data'!$D2:$D501,"Nongrant")</f>
        <v>726823</v>
      </c>
      <c r="R106" s="113">
        <f>SUMIFS('Federal Data'!AB2:AB501,'Federal Data'!$G2:$G501,"Higher Education",'Federal Data'!$D2:$D501,"Nongrant")</f>
        <v>7090000</v>
      </c>
      <c r="S106" s="113">
        <f>SUMIFS('Federal Data'!AC2:AC501,'Federal Data'!$G2:$G501,"Higher Education",'Federal Data'!$D2:$D501,"Nongrant")</f>
        <v>5300000</v>
      </c>
      <c r="T106" s="113">
        <f>SUMIFS('Federal Data'!AD2:AD501,'Federal Data'!$G2:$G501,"Higher Education",'Federal Data'!$D2:$D501,"Nongrant")</f>
        <v>5018000</v>
      </c>
      <c r="U106" s="113">
        <f>SUMIFS('Federal Data'!AE2:AE501,'Federal Data'!$G2:$G501,"Higher Education",'Federal Data'!$D2:$D501,"Nongrant")</f>
        <v>4097000</v>
      </c>
      <c r="V106" s="113">
        <f>SUMIFS('Federal Data'!AF2:AF501,'Federal Data'!$G2:$G501,"Higher Education",'Federal Data'!$D2:$D501,"Nongrant")</f>
        <v>1505000</v>
      </c>
      <c r="W106" s="113">
        <f>SUMIFS('Federal Data'!AG2:AG501,'Federal Data'!$G2:$G501,"Higher Education",'Federal Data'!$D2:$D501,"Nongrant")</f>
        <v>886000</v>
      </c>
      <c r="X106" s="113">
        <f>SUMIFS('Federal Data'!AH2:AH501,'Federal Data'!$G2:$G501,"Higher Education",'Federal Data'!$D2:$D501,"Nongrant")</f>
        <v>-910000</v>
      </c>
      <c r="Y106" s="113">
        <f>SUMIFS('Federal Data'!AI2:AI501,'Federal Data'!$G2:$G501,"Higher Education",'Federal Data'!$D2:$D501,"Nongrant")</f>
        <v>4298000</v>
      </c>
      <c r="Z106" s="113">
        <f>SUMIFS('Federal Data'!AJ2:AJ501,'Federal Data'!$G2:$G501,"Higher Education",'Federal Data'!$D2:$D501,"Nongrant")</f>
        <v>8226000</v>
      </c>
      <c r="AA106" s="113">
        <f>SUMIFS('Federal Data'!AK2:AK501,'Federal Data'!$G2:$G501,"Higher Education",'Federal Data'!$D2:$D501,"Nongrant")</f>
        <v>9976000</v>
      </c>
      <c r="AB106" s="113">
        <f>SUMIFS('Federal Data'!AL2:AL501,'Federal Data'!$G2:$G501,"Higher Education",'Federal Data'!$D2:$D501,"Nongrant")</f>
        <v>15878000</v>
      </c>
      <c r="AC106" s="113">
        <f>SUMIFS('Federal Data'!AM2:AM501,'Federal Data'!$G2:$G501,"Higher Education",'Federal Data'!$D2:$D501,"Nongrant")</f>
        <v>35289000</v>
      </c>
      <c r="AD106" s="113">
        <f>SUMIFS('Federal Data'!AN2:AN501,'Federal Data'!$G2:$G501,"Higher Education",'Federal Data'!$D2:$D501,"Nongrant")</f>
        <v>9266000</v>
      </c>
      <c r="AE106" s="113">
        <f>SUMIFS('Federal Data'!AO2:AO501,'Federal Data'!$G2:$G501,"Higher Education",'Federal Data'!$D2:$D501,"Nongrant")</f>
        <v>6034000</v>
      </c>
      <c r="AF106" s="113">
        <f>SUMIFS('Federal Data'!AP2:AP501,'Federal Data'!$G2:$G501,"Higher Education",'Federal Data'!$D2:$D501,"Nongrant")</f>
        <v>-26865000</v>
      </c>
      <c r="AG106" s="113">
        <f>SUMIFS('Federal Data'!AQ2:AQ501,'Federal Data'!$G2:$G501,"Higher Education",'Federal Data'!$D2:$D501,"Nongrant")</f>
        <v>-13493000</v>
      </c>
      <c r="AH106" s="113">
        <f>SUMIFS('Federal Data'!AR2:AR501,'Federal Data'!$G2:$G501,"Higher Education",'Federal Data'!$D2:$D501,"Nongrant")</f>
        <v>-37259000</v>
      </c>
      <c r="AI106" s="113">
        <f>SUMIFS('Federal Data'!AS2:AS501,'Federal Data'!$G2:$G501,"Higher Education",'Federal Data'!$D2:$D501,"Nongrant")</f>
        <v>-23293000</v>
      </c>
      <c r="AJ106" s="113">
        <f>SUMIFS('Federal Data'!AT2:AT501,'Federal Data'!$G2:$G501,"Higher Education",'Federal Data'!$D2:$D501,"Nongrant")</f>
        <v>-35010000</v>
      </c>
      <c r="AK106" s="113">
        <f>SUMIFS('Federal Data'!AU2:AU501,'Federal Data'!$G2:$G501,"Higher Education",'Federal Data'!$D2:$D501,"Nongrant")</f>
        <v>-13474000</v>
      </c>
      <c r="AL106" s="113">
        <f>SUMIFS('Federal Data'!AV2:AV501,'Federal Data'!$G2:$G501,"Higher Education",'Federal Data'!$D2:$D501,"Nongrant")</f>
        <v>19380000</v>
      </c>
    </row>
    <row r="107" spans="1:41" outlineLevel="4">
      <c r="A107" s="22" t="str">
        <f>B104</f>
        <v>Education Inside the Classroom</v>
      </c>
      <c r="B107" s="31" t="s">
        <v>47</v>
      </c>
      <c r="C107" s="113">
        <f>SUMIFS('Federal Data'!M2:M501,'Federal Data'!$G2:$G501,"Vocational Education",'Federal Data'!$D2:$D501,"Nongrant")</f>
        <v>10288</v>
      </c>
      <c r="D107" s="113">
        <f>SUMIFS('Federal Data'!N2:N501,'Federal Data'!$G2:$G501,"Vocational Education",'Federal Data'!$D2:$D501,"Nongrant")</f>
        <v>5520</v>
      </c>
      <c r="E107" s="113">
        <f>SUMIFS('Federal Data'!O2:O501,'Federal Data'!$G2:$G501,"Vocational Education",'Federal Data'!$D2:$D501,"Nongrant")</f>
        <v>15639</v>
      </c>
      <c r="F107" s="113">
        <f>SUMIFS('Federal Data'!P2:P501,'Federal Data'!$G2:$G501,"Vocational Education",'Federal Data'!$D2:$D501,"Nongrant")</f>
        <v>12551</v>
      </c>
      <c r="G107" s="113">
        <f>SUMIFS('Federal Data'!Q2:Q501,'Federal Data'!$G2:$G501,"Vocational Education",'Federal Data'!$D2:$D501,"Nongrant")</f>
        <v>23841</v>
      </c>
      <c r="H107" s="113">
        <f>SUMIFS('Federal Data'!R2:R501,'Federal Data'!$G2:$G501,"Vocational Education",'Federal Data'!$D2:$D501,"Nongrant")</f>
        <v>25170</v>
      </c>
      <c r="I107" s="113">
        <f>SUMIFS('Federal Data'!S2:S501,'Federal Data'!$G2:$G501,"Vocational Education",'Federal Data'!$D2:$D501,"Nongrant")</f>
        <v>26792</v>
      </c>
      <c r="J107" s="113">
        <f>SUMIFS('Federal Data'!T2:T501,'Federal Data'!$G2:$G501,"Vocational Education",'Federal Data'!$D2:$D501,"Nongrant")</f>
        <v>5561</v>
      </c>
      <c r="K107" s="113">
        <f>SUMIFS('Federal Data'!U2:U501,'Federal Data'!$G2:$G501,"Vocational Education",'Federal Data'!$D2:$D501,"Nongrant")</f>
        <v>14724</v>
      </c>
      <c r="L107" s="113">
        <f>SUMIFS('Federal Data'!V2:V501,'Federal Data'!$G2:$G501,"Vocational Education",'Federal Data'!$D2:$D501,"Nongrant")</f>
        <v>17953</v>
      </c>
      <c r="M107" s="113">
        <f>SUMIFS('Federal Data'!W2:W501,'Federal Data'!$G2:$G501,"Vocational Education",'Federal Data'!$D2:$D501,"Nongrant")</f>
        <v>19596</v>
      </c>
      <c r="N107" s="113">
        <f>SUMIFS('Federal Data'!X2:X501,'Federal Data'!$G2:$G501,"Vocational Education",'Federal Data'!$D2:$D501,"Nongrant")</f>
        <v>52896</v>
      </c>
      <c r="O107" s="113">
        <f>SUMIFS('Federal Data'!Y2:Y501,'Federal Data'!$G2:$G501,"Vocational Education",'Federal Data'!$D2:$D501,"Nongrant")</f>
        <v>59239</v>
      </c>
      <c r="P107" s="113">
        <f>SUMIFS('Federal Data'!Z2:Z501,'Federal Data'!$G2:$G501,"Vocational Education",'Federal Data'!$D2:$D501,"Nongrant")</f>
        <v>57329</v>
      </c>
      <c r="Q107" s="113">
        <f>SUMIFS('Federal Data'!AA2:AA501,'Federal Data'!$G2:$G501,"Vocational Education",'Federal Data'!$D2:$D501,"Nongrant")</f>
        <v>48551</v>
      </c>
      <c r="R107" s="113">
        <f>SUMIFS('Federal Data'!AB2:AB501,'Federal Data'!$G2:$G501,"Vocational Education",'Federal Data'!$D2:$D501,"Nongrant")</f>
        <v>33000</v>
      </c>
      <c r="S107" s="113">
        <f>SUMIFS('Federal Data'!AC2:AC501,'Federal Data'!$G2:$G501,"Vocational Education",'Federal Data'!$D2:$D501,"Nongrant")</f>
        <v>25000</v>
      </c>
      <c r="T107" s="113">
        <f>SUMIFS('Federal Data'!AD2:AD501,'Federal Data'!$G2:$G501,"Vocational Education",'Federal Data'!$D2:$D501,"Nongrant")</f>
        <v>20000</v>
      </c>
      <c r="U107" s="113">
        <f>SUMIFS('Federal Data'!AE2:AE501,'Federal Data'!$G2:$G501,"Vocational Education",'Federal Data'!$D2:$D501,"Nongrant")</f>
        <v>26000</v>
      </c>
      <c r="V107" s="113">
        <f>SUMIFS('Federal Data'!AF2:AF501,'Federal Data'!$G2:$G501,"Vocational Education",'Federal Data'!$D2:$D501,"Nongrant")</f>
        <v>26000</v>
      </c>
      <c r="W107" s="113">
        <f>SUMIFS('Federal Data'!AG2:AG501,'Federal Data'!$G2:$G501,"Vocational Education",'Federal Data'!$D2:$D501,"Nongrant")</f>
        <v>14000</v>
      </c>
      <c r="X107" s="113">
        <f>SUMIFS('Federal Data'!AH2:AH501,'Federal Data'!$G2:$G501,"Vocational Education",'Federal Data'!$D2:$D501,"Nongrant")</f>
        <v>28000</v>
      </c>
      <c r="Y107" s="113">
        <f>SUMIFS('Federal Data'!AI2:AI501,'Federal Data'!$G2:$G501,"Vocational Education",'Federal Data'!$D2:$D501,"Nongrant")</f>
        <v>36000</v>
      </c>
      <c r="Z107" s="113">
        <f>SUMIFS('Federal Data'!AJ2:AJ501,'Federal Data'!$G2:$G501,"Vocational Education",'Federal Data'!$D2:$D501,"Nongrant")</f>
        <v>35000</v>
      </c>
      <c r="AA107" s="113">
        <f>SUMIFS('Federal Data'!AK2:AK501,'Federal Data'!$G2:$G501,"Vocational Education",'Federal Data'!$D2:$D501,"Nongrant")</f>
        <v>36000</v>
      </c>
      <c r="AB107" s="113">
        <f>SUMIFS('Federal Data'!AL2:AL501,'Federal Data'!$G2:$G501,"Vocational Education",'Federal Data'!$D2:$D501,"Nongrant")</f>
        <v>37000</v>
      </c>
      <c r="AC107" s="113">
        <f>SUMIFS('Federal Data'!AM2:AM501,'Federal Data'!$G2:$G501,"Vocational Education",'Federal Data'!$D2:$D501,"Nongrant")</f>
        <v>29000</v>
      </c>
      <c r="AD107" s="113">
        <f>SUMIFS('Federal Data'!AN2:AN501,'Federal Data'!$G2:$G501,"Vocational Education",'Federal Data'!$D2:$D501,"Nongrant")</f>
        <v>29000</v>
      </c>
      <c r="AE107" s="113">
        <f>SUMIFS('Federal Data'!AO2:AO501,'Federal Data'!$G2:$G501,"Vocational Education",'Federal Data'!$D2:$D501,"Nongrant")</f>
        <v>24000</v>
      </c>
      <c r="AF107" s="113">
        <f>SUMIFS('Federal Data'!AP2:AP501,'Federal Data'!$G2:$G501,"Vocational Education",'Federal Data'!$D2:$D501,"Nongrant")</f>
        <v>29000</v>
      </c>
      <c r="AG107" s="113">
        <f>SUMIFS('Federal Data'!AQ2:AQ501,'Federal Data'!$G2:$G501,"Vocational Education",'Federal Data'!$D2:$D501,"Nongrant")</f>
        <v>22000</v>
      </c>
      <c r="AH107" s="113">
        <f>SUMIFS('Federal Data'!AR2:AR501,'Federal Data'!$G2:$G501,"Vocational Education",'Federal Data'!$D2:$D501,"Nongrant")</f>
        <v>22000</v>
      </c>
      <c r="AI107" s="113">
        <f>SUMIFS('Federal Data'!AS2:AS501,'Federal Data'!$G2:$G501,"Vocational Education",'Federal Data'!$D2:$D501,"Nongrant")</f>
        <v>20000</v>
      </c>
      <c r="AJ107" s="113">
        <f>SUMIFS('Federal Data'!AT2:AT501,'Federal Data'!$G2:$G501,"Vocational Education",'Federal Data'!$D2:$D501,"Nongrant")</f>
        <v>17000</v>
      </c>
      <c r="AK107" s="113">
        <f>SUMIFS('Federal Data'!AU2:AU501,'Federal Data'!$G2:$G501,"Vocational Education",'Federal Data'!$D2:$D501,"Nongrant")</f>
        <v>16000</v>
      </c>
      <c r="AL107" s="113">
        <f>SUMIFS('Federal Data'!AV2:AV501,'Federal Data'!$G2:$G501,"Vocational Education",'Federal Data'!$D2:$D501,"Nongrant")</f>
        <v>18000</v>
      </c>
    </row>
    <row r="108" spans="1:41" outlineLevel="3">
      <c r="A108" s="22" t="str">
        <f>B103</f>
        <v>Education</v>
      </c>
      <c r="B108" s="29" t="s">
        <v>307</v>
      </c>
      <c r="C108" s="113">
        <f>SUMIFS('Federal Data'!M2:M501,'Federal Data'!$F2:$F501,"Education Outside the Classroom",'Federal Data'!$D2:$D501,"Nongrant")</f>
        <v>861838</v>
      </c>
      <c r="D108" s="113">
        <f>SUMIFS('Federal Data'!N2:N501,'Federal Data'!$F2:$F501,"Education Outside the Classroom",'Federal Data'!$D2:$D501,"Nongrant")</f>
        <v>889022</v>
      </c>
      <c r="E108" s="113">
        <f>SUMIFS('Federal Data'!O2:O501,'Federal Data'!$F2:$F501,"Education Outside the Classroom",'Federal Data'!$D2:$D501,"Nongrant")</f>
        <v>902614</v>
      </c>
      <c r="F108" s="113">
        <f>SUMIFS('Federal Data'!P2:P501,'Federal Data'!$F2:$F501,"Education Outside the Classroom",'Federal Data'!$D2:$D501,"Nongrant")</f>
        <v>841655</v>
      </c>
      <c r="G108" s="113">
        <f>SUMIFS('Federal Data'!Q2:Q501,'Federal Data'!$F2:$F501,"Education Outside the Classroom",'Federal Data'!$D2:$D501,"Nongrant")</f>
        <v>1066092</v>
      </c>
      <c r="H108" s="113">
        <f>SUMIFS('Federal Data'!R2:R501,'Federal Data'!$F2:$F501,"Education Outside the Classroom",'Federal Data'!$D2:$D501,"Nongrant")</f>
        <v>945703</v>
      </c>
      <c r="I108" s="113">
        <f>SUMIFS('Federal Data'!S2:S501,'Federal Data'!$F2:$F501,"Education Outside the Classroom",'Federal Data'!$D2:$D501,"Nongrant")</f>
        <v>947349</v>
      </c>
      <c r="J108" s="113">
        <f>SUMIFS('Federal Data'!T2:T501,'Federal Data'!$F2:$F501,"Education Outside the Classroom",'Federal Data'!$D2:$D501,"Nongrant")</f>
        <v>978456</v>
      </c>
      <c r="K108" s="113">
        <f>SUMIFS('Federal Data'!U2:U501,'Federal Data'!$F2:$F501,"Education Outside the Classroom",'Federal Data'!$D2:$D501,"Nongrant")</f>
        <v>1002364</v>
      </c>
      <c r="L108" s="113">
        <f>SUMIFS('Federal Data'!V2:V501,'Federal Data'!$F2:$F501,"Education Outside the Classroom",'Federal Data'!$D2:$D501,"Nongrant")</f>
        <v>1091624</v>
      </c>
      <c r="M108" s="113">
        <f>SUMIFS('Federal Data'!W2:W501,'Federal Data'!$F2:$F501,"Education Outside the Classroom",'Federal Data'!$D2:$D501,"Nongrant")</f>
        <v>1157145</v>
      </c>
      <c r="N108" s="113">
        <f>SUMIFS('Federal Data'!X2:X501,'Federal Data'!$F2:$F501,"Education Outside the Classroom",'Federal Data'!$D2:$D501,"Nongrant")</f>
        <v>1280596</v>
      </c>
      <c r="O108" s="113">
        <f>SUMIFS('Federal Data'!Y2:Y501,'Federal Data'!$F2:$F501,"Education Outside the Classroom",'Federal Data'!$D2:$D501,"Nongrant")</f>
        <v>1672406</v>
      </c>
      <c r="P108" s="113">
        <f>SUMIFS('Federal Data'!Z2:Z501,'Federal Data'!$F2:$F501,"Education Outside the Classroom",'Federal Data'!$D2:$D501,"Nongrant")</f>
        <v>1720917</v>
      </c>
      <c r="Q108" s="113">
        <f>SUMIFS('Federal Data'!AA2:AA501,'Federal Data'!$F2:$F501,"Education Outside the Classroom",'Federal Data'!$D2:$D501,"Nongrant")</f>
        <v>1785988</v>
      </c>
      <c r="R108" s="113">
        <f>SUMIFS('Federal Data'!AB2:AB501,'Federal Data'!$F2:$F501,"Education Outside the Classroom",'Federal Data'!$D2:$D501,"Nongrant")</f>
        <v>1825000</v>
      </c>
      <c r="S108" s="113">
        <f>SUMIFS('Federal Data'!AC2:AC501,'Federal Data'!$F2:$F501,"Education Outside the Classroom",'Federal Data'!$D2:$D501,"Nongrant")</f>
        <v>1874000</v>
      </c>
      <c r="T108" s="113">
        <f>SUMIFS('Federal Data'!AD2:AD501,'Federal Data'!$F2:$F501,"Education Outside the Classroom",'Federal Data'!$D2:$D501,"Nongrant")</f>
        <v>1808000</v>
      </c>
      <c r="U108" s="113">
        <f>SUMIFS('Federal Data'!AE2:AE501,'Federal Data'!$F2:$F501,"Education Outside the Classroom",'Federal Data'!$D2:$D501,"Nongrant")</f>
        <v>1864000</v>
      </c>
      <c r="V108" s="113">
        <f>SUMIFS('Federal Data'!AF2:AF501,'Federal Data'!$F2:$F501,"Education Outside the Classroom",'Federal Data'!$D2:$D501,"Nongrant")</f>
        <v>1924000</v>
      </c>
      <c r="W108" s="113">
        <f>SUMIFS('Federal Data'!AG2:AG501,'Federal Data'!$F2:$F501,"Education Outside the Classroom",'Federal Data'!$D2:$D501,"Nongrant")</f>
        <v>1978000</v>
      </c>
      <c r="X108" s="113">
        <f>SUMIFS('Federal Data'!AH2:AH501,'Federal Data'!$F2:$F501,"Education Outside the Classroom",'Federal Data'!$D2:$D501,"Nongrant")</f>
        <v>2036000</v>
      </c>
      <c r="Y108" s="113">
        <f>SUMIFS('Federal Data'!AI2:AI501,'Federal Data'!$F2:$F501,"Education Outside the Classroom",'Federal Data'!$D2:$D501,"Nongrant")</f>
        <v>2223000</v>
      </c>
      <c r="Z108" s="113">
        <f>SUMIFS('Federal Data'!AJ2:AJ501,'Federal Data'!$F2:$F501,"Education Outside the Classroom",'Federal Data'!$D2:$D501,"Nongrant")</f>
        <v>2151000</v>
      </c>
      <c r="AA108" s="113">
        <f>SUMIFS('Federal Data'!AK2:AK501,'Federal Data'!$F2:$F501,"Education Outside the Classroom",'Federal Data'!$D2:$D501,"Nongrant")</f>
        <v>2262000</v>
      </c>
      <c r="AB108" s="113">
        <f>SUMIFS('Federal Data'!AL2:AL501,'Federal Data'!$F2:$F501,"Education Outside the Classroom",'Federal Data'!$D2:$D501,"Nongrant")</f>
        <v>2326000</v>
      </c>
      <c r="AC108" s="113">
        <f>SUMIFS('Federal Data'!AM2:AM501,'Federal Data'!$F2:$F501,"Education Outside the Classroom",'Federal Data'!$D2:$D501,"Nongrant")</f>
        <v>2236000</v>
      </c>
      <c r="AD108" s="113">
        <f>SUMIFS('Federal Data'!AN2:AN501,'Federal Data'!$F2:$F501,"Education Outside the Classroom",'Federal Data'!$D2:$D501,"Nongrant")</f>
        <v>2365000</v>
      </c>
      <c r="AE108" s="113">
        <f>SUMIFS('Federal Data'!AO2:AO501,'Federal Data'!$F2:$F501,"Education Outside the Classroom",'Federal Data'!$D2:$D501,"Nongrant")</f>
        <v>2411000</v>
      </c>
      <c r="AF108" s="113">
        <f>SUMIFS('Federal Data'!AP2:AP501,'Federal Data'!$F2:$F501,"Education Outside the Classroom",'Federal Data'!$D2:$D501,"Nongrant")</f>
        <v>2640000</v>
      </c>
      <c r="AG108" s="113">
        <f>SUMIFS('Federal Data'!AQ2:AQ501,'Federal Data'!$F2:$F501,"Education Outside the Classroom",'Federal Data'!$D2:$D501,"Nongrant")</f>
        <v>2771000</v>
      </c>
      <c r="AH108" s="113">
        <f>SUMIFS('Federal Data'!AR2:AR501,'Federal Data'!$F2:$F501,"Education Outside the Classroom",'Federal Data'!$D2:$D501,"Nongrant")</f>
        <v>2856000</v>
      </c>
      <c r="AI108" s="113">
        <f>SUMIFS('Federal Data'!AS2:AS501,'Federal Data'!$F2:$F501,"Education Outside the Classroom",'Federal Data'!$D2:$D501,"Nongrant")</f>
        <v>2864000</v>
      </c>
      <c r="AJ108" s="113">
        <f>SUMIFS('Federal Data'!AT2:AT501,'Federal Data'!$F2:$F501,"Education Outside the Classroom",'Federal Data'!$D2:$D501,"Nongrant")</f>
        <v>2867000</v>
      </c>
      <c r="AK108" s="113">
        <f>SUMIFS('Federal Data'!AU2:AU501,'Federal Data'!$F2:$F501,"Education Outside the Classroom",'Federal Data'!$D2:$D501,"Nongrant")</f>
        <v>2755000</v>
      </c>
      <c r="AL108" s="113">
        <f>SUMIFS('Federal Data'!AV2:AV501,'Federal Data'!$F2:$F501,"Education Outside the Classroom",'Federal Data'!$D2:$D501,"Nongrant")</f>
        <v>2752000</v>
      </c>
    </row>
    <row r="109" spans="1:41" outlineLevel="2">
      <c r="A109" s="22" t="str">
        <f>B102</f>
        <v>Secure the Blessings of Liberty to Ourselves and Our Posterity</v>
      </c>
      <c r="B109" s="28" t="s">
        <v>159</v>
      </c>
      <c r="C109" s="113">
        <f>SUMIFS('Federal Data'!M2:M501,'Federal Data'!$F2:$F501,"Sustainability and Self-Sufficiency",'Federal Data'!$D2:$D501,"Nongrant")</f>
        <v>26534765</v>
      </c>
      <c r="D109" s="113">
        <f>SUMIFS('Federal Data'!N2:N501,'Federal Data'!$F2:$F501,"Sustainability and Self-Sufficiency",'Federal Data'!$D2:$D501,"Nongrant")</f>
        <v>33783762</v>
      </c>
      <c r="E109" s="113">
        <f>SUMIFS('Federal Data'!O2:O501,'Federal Data'!$F2:$F501,"Sustainability and Self-Sufficiency",'Federal Data'!$D2:$D501,"Nongrant")</f>
        <v>36243830</v>
      </c>
      <c r="F109" s="113">
        <f>SUMIFS('Federal Data'!P2:P501,'Federal Data'!$F2:$F501,"Sustainability and Self-Sufficiency",'Federal Data'!$D2:$D501,"Nongrant")</f>
        <v>38637104</v>
      </c>
      <c r="G109" s="113">
        <f>SUMIFS('Federal Data'!Q2:Q501,'Federal Data'!$F2:$F501,"Sustainability and Self-Sufficiency",'Federal Data'!$D2:$D501,"Nongrant")</f>
        <v>27200363</v>
      </c>
      <c r="H109" s="113">
        <f>SUMIFS('Federal Data'!R2:R501,'Federal Data'!$F2:$F501,"Sustainability and Self-Sufficiency",'Federal Data'!$D2:$D501,"Nongrant")</f>
        <v>37539320</v>
      </c>
      <c r="I109" s="113">
        <f>SUMIFS('Federal Data'!S2:S501,'Federal Data'!$F2:$F501,"Sustainability and Self-Sufficiency",'Federal Data'!$D2:$D501,"Nongrant")</f>
        <v>43055724</v>
      </c>
      <c r="J109" s="113">
        <f>SUMIFS('Federal Data'!T2:T501,'Federal Data'!$F2:$F501,"Sustainability and Self-Sufficiency",'Federal Data'!$D2:$D501,"Nongrant")</f>
        <v>37411597</v>
      </c>
      <c r="K109" s="113">
        <f>SUMIFS('Federal Data'!U2:U501,'Federal Data'!$F2:$F501,"Sustainability and Self-Sufficiency",'Federal Data'!$D2:$D501,"Nongrant")</f>
        <v>27867076</v>
      </c>
      <c r="L109" s="113">
        <f>SUMIFS('Federal Data'!V2:V501,'Federal Data'!$F2:$F501,"Sustainability and Self-Sufficiency",'Federal Data'!$D2:$D501,"Nongrant")</f>
        <v>30452425</v>
      </c>
      <c r="M109" s="113">
        <f>SUMIFS('Federal Data'!W2:W501,'Federal Data'!$F2:$F501,"Sustainability and Self-Sufficiency",'Federal Data'!$D2:$D501,"Nongrant")</f>
        <v>26834035</v>
      </c>
      <c r="N109" s="113">
        <f>SUMIFS('Federal Data'!X2:X501,'Federal Data'!$F2:$F501,"Sustainability and Self-Sufficiency",'Federal Data'!$D2:$D501,"Nongrant")</f>
        <v>30433451</v>
      </c>
      <c r="O109" s="113">
        <f>SUMIFS('Federal Data'!Y2:Y501,'Federal Data'!$F2:$F501,"Sustainability and Self-Sufficiency",'Federal Data'!$D2:$D501,"Nongrant")</f>
        <v>34172039</v>
      </c>
      <c r="P109" s="113">
        <f>SUMIFS('Federal Data'!Z2:Z501,'Federal Data'!$F2:$F501,"Sustainability and Self-Sufficiency",'Federal Data'!$D2:$D501,"Nongrant")</f>
        <v>39583301</v>
      </c>
      <c r="Q109" s="113">
        <f>SUMIFS('Federal Data'!AA2:AA501,'Federal Data'!$F2:$F501,"Sustainability and Self-Sufficiency",'Federal Data'!$D2:$D501,"Nongrant")</f>
        <v>36195828</v>
      </c>
      <c r="R109" s="113">
        <f>SUMIFS('Federal Data'!AB2:AB501,'Federal Data'!$F2:$F501,"Sustainability and Self-Sufficiency",'Federal Data'!$D2:$D501,"Nongrant")</f>
        <v>31501000</v>
      </c>
      <c r="S109" s="113">
        <f>SUMIFS('Federal Data'!AC2:AC501,'Federal Data'!$F2:$F501,"Sustainability and Self-Sufficiency",'Federal Data'!$D2:$D501,"Nongrant")</f>
        <v>28561000</v>
      </c>
      <c r="T109" s="113">
        <f>SUMIFS('Federal Data'!AD2:AD501,'Federal Data'!$F2:$F501,"Sustainability and Self-Sufficiency",'Federal Data'!$D2:$D501,"Nongrant")</f>
        <v>26600000</v>
      </c>
      <c r="U109" s="113">
        <f>SUMIFS('Federal Data'!AE2:AE501,'Federal Data'!$F2:$F501,"Sustainability and Self-Sufficiency",'Federal Data'!$D2:$D501,"Nongrant")</f>
        <v>30856000</v>
      </c>
      <c r="V109" s="113">
        <f>SUMIFS('Federal Data'!AF2:AF501,'Federal Data'!$F2:$F501,"Sustainability and Self-Sufficiency",'Federal Data'!$D2:$D501,"Nongrant")</f>
        <v>42577000</v>
      </c>
      <c r="W109" s="113">
        <f>SUMIFS('Federal Data'!AG2:AG501,'Federal Data'!$F2:$F501,"Sustainability and Self-Sufficiency",'Federal Data'!$D2:$D501,"Nongrant")</f>
        <v>54977000</v>
      </c>
      <c r="X109" s="113">
        <f>SUMIFS('Federal Data'!AH2:AH501,'Federal Data'!$F2:$F501,"Sustainability and Self-Sufficiency",'Federal Data'!$D2:$D501,"Nongrant")</f>
        <v>45644000</v>
      </c>
      <c r="Y109" s="113">
        <f>SUMIFS('Federal Data'!AI2:AI501,'Federal Data'!$F2:$F501,"Sustainability and Self-Sufficiency",'Federal Data'!$D2:$D501,"Nongrant")</f>
        <v>45500000</v>
      </c>
      <c r="Z109" s="113">
        <f>SUMIFS('Federal Data'!AJ2:AJ501,'Federal Data'!$F2:$F501,"Sustainability and Self-Sufficiency",'Federal Data'!$D2:$D501,"Nongrant")</f>
        <v>44454000</v>
      </c>
      <c r="AA109" s="113">
        <f>SUMIFS('Federal Data'!AK2:AK501,'Federal Data'!$F2:$F501,"Sustainability and Self-Sufficiency",'Federal Data'!$D2:$D501,"Nongrant")</f>
        <v>38365000</v>
      </c>
      <c r="AB109" s="113">
        <f>SUMIFS('Federal Data'!AL2:AL501,'Federal Data'!$F2:$F501,"Sustainability and Self-Sufficiency",'Federal Data'!$D2:$D501,"Nongrant")</f>
        <v>47551000</v>
      </c>
      <c r="AC109" s="113">
        <f>SUMIFS('Federal Data'!AM2:AM501,'Federal Data'!$F2:$F501,"Sustainability and Self-Sufficiency",'Federal Data'!$D2:$D501,"Nongrant")</f>
        <v>52295000</v>
      </c>
      <c r="AD109" s="113">
        <f>SUMIFS('Federal Data'!AN2:AN501,'Federal Data'!$F2:$F501,"Sustainability and Self-Sufficiency",'Federal Data'!$D2:$D501,"Nongrant")</f>
        <v>41000000</v>
      </c>
      <c r="AE109" s="113">
        <f>SUMIFS('Federal Data'!AO2:AO501,'Federal Data'!$F2:$F501,"Sustainability and Self-Sufficiency",'Federal Data'!$D2:$D501,"Nongrant")</f>
        <v>43553000</v>
      </c>
      <c r="AF109" s="113">
        <f>SUMIFS('Federal Data'!AP2:AP501,'Federal Data'!$F2:$F501,"Sustainability and Self-Sufficiency",'Federal Data'!$D2:$D501,"Nongrant")</f>
        <v>57152000</v>
      </c>
      <c r="AG109" s="113">
        <f>SUMIFS('Federal Data'!AQ2:AQ501,'Federal Data'!$F2:$F501,"Sustainability and Self-Sufficiency",'Federal Data'!$D2:$D501,"Nongrant")</f>
        <v>64039000</v>
      </c>
      <c r="AH109" s="113">
        <f>SUMIFS('Federal Data'!AR2:AR501,'Federal Data'!$F2:$F501,"Sustainability and Self-Sufficiency",'Federal Data'!$D2:$D501,"Nongrant")</f>
        <v>63981000</v>
      </c>
      <c r="AI109" s="113">
        <f>SUMIFS('Federal Data'!AS2:AS501,'Federal Data'!$F2:$F501,"Sustainability and Self-Sufficiency",'Federal Data'!$D2:$D501,"Nongrant")</f>
        <v>61631000</v>
      </c>
      <c r="AJ109" s="113">
        <f>SUMIFS('Federal Data'!AT2:AT501,'Federal Data'!$F2:$F501,"Sustainability and Self-Sufficiency",'Federal Data'!$D2:$D501,"Nongrant")</f>
        <v>69952000</v>
      </c>
      <c r="AK109" s="113">
        <f>SUMIFS('Federal Data'!AU2:AU501,'Federal Data'!$F2:$F501,"Sustainability and Self-Sufficiency",'Federal Data'!$D2:$D501,"Nongrant")</f>
        <v>57673000</v>
      </c>
      <c r="AL109" s="113">
        <f>SUMIFS('Federal Data'!AV2:AV501,'Federal Data'!$F2:$F501,"Sustainability and Self-Sufficiency",'Federal Data'!$D2:$D501,"Nongrant")</f>
        <v>53053000</v>
      </c>
    </row>
    <row r="110" spans="1:41" outlineLevel="3">
      <c r="A110" s="22" t="str">
        <f>B109</f>
        <v>Sustainability and Self-Sufficiency</v>
      </c>
      <c r="B110" s="29" t="s">
        <v>297</v>
      </c>
      <c r="C110" s="113">
        <f>SUMIFS('Federal Data'!M2:M501,'Federal Data'!$G2:$G501,"Energy",'Federal Data'!$D2:$D501,"Nongrant")</f>
        <v>9815301</v>
      </c>
      <c r="D110" s="113">
        <f>SUMIFS('Federal Data'!N2:N501,'Federal Data'!$G2:$G501,"Energy",'Federal Data'!$D2:$D501,"Nongrant")</f>
        <v>14710647</v>
      </c>
      <c r="E110" s="113">
        <f>SUMIFS('Federal Data'!O2:O501,'Federal Data'!$G2:$G501,"Energy",'Federal Data'!$D2:$D501,"Nongrant")</f>
        <v>13209335</v>
      </c>
      <c r="F110" s="113">
        <f>SUMIFS('Federal Data'!P2:P501,'Federal Data'!$G2:$G501,"Energy",'Federal Data'!$D2:$D501,"Nongrant")</f>
        <v>9031019</v>
      </c>
      <c r="G110" s="113">
        <f>SUMIFS('Federal Data'!Q2:Q501,'Federal Data'!$G2:$G501,"Energy",'Federal Data'!$D2:$D501,"Nongrant")</f>
        <v>6705508</v>
      </c>
      <c r="H110" s="113">
        <f>SUMIFS('Federal Data'!R2:R501,'Federal Data'!$G2:$G501,"Energy",'Federal Data'!$D2:$D501,"Nongrant")</f>
        <v>5219980</v>
      </c>
      <c r="I110" s="113">
        <f>SUMIFS('Federal Data'!S2:S501,'Federal Data'!$G2:$G501,"Energy",'Federal Data'!$D2:$D501,"Nongrant")</f>
        <v>4273601</v>
      </c>
      <c r="J110" s="113">
        <f>SUMIFS('Federal Data'!T2:T501,'Federal Data'!$G2:$G501,"Energy",'Federal Data'!$D2:$D501,"Nongrant")</f>
        <v>3729181</v>
      </c>
      <c r="K110" s="113">
        <f>SUMIFS('Federal Data'!U2:U501,'Federal Data'!$G2:$G501,"Energy",'Federal Data'!$D2:$D501,"Nongrant")</f>
        <v>1936031</v>
      </c>
      <c r="L110" s="113">
        <f>SUMIFS('Federal Data'!V2:V501,'Federal Data'!$G2:$G501,"Energy",'Federal Data'!$D2:$D501,"Nongrant")</f>
        <v>2379775</v>
      </c>
      <c r="M110" s="113">
        <f>SUMIFS('Federal Data'!W2:W501,'Federal Data'!$G2:$G501,"Energy",'Federal Data'!$D2:$D501,"Nongrant")</f>
        <v>2977794</v>
      </c>
      <c r="N110" s="113">
        <f>SUMIFS('Federal Data'!X2:X501,'Federal Data'!$G2:$G501,"Energy",'Federal Data'!$D2:$D501,"Nongrant")</f>
        <v>2085801</v>
      </c>
      <c r="O110" s="113">
        <f>SUMIFS('Federal Data'!Y2:Y501,'Federal Data'!$G2:$G501,"Energy",'Federal Data'!$D2:$D501,"Nongrant")</f>
        <v>4146112</v>
      </c>
      <c r="P110" s="113">
        <f>SUMIFS('Federal Data'!Z2:Z501,'Federal Data'!$G2:$G501,"Energy",'Federal Data'!$D2:$D501,"Nongrant")</f>
        <v>4002648</v>
      </c>
      <c r="Q110" s="113">
        <f>SUMIFS('Federal Data'!AA2:AA501,'Federal Data'!$G2:$G501,"Energy",'Federal Data'!$D2:$D501,"Nongrant")</f>
        <v>4921531</v>
      </c>
      <c r="R110" s="113">
        <f>SUMIFS('Federal Data'!AB2:AB501,'Federal Data'!$G2:$G501,"Energy",'Federal Data'!$D2:$D501,"Nongrant")</f>
        <v>4654000</v>
      </c>
      <c r="S110" s="113">
        <f>SUMIFS('Federal Data'!AC2:AC501,'Federal Data'!$G2:$G501,"Energy",'Federal Data'!$D2:$D501,"Nongrant")</f>
        <v>2465000</v>
      </c>
      <c r="T110" s="113">
        <f>SUMIFS('Federal Data'!AD2:AD501,'Federal Data'!$G2:$G501,"Energy",'Federal Data'!$D2:$D501,"Nongrant")</f>
        <v>1147000</v>
      </c>
      <c r="U110" s="113">
        <f>SUMIFS('Federal Data'!AE2:AE501,'Federal Data'!$G2:$G501,"Energy",'Federal Data'!$D2:$D501,"Nongrant")</f>
        <v>931000</v>
      </c>
      <c r="V110" s="113">
        <f>SUMIFS('Federal Data'!AF2:AF501,'Federal Data'!$G2:$G501,"Energy",'Federal Data'!$D2:$D501,"Nongrant")</f>
        <v>500000</v>
      </c>
      <c r="W110" s="113">
        <f>SUMIFS('Federal Data'!AG2:AG501,'Federal Data'!$G2:$G501,"Energy",'Federal Data'!$D2:$D501,"Nongrant")</f>
        <v>-1154000</v>
      </c>
      <c r="X110" s="113">
        <f>SUMIFS('Federal Data'!AH2:AH501,'Federal Data'!$G2:$G501,"Energy",'Federal Data'!$D2:$D501,"Nongrant")</f>
        <v>-475000</v>
      </c>
      <c r="Y110" s="113">
        <f>SUMIFS('Federal Data'!AI2:AI501,'Federal Data'!$G2:$G501,"Energy",'Federal Data'!$D2:$D501,"Nongrant")</f>
        <v>-50000</v>
      </c>
      <c r="Z110" s="113">
        <f>SUMIFS('Federal Data'!AJ2:AJ501,'Federal Data'!$G2:$G501,"Energy",'Federal Data'!$D2:$D501,"Nongrant")</f>
        <v>-1312000</v>
      </c>
      <c r="AA110" s="113">
        <f>SUMIFS('Federal Data'!AK2:AK501,'Federal Data'!$G2:$G501,"Energy",'Federal Data'!$D2:$D501,"Nongrant")</f>
        <v>-755000</v>
      </c>
      <c r="AB110" s="113">
        <f>SUMIFS('Federal Data'!AL2:AL501,'Federal Data'!$G2:$G501,"Energy",'Federal Data'!$D2:$D501,"Nongrant")</f>
        <v>-196000</v>
      </c>
      <c r="AC110" s="113">
        <f>SUMIFS('Federal Data'!AM2:AM501,'Federal Data'!$G2:$G501,"Energy",'Federal Data'!$D2:$D501,"Nongrant")</f>
        <v>134000</v>
      </c>
      <c r="AD110" s="113">
        <f>SUMIFS('Federal Data'!AN2:AN501,'Federal Data'!$G2:$G501,"Energy",'Federal Data'!$D2:$D501,"Nongrant")</f>
        <v>-1519000</v>
      </c>
      <c r="AE110" s="113">
        <f>SUMIFS('Federal Data'!AO2:AO501,'Federal Data'!$G2:$G501,"Energy",'Federal Data'!$D2:$D501,"Nongrant")</f>
        <v>107000</v>
      </c>
      <c r="AF110" s="113">
        <f>SUMIFS('Federal Data'!AP2:AP501,'Federal Data'!$G2:$G501,"Energy",'Federal Data'!$D2:$D501,"Nongrant")</f>
        <v>3756000</v>
      </c>
      <c r="AG110" s="113">
        <f>SUMIFS('Federal Data'!AQ2:AQ501,'Federal Data'!$G2:$G501,"Energy",'Federal Data'!$D2:$D501,"Nongrant")</f>
        <v>8962000</v>
      </c>
      <c r="AH110" s="113">
        <f>SUMIFS('Federal Data'!AR2:AR501,'Federal Data'!$G2:$G501,"Energy",'Federal Data'!$D2:$D501,"Nongrant")</f>
        <v>7046000</v>
      </c>
      <c r="AI110" s="113">
        <f>SUMIFS('Federal Data'!AS2:AS501,'Federal Data'!$G2:$G501,"Energy",'Federal Data'!$D2:$D501,"Nongrant")</f>
        <v>10635000</v>
      </c>
      <c r="AJ110" s="113">
        <f>SUMIFS('Federal Data'!AT2:AT501,'Federal Data'!$G2:$G501,"Energy",'Federal Data'!$D2:$D501,"Nongrant")</f>
        <v>10106000</v>
      </c>
      <c r="AK110" s="113">
        <f>SUMIFS('Federal Data'!AU2:AU501,'Federal Data'!$G2:$G501,"Energy",'Federal Data'!$D2:$D501,"Nongrant")</f>
        <v>4511000</v>
      </c>
      <c r="AL110" s="113">
        <f>SUMIFS('Federal Data'!AV2:AV501,'Federal Data'!$G2:$G501,"Energy",'Federal Data'!$D2:$D501,"Nongrant")</f>
        <v>6261000</v>
      </c>
    </row>
    <row r="111" spans="1:41" outlineLevel="3">
      <c r="A111" s="22" t="str">
        <f>B109</f>
        <v>Sustainability and Self-Sufficiency</v>
      </c>
      <c r="B111" s="29" t="s">
        <v>51</v>
      </c>
      <c r="C111" s="113">
        <f>SUMIFS('Federal Data'!M2:M501,'Federal Data'!$G2:$G501,"Environment and Natural Resources",'Federal Data'!$D2:$D501,"Nongrant")</f>
        <v>8514902</v>
      </c>
      <c r="D111" s="113">
        <f>SUMIFS('Federal Data'!N2:N501,'Federal Data'!$G2:$G501,"Environment and Natural Resources",'Federal Data'!$D2:$D501,"Nongrant")</f>
        <v>8661681</v>
      </c>
      <c r="E111" s="113">
        <f>SUMIFS('Federal Data'!O2:O501,'Federal Data'!$G2:$G501,"Environment and Natural Resources",'Federal Data'!$D2:$D501,"Nongrant")</f>
        <v>8153892</v>
      </c>
      <c r="F111" s="113">
        <f>SUMIFS('Federal Data'!P2:P501,'Federal Data'!$G2:$G501,"Environment and Natural Resources",'Federal Data'!$D2:$D501,"Nongrant")</f>
        <v>8614662</v>
      </c>
      <c r="G111" s="113">
        <f>SUMIFS('Federal Data'!Q2:Q501,'Federal Data'!$G2:$G501,"Environment and Natural Resources",'Federal Data'!$D2:$D501,"Nongrant")</f>
        <v>8800674</v>
      </c>
      <c r="H111" s="113">
        <f>SUMIFS('Federal Data'!R2:R501,'Federal Data'!$G2:$G501,"Environment and Natural Resources",'Federal Data'!$D2:$D501,"Nongrant")</f>
        <v>9263122</v>
      </c>
      <c r="I111" s="113">
        <f>SUMIFS('Federal Data'!S2:S501,'Federal Data'!$G2:$G501,"Environment and Natural Resources",'Federal Data'!$D2:$D501,"Nongrant")</f>
        <v>9345325</v>
      </c>
      <c r="J111" s="113">
        <f>SUMIFS('Federal Data'!T2:T501,'Federal Data'!$G2:$G501,"Environment and Natural Resources",'Federal Data'!$D2:$D501,"Nongrant")</f>
        <v>9262032</v>
      </c>
      <c r="K111" s="113">
        <f>SUMIFS('Federal Data'!U2:U501,'Federal Data'!$G2:$G501,"Environment and Natural Resources",'Federal Data'!$D2:$D501,"Nongrant")</f>
        <v>10863132</v>
      </c>
      <c r="L111" s="113">
        <f>SUMIFS('Federal Data'!V2:V501,'Federal Data'!$G2:$G501,"Environment and Natural Resources",'Federal Data'!$D2:$D501,"Nongrant")</f>
        <v>12572700</v>
      </c>
      <c r="M111" s="113">
        <f>SUMIFS('Federal Data'!W2:W501,'Federal Data'!$G2:$G501,"Environment and Natural Resources",'Federal Data'!$D2:$D501,"Nongrant")</f>
        <v>13336949</v>
      </c>
      <c r="N111" s="113">
        <f>SUMIFS('Federal Data'!X2:X501,'Federal Data'!$G2:$G501,"Environment and Natural Resources",'Federal Data'!$D2:$D501,"Nongrant")</f>
        <v>14513410</v>
      </c>
      <c r="O111" s="113">
        <f>SUMIFS('Federal Data'!Y2:Y501,'Federal Data'!$G2:$G501,"Environment and Natural Resources",'Federal Data'!$D2:$D501,"Nongrant")</f>
        <v>16080864</v>
      </c>
      <c r="P111" s="113">
        <f>SUMIFS('Federal Data'!Z2:Z501,'Federal Data'!$G2:$G501,"Environment and Natural Resources",'Federal Data'!$D2:$D501,"Nongrant")</f>
        <v>16453007</v>
      </c>
      <c r="Q111" s="113">
        <f>SUMIFS('Federal Data'!AA2:AA501,'Federal Data'!$G2:$G501,"Environment and Natural Resources",'Federal Data'!$D2:$D501,"Nongrant")</f>
        <v>17296943</v>
      </c>
      <c r="R111" s="113">
        <f>SUMIFS('Federal Data'!AB2:AB501,'Federal Data'!$G2:$G501,"Environment and Natural Resources",'Federal Data'!$D2:$D501,"Nongrant")</f>
        <v>17956000</v>
      </c>
      <c r="S111" s="113">
        <f>SUMIFS('Federal Data'!AC2:AC501,'Federal Data'!$G2:$G501,"Environment and Natural Resources",'Federal Data'!$D2:$D501,"Nongrant")</f>
        <v>17693000</v>
      </c>
      <c r="T111" s="113">
        <f>SUMIFS('Federal Data'!AD2:AD501,'Federal Data'!$G2:$G501,"Environment and Natural Resources",'Federal Data'!$D2:$D501,"Nongrant")</f>
        <v>15422000</v>
      </c>
      <c r="U111" s="113">
        <f>SUMIFS('Federal Data'!AE2:AE501,'Federal Data'!$G2:$G501,"Environment and Natural Resources",'Federal Data'!$D2:$D501,"Nongrant")</f>
        <v>16626000</v>
      </c>
      <c r="V111" s="113">
        <f>SUMIFS('Federal Data'!AF2:AF501,'Federal Data'!$G2:$G501,"Environment and Natural Resources",'Federal Data'!$D2:$D501,"Nongrant")</f>
        <v>18101000</v>
      </c>
      <c r="W111" s="113">
        <f>SUMIFS('Federal Data'!AG2:AG501,'Federal Data'!$G2:$G501,"Environment and Natural Resources",'Federal Data'!$D2:$D501,"Nongrant")</f>
        <v>18623000</v>
      </c>
      <c r="X111" s="113">
        <f>SUMIFS('Federal Data'!AH2:AH501,'Federal Data'!$G2:$G501,"Environment and Natural Resources",'Federal Data'!$D2:$D501,"Nongrant")</f>
        <v>18676000</v>
      </c>
      <c r="Y111" s="113">
        <f>SUMIFS('Federal Data'!AI2:AI501,'Federal Data'!$G2:$G501,"Environment and Natural Resources",'Federal Data'!$D2:$D501,"Nongrant")</f>
        <v>22262000</v>
      </c>
      <c r="Z111" s="113">
        <f>SUMIFS('Federal Data'!AJ2:AJ501,'Federal Data'!$G2:$G501,"Environment and Natural Resources",'Federal Data'!$D2:$D501,"Nongrant")</f>
        <v>22096000</v>
      </c>
      <c r="AA111" s="113">
        <f>SUMIFS('Federal Data'!AK2:AK501,'Federal Data'!$G2:$G501,"Environment and Natural Resources",'Federal Data'!$D2:$D501,"Nongrant")</f>
        <v>22777000</v>
      </c>
      <c r="AB111" s="113">
        <f>SUMIFS('Federal Data'!AL2:AL501,'Federal Data'!$G2:$G501,"Environment and Natural Resources",'Federal Data'!$D2:$D501,"Nongrant")</f>
        <v>20264000</v>
      </c>
      <c r="AC111" s="113">
        <f>SUMIFS('Federal Data'!AM2:AM501,'Federal Data'!$G2:$G501,"Environment and Natural Resources",'Federal Data'!$D2:$D501,"Nongrant")</f>
        <v>25033000</v>
      </c>
      <c r="AD111" s="113">
        <f>SUMIFS('Federal Data'!AN2:AN501,'Federal Data'!$G2:$G501,"Environment and Natural Resources",'Federal Data'!$D2:$D501,"Nongrant")</f>
        <v>23682000</v>
      </c>
      <c r="AE111" s="113">
        <f>SUMIFS('Federal Data'!AO2:AO501,'Federal Data'!$G2:$G501,"Environment and Natural Resources",'Federal Data'!$D2:$D501,"Nongrant")</f>
        <v>23916000</v>
      </c>
      <c r="AF111" s="113">
        <f>SUMIFS('Federal Data'!AP2:AP501,'Federal Data'!$G2:$G501,"Environment and Natural Resources",'Federal Data'!$D2:$D501,"Nongrant")</f>
        <v>30170000</v>
      </c>
      <c r="AG111" s="113">
        <f>SUMIFS('Federal Data'!AQ2:AQ501,'Federal Data'!$G2:$G501,"Environment and Natural Resources",'Federal Data'!$D2:$D501,"Nongrant")</f>
        <v>32705000</v>
      </c>
      <c r="AH111" s="113">
        <f>SUMIFS('Federal Data'!AR2:AR501,'Federal Data'!$G2:$G501,"Environment and Natural Resources",'Federal Data'!$D2:$D501,"Nongrant")</f>
        <v>35292000</v>
      </c>
      <c r="AI111" s="113">
        <f>SUMIFS('Federal Data'!AS2:AS501,'Federal Data'!$G2:$G501,"Environment and Natural Resources",'Federal Data'!$D2:$D501,"Nongrant")</f>
        <v>31915000</v>
      </c>
      <c r="AJ111" s="113">
        <f>SUMIFS('Federal Data'!AT2:AT501,'Federal Data'!$G2:$G501,"Environment and Natural Resources",'Federal Data'!$D2:$D501,"Nongrant")</f>
        <v>28906000</v>
      </c>
      <c r="AK111" s="113">
        <f>SUMIFS('Federal Data'!AU2:AU501,'Federal Data'!$G2:$G501,"Environment and Natural Resources",'Federal Data'!$D2:$D501,"Nongrant")</f>
        <v>27741000</v>
      </c>
      <c r="AL111" s="113">
        <f>SUMIFS('Federal Data'!AV2:AV501,'Federal Data'!$G2:$G501,"Environment and Natural Resources",'Federal Data'!$D2:$D501,"Nongrant")</f>
        <v>27269000</v>
      </c>
    </row>
    <row r="112" spans="1:41" outlineLevel="3">
      <c r="A112" s="22" t="str">
        <f>B109</f>
        <v>Sustainability and Self-Sufficiency</v>
      </c>
      <c r="B112" s="29" t="s">
        <v>50</v>
      </c>
      <c r="C112" s="113">
        <f>SUMIFS('Federal Data'!M2:M501,'Federal Data'!$G2:$G501,"Agriculture",'Federal Data'!$D2:$D501,"Nongrant")</f>
        <v>8204562</v>
      </c>
      <c r="D112" s="113">
        <f>SUMIFS('Federal Data'!N2:N501,'Federal Data'!$G2:$G501,"Agriculture",'Federal Data'!$D2:$D501,"Nongrant")</f>
        <v>10411434</v>
      </c>
      <c r="E112" s="113">
        <f>SUMIFS('Federal Data'!O2:O501,'Federal Data'!$G2:$G501,"Agriculture",'Federal Data'!$D2:$D501,"Nongrant")</f>
        <v>14880603</v>
      </c>
      <c r="F112" s="113">
        <f>SUMIFS('Federal Data'!P2:P501,'Federal Data'!$G2:$G501,"Agriculture",'Federal Data'!$D2:$D501,"Nongrant")</f>
        <v>20991423</v>
      </c>
      <c r="G112" s="113">
        <f>SUMIFS('Federal Data'!Q2:Q501,'Federal Data'!$G2:$G501,"Agriculture",'Federal Data'!$D2:$D501,"Nongrant")</f>
        <v>11694181</v>
      </c>
      <c r="H112" s="113">
        <f>SUMIFS('Federal Data'!R2:R501,'Federal Data'!$G2:$G501,"Agriculture",'Federal Data'!$D2:$D501,"Nongrant")</f>
        <v>23056218</v>
      </c>
      <c r="I112" s="113">
        <f>SUMIFS('Federal Data'!S2:S501,'Federal Data'!$G2:$G501,"Agriculture",'Federal Data'!$D2:$D501,"Nongrant")</f>
        <v>29436798</v>
      </c>
      <c r="J112" s="113">
        <f>SUMIFS('Federal Data'!T2:T501,'Federal Data'!$G2:$G501,"Agriculture",'Federal Data'!$D2:$D501,"Nongrant")</f>
        <v>24420384</v>
      </c>
      <c r="K112" s="113">
        <f>SUMIFS('Federal Data'!U2:U501,'Federal Data'!$G2:$G501,"Agriculture",'Federal Data'!$D2:$D501,"Nongrant")</f>
        <v>15067913</v>
      </c>
      <c r="L112" s="113">
        <f>SUMIFS('Federal Data'!V2:V501,'Federal Data'!$G2:$G501,"Agriculture",'Federal Data'!$D2:$D501,"Nongrant")</f>
        <v>15499950</v>
      </c>
      <c r="M112" s="113">
        <f>SUMIFS('Federal Data'!W2:W501,'Federal Data'!$G2:$G501,"Agriculture",'Federal Data'!$D2:$D501,"Nongrant")</f>
        <v>10519292</v>
      </c>
      <c r="N112" s="113">
        <f>SUMIFS('Federal Data'!X2:X501,'Federal Data'!$G2:$G501,"Agriculture",'Federal Data'!$D2:$D501,"Nongrant")</f>
        <v>13834240</v>
      </c>
      <c r="O112" s="113">
        <f>SUMIFS('Federal Data'!Y2:Y501,'Federal Data'!$G2:$G501,"Agriculture",'Federal Data'!$D2:$D501,"Nongrant")</f>
        <v>13945063</v>
      </c>
      <c r="P112" s="113">
        <f>SUMIFS('Federal Data'!Z2:Z501,'Federal Data'!$G2:$G501,"Agriculture",'Federal Data'!$D2:$D501,"Nongrant")</f>
        <v>19127646</v>
      </c>
      <c r="Q112" s="113">
        <f>SUMIFS('Federal Data'!AA2:AA501,'Federal Data'!$G2:$G501,"Agriculture",'Federal Data'!$D2:$D501,"Nongrant")</f>
        <v>13977354</v>
      </c>
      <c r="R112" s="113">
        <f>SUMIFS('Federal Data'!AB2:AB501,'Federal Data'!$G2:$G501,"Agriculture",'Federal Data'!$D2:$D501,"Nongrant")</f>
        <v>8891000</v>
      </c>
      <c r="S112" s="113">
        <f>SUMIFS('Federal Data'!AC2:AC501,'Federal Data'!$G2:$G501,"Agriculture",'Federal Data'!$D2:$D501,"Nongrant")</f>
        <v>8403000</v>
      </c>
      <c r="T112" s="113">
        <f>SUMIFS('Federal Data'!AD2:AD501,'Federal Data'!$G2:$G501,"Agriculture",'Federal Data'!$D2:$D501,"Nongrant")</f>
        <v>10031000</v>
      </c>
      <c r="U112" s="113">
        <f>SUMIFS('Federal Data'!AE2:AE501,'Federal Data'!$G2:$G501,"Agriculture",'Federal Data'!$D2:$D501,"Nongrant")</f>
        <v>13299000</v>
      </c>
      <c r="V112" s="113">
        <f>SUMIFS('Federal Data'!AF2:AF501,'Federal Data'!$G2:$G501,"Agriculture",'Federal Data'!$D2:$D501,"Nongrant")</f>
        <v>23976000</v>
      </c>
      <c r="W112" s="113">
        <f>SUMIFS('Federal Data'!AG2:AG501,'Federal Data'!$G2:$G501,"Agriculture",'Federal Data'!$D2:$D501,"Nongrant")</f>
        <v>37508000</v>
      </c>
      <c r="X112" s="113">
        <f>SUMIFS('Federal Data'!AH2:AH501,'Federal Data'!$G2:$G501,"Agriculture",'Federal Data'!$D2:$D501,"Nongrant")</f>
        <v>27443000</v>
      </c>
      <c r="Y112" s="113">
        <f>SUMIFS('Federal Data'!AI2:AI501,'Federal Data'!$G2:$G501,"Agriculture",'Federal Data'!$D2:$D501,"Nongrant")</f>
        <v>23288000</v>
      </c>
      <c r="Z112" s="113">
        <f>SUMIFS('Federal Data'!AJ2:AJ501,'Federal Data'!$G2:$G501,"Agriculture",'Federal Data'!$D2:$D501,"Nongrant")</f>
        <v>23670000</v>
      </c>
      <c r="AA112" s="113">
        <f>SUMIFS('Federal Data'!AK2:AK501,'Federal Data'!$G2:$G501,"Agriculture",'Federal Data'!$D2:$D501,"Nongrant")</f>
        <v>16343000</v>
      </c>
      <c r="AB112" s="113">
        <f>SUMIFS('Federal Data'!AL2:AL501,'Federal Data'!$G2:$G501,"Agriculture",'Federal Data'!$D2:$D501,"Nongrant")</f>
        <v>27483000</v>
      </c>
      <c r="AC112" s="113">
        <f>SUMIFS('Federal Data'!AM2:AM501,'Federal Data'!$G2:$G501,"Agriculture",'Federal Data'!$D2:$D501,"Nongrant")</f>
        <v>27128000</v>
      </c>
      <c r="AD112" s="113">
        <f>SUMIFS('Federal Data'!AN2:AN501,'Federal Data'!$G2:$G501,"Agriculture",'Federal Data'!$D2:$D501,"Nongrant")</f>
        <v>18837000</v>
      </c>
      <c r="AE112" s="113">
        <f>SUMIFS('Federal Data'!AO2:AO501,'Federal Data'!$G2:$G501,"Agriculture",'Federal Data'!$D2:$D501,"Nongrant")</f>
        <v>19530000</v>
      </c>
      <c r="AF112" s="113">
        <f>SUMIFS('Federal Data'!AP2:AP501,'Federal Data'!$G2:$G501,"Agriculture",'Federal Data'!$D2:$D501,"Nongrant")</f>
        <v>23226000</v>
      </c>
      <c r="AG112" s="113">
        <f>SUMIFS('Federal Data'!AQ2:AQ501,'Federal Data'!$G2:$G501,"Agriculture",'Federal Data'!$D2:$D501,"Nongrant")</f>
        <v>22372000</v>
      </c>
      <c r="AH112" s="113">
        <f>SUMIFS('Federal Data'!AR2:AR501,'Federal Data'!$G2:$G501,"Agriculture",'Federal Data'!$D2:$D501,"Nongrant")</f>
        <v>21643000</v>
      </c>
      <c r="AI112" s="113">
        <f>SUMIFS('Federal Data'!AS2:AS501,'Federal Data'!$G2:$G501,"Agriculture",'Federal Data'!$D2:$D501,"Nongrant")</f>
        <v>19081000</v>
      </c>
      <c r="AJ112" s="113">
        <f>SUMIFS('Federal Data'!AT2:AT501,'Federal Data'!$G2:$G501,"Agriculture",'Federal Data'!$D2:$D501,"Nongrant")</f>
        <v>30940000</v>
      </c>
      <c r="AK112" s="113">
        <f>SUMIFS('Federal Data'!AU2:AU501,'Federal Data'!$G2:$G501,"Agriculture",'Federal Data'!$D2:$D501,"Nongrant")</f>
        <v>25421000</v>
      </c>
      <c r="AL112" s="113">
        <f>SUMIFS('Federal Data'!AV2:AV501,'Federal Data'!$G2:$G501,"Agriculture",'Federal Data'!$D2:$D501,"Nongrant")</f>
        <v>19523000</v>
      </c>
    </row>
    <row r="113" spans="1:38" outlineLevel="2">
      <c r="A113" s="22" t="str">
        <f>B102</f>
        <v>Secure the Blessings of Liberty to Ourselves and Our Posterity</v>
      </c>
      <c r="B113" s="28" t="s">
        <v>157</v>
      </c>
      <c r="C113" s="113">
        <f>SUMIFS('Federal Data'!M2:M501,'Federal Data'!$F2:$F501,"Savings",'Federal Data'!$D2:$D501,"Nongrant")+SUMIFS('Federal Data'!M2:M501,'Federal Data'!$E2:$E501,"Obligations",'Federal Data'!$D2:$D501,"Nongrant")</f>
        <v>226940606</v>
      </c>
      <c r="D113" s="113">
        <f>SUMIFS('Federal Data'!N2:N501,'Federal Data'!$F2:$F501,"Savings",'Federal Data'!$D2:$D501,"Nongrant")+SUMIFS('Federal Data'!N2:N501,'Federal Data'!$E2:$E501,"Obligations",'Federal Data'!$D2:$D501,"Nongrant")</f>
        <v>274903878</v>
      </c>
      <c r="E113" s="113">
        <f>SUMIFS('Federal Data'!O2:O501,'Federal Data'!$F2:$F501,"Savings",'Federal Data'!$D2:$D501,"Nongrant")+SUMIFS('Federal Data'!O2:O501,'Federal Data'!$E2:$E501,"Obligations",'Federal Data'!$D2:$D501,"Nongrant")</f>
        <v>316584531</v>
      </c>
      <c r="F113" s="113">
        <f>SUMIFS('Federal Data'!P2:P501,'Federal Data'!$F2:$F501,"Savings",'Federal Data'!$D2:$D501,"Nongrant")+SUMIFS('Federal Data'!P2:P501,'Federal Data'!$E2:$E501,"Obligations",'Federal Data'!$D2:$D501,"Nongrant")</f>
        <v>340637984</v>
      </c>
      <c r="G113" s="113">
        <f>SUMIFS('Federal Data'!Q2:Q501,'Federal Data'!$F2:$F501,"Savings",'Federal Data'!$D2:$D501,"Nongrant")+SUMIFS('Federal Data'!Q2:Q501,'Federal Data'!$E2:$E501,"Obligations",'Federal Data'!$D2:$D501,"Nongrant")</f>
        <v>374020494</v>
      </c>
      <c r="H113" s="113">
        <f>SUMIFS('Federal Data'!R2:R501,'Federal Data'!$F2:$F501,"Savings",'Federal Data'!$D2:$D501,"Nongrant")+SUMIFS('Federal Data'!R2:R501,'Federal Data'!$E2:$E501,"Obligations",'Federal Data'!$D2:$D501,"Nongrant")</f>
        <v>409001841</v>
      </c>
      <c r="I113" s="113">
        <f>SUMIFS('Federal Data'!S2:S501,'Federal Data'!$F2:$F501,"Savings",'Federal Data'!$D2:$D501,"Nongrant")+SUMIFS('Federal Data'!S2:S501,'Federal Data'!$E2:$E501,"Obligations",'Federal Data'!$D2:$D501,"Nongrant")</f>
        <v>429190286</v>
      </c>
      <c r="J113" s="113">
        <f>SUMIFS('Federal Data'!T2:T501,'Federal Data'!$F2:$F501,"Savings",'Federal Data'!$D2:$D501,"Nongrant")+SUMIFS('Federal Data'!T2:T501,'Federal Data'!$E2:$E501,"Obligations",'Federal Data'!$D2:$D501,"Nongrant")</f>
        <v>446301665</v>
      </c>
      <c r="K113" s="113">
        <f>SUMIFS('Federal Data'!U2:U501,'Federal Data'!$F2:$F501,"Savings",'Federal Data'!$D2:$D501,"Nongrant")+SUMIFS('Federal Data'!U2:U501,'Federal Data'!$E2:$E501,"Obligations",'Federal Data'!$D2:$D501,"Nongrant")</f>
        <v>481353186</v>
      </c>
      <c r="L113" s="113">
        <f>SUMIFS('Federal Data'!V2:V501,'Federal Data'!$F2:$F501,"Savings",'Federal Data'!$D2:$D501,"Nongrant")+SUMIFS('Federal Data'!V2:V501,'Federal Data'!$E2:$E501,"Obligations",'Federal Data'!$D2:$D501,"Nongrant")</f>
        <v>519494492</v>
      </c>
      <c r="M113" s="113">
        <f>SUMIFS('Federal Data'!W2:W501,'Federal Data'!$F2:$F501,"Savings",'Federal Data'!$D2:$D501,"Nongrant")+SUMIFS('Federal Data'!W2:W501,'Federal Data'!$E2:$E501,"Obligations",'Federal Data'!$D2:$D501,"Nongrant")</f>
        <v>567392749</v>
      </c>
      <c r="N113" s="113">
        <f>SUMIFS('Federal Data'!X2:X501,'Federal Data'!$F2:$F501,"Savings",'Federal Data'!$D2:$D501,"Nongrant")+SUMIFS('Federal Data'!X2:X501,'Federal Data'!$E2:$E501,"Obligations",'Federal Data'!$D2:$D501,"Nongrant")</f>
        <v>608165239</v>
      </c>
      <c r="O113" s="113">
        <f>SUMIFS('Federal Data'!Y2:Y501,'Federal Data'!$F2:$F501,"Savings",'Federal Data'!$D2:$D501,"Nongrant")+SUMIFS('Federal Data'!Y2:Y501,'Federal Data'!$E2:$E501,"Obligations",'Federal Data'!$D2:$D501,"Nongrant")</f>
        <v>647684773</v>
      </c>
      <c r="P113" s="113">
        <f>SUMIFS('Federal Data'!Z2:Z501,'Federal Data'!$F2:$F501,"Savings",'Federal Data'!$D2:$D501,"Nongrant")+SUMIFS('Federal Data'!Z2:Z501,'Federal Data'!$E2:$E501,"Obligations",'Federal Data'!$D2:$D501,"Nongrant")</f>
        <v>676632394</v>
      </c>
      <c r="Q113" s="113">
        <f>SUMIFS('Federal Data'!AA2:AA501,'Federal Data'!$F2:$F501,"Savings",'Federal Data'!$D2:$D501,"Nongrant")+SUMIFS('Federal Data'!AA2:AA501,'Federal Data'!$E2:$E501,"Obligations",'Federal Data'!$D2:$D501,"Nongrant")</f>
        <v>712075283</v>
      </c>
      <c r="R113" s="113">
        <f>SUMIFS('Federal Data'!AB2:AB501,'Federal Data'!$F2:$F501,"Savings",'Federal Data'!$D2:$D501,"Nongrant")+SUMIFS('Federal Data'!AB2:AB501,'Federal Data'!$E2:$E501,"Obligations",'Federal Data'!$D2:$D501,"Nongrant")</f>
        <v>775778000</v>
      </c>
      <c r="S113" s="113">
        <f>SUMIFS('Federal Data'!AC2:AC501,'Federal Data'!$F2:$F501,"Savings",'Federal Data'!$D2:$D501,"Nongrant")+SUMIFS('Federal Data'!AC2:AC501,'Federal Data'!$E2:$E501,"Obligations",'Federal Data'!$D2:$D501,"Nongrant")</f>
        <v>812353000</v>
      </c>
      <c r="T113" s="113">
        <f>SUMIFS('Federal Data'!AD2:AD501,'Federal Data'!$F2:$F501,"Savings",'Federal Data'!$D2:$D501,"Nongrant")+SUMIFS('Federal Data'!AD2:AD501,'Federal Data'!$E2:$E501,"Obligations",'Federal Data'!$D2:$D501,"Nongrant")</f>
        <v>850691000</v>
      </c>
      <c r="U113" s="113">
        <f>SUMIFS('Federal Data'!AE2:AE501,'Federal Data'!$F2:$F501,"Savings",'Federal Data'!$D2:$D501,"Nongrant")+SUMIFS('Federal Data'!AE2:AE501,'Federal Data'!$E2:$E501,"Obligations",'Federal Data'!$D2:$D501,"Nongrant")</f>
        <v>870506000</v>
      </c>
      <c r="V113" s="113">
        <f>SUMIFS('Federal Data'!AF2:AF501,'Federal Data'!$F2:$F501,"Savings",'Federal Data'!$D2:$D501,"Nongrant")+SUMIFS('Federal Data'!AF2:AF501,'Federal Data'!$E2:$E501,"Obligations",'Federal Data'!$D2:$D501,"Nongrant")</f>
        <v>867955000</v>
      </c>
      <c r="W113" s="113">
        <f>SUMIFS('Federal Data'!AG2:AG501,'Federal Data'!$F2:$F501,"Savings",'Federal Data'!$D2:$D501,"Nongrant")+SUMIFS('Federal Data'!AG2:AG501,'Federal Data'!$E2:$E501,"Obligations",'Federal Data'!$D2:$D501,"Nongrant")</f>
        <v>886102000</v>
      </c>
      <c r="X113" s="113">
        <f>SUMIFS('Federal Data'!AH2:AH501,'Federal Data'!$F2:$F501,"Savings",'Federal Data'!$D2:$D501,"Nongrant")+SUMIFS('Federal Data'!AH2:AH501,'Federal Data'!$E2:$E501,"Obligations",'Federal Data'!$D2:$D501,"Nongrant")</f>
        <v>919096000</v>
      </c>
      <c r="Y113" s="113">
        <f>SUMIFS('Federal Data'!AI2:AI501,'Federal Data'!$F2:$F501,"Savings",'Federal Data'!$D2:$D501,"Nongrant")+SUMIFS('Federal Data'!AI2:AI501,'Federal Data'!$E2:$E501,"Obligations",'Federal Data'!$D2:$D501,"Nongrant")</f>
        <v>914825000</v>
      </c>
      <c r="Z113" s="113">
        <f>SUMIFS('Federal Data'!AJ2:AJ501,'Federal Data'!$F2:$F501,"Savings",'Federal Data'!$D2:$D501,"Nongrant")+SUMIFS('Federal Data'!AJ2:AJ501,'Federal Data'!$E2:$E501,"Obligations",'Federal Data'!$D2:$D501,"Nongrant")</f>
        <v>939189000</v>
      </c>
      <c r="AA113" s="113">
        <f>SUMIFS('Federal Data'!AK2:AK501,'Federal Data'!$F2:$F501,"Savings",'Federal Data'!$D2:$D501,"Nongrant")+SUMIFS('Federal Data'!AK2:AK501,'Federal Data'!$E2:$E501,"Obligations",'Federal Data'!$D2:$D501,"Nongrant")</f>
        <v>993541000</v>
      </c>
      <c r="AB113" s="113">
        <f>SUMIFS('Federal Data'!AL2:AL501,'Federal Data'!$F2:$F501,"Savings",'Federal Data'!$D2:$D501,"Nongrant")+SUMIFS('Federal Data'!AL2:AL501,'Federal Data'!$E2:$E501,"Obligations",'Federal Data'!$D2:$D501,"Nongrant")</f>
        <v>1072653000</v>
      </c>
      <c r="AC113" s="113">
        <f>SUMIFS('Federal Data'!AM2:AM501,'Federal Data'!$F2:$F501,"Savings",'Federal Data'!$D2:$D501,"Nongrant")+SUMIFS('Federal Data'!AM2:AM501,'Federal Data'!$E2:$E501,"Obligations",'Federal Data'!$D2:$D501,"Nongrant")</f>
        <v>1174545000</v>
      </c>
      <c r="AD113" s="113">
        <f>SUMIFS('Federal Data'!AN2:AN501,'Federal Data'!$F2:$F501,"Savings",'Federal Data'!$D2:$D501,"Nongrant")+SUMIFS('Federal Data'!AN2:AN501,'Federal Data'!$E2:$E501,"Obligations",'Federal Data'!$D2:$D501,"Nongrant")</f>
        <v>1266219000</v>
      </c>
      <c r="AE113" s="113">
        <f>SUMIFS('Federal Data'!AO2:AO501,'Federal Data'!$F2:$F501,"Savings",'Federal Data'!$D2:$D501,"Nongrant")+SUMIFS('Federal Data'!AO2:AO501,'Federal Data'!$E2:$E501,"Obligations",'Federal Data'!$D2:$D501,"Nongrant")</f>
        <v>1340344000</v>
      </c>
      <c r="AF113" s="113">
        <f>SUMIFS('Federal Data'!AP2:AP501,'Federal Data'!$F2:$F501,"Savings",'Federal Data'!$D2:$D501,"Nongrant")+SUMIFS('Federal Data'!AP2:AP501,'Federal Data'!$E2:$E501,"Obligations",'Federal Data'!$D2:$D501,"Nongrant")</f>
        <v>1489739000</v>
      </c>
      <c r="AG113" s="113">
        <f>SUMIFS('Federal Data'!AQ2:AQ501,'Federal Data'!$F2:$F501,"Savings",'Federal Data'!$D2:$D501,"Nongrant")+SUMIFS('Federal Data'!AQ2:AQ501,'Federal Data'!$E2:$E501,"Obligations",'Federal Data'!$D2:$D501,"Nongrant")</f>
        <v>1470234000</v>
      </c>
      <c r="AH113" s="113">
        <f>SUMIFS('Federal Data'!AR2:AR501,'Federal Data'!$F2:$F501,"Savings",'Federal Data'!$D2:$D501,"Nongrant")+SUMIFS('Federal Data'!AR2:AR501,'Federal Data'!$E2:$E501,"Obligations",'Federal Data'!$D2:$D501,"Nongrant")</f>
        <v>1547449000</v>
      </c>
      <c r="AI113" s="113">
        <f>SUMIFS('Federal Data'!AS2:AS501,'Federal Data'!$F2:$F501,"Savings",'Federal Data'!$D2:$D501,"Nongrant")+SUMIFS('Federal Data'!AS2:AS501,'Federal Data'!$E2:$E501,"Obligations",'Federal Data'!$D2:$D501,"Nongrant")</f>
        <v>1541480000</v>
      </c>
      <c r="AJ113" s="113">
        <f>SUMIFS('Federal Data'!AT2:AT501,'Federal Data'!$F2:$F501,"Savings",'Federal Data'!$D2:$D501,"Nongrant")+SUMIFS('Federal Data'!AT2:AT501,'Federal Data'!$E2:$E501,"Obligations",'Federal Data'!$D2:$D501,"Nongrant")</f>
        <v>1539341000</v>
      </c>
      <c r="AK113" s="113">
        <f>SUMIFS('Federal Data'!AU2:AU501,'Federal Data'!$F2:$F501,"Savings",'Federal Data'!$D2:$D501,"Nongrant")+SUMIFS('Federal Data'!AU2:AU501,'Federal Data'!$E2:$E501,"Obligations",'Federal Data'!$D2:$D501,"Nongrant")</f>
        <v>1611528000</v>
      </c>
      <c r="AL113" s="113">
        <f>SUMIFS('Federal Data'!AV2:AV501,'Federal Data'!$F2:$F501,"Savings",'Federal Data'!$D2:$D501,"Nongrant")+SUMIFS('Federal Data'!AV2:AV501,'Federal Data'!$E2:$E501,"Obligations",'Federal Data'!$D2:$D501,"Nongrant")</f>
        <v>1729795000</v>
      </c>
    </row>
    <row r="114" spans="1:38" outlineLevel="3">
      <c r="A114" s="22" t="str">
        <f>B113</f>
        <v>Wealth and Savings</v>
      </c>
      <c r="B114" s="29" t="s">
        <v>54</v>
      </c>
      <c r="C114" s="113">
        <f>SUMIFS('Federal Data'!M2:M501,'Federal Data'!$G2:$G501,"Social Security",'Federal Data'!$D2:$D501,"Nongrant")</f>
        <v>118546801</v>
      </c>
      <c r="D114" s="113">
        <f>SUMIFS('Federal Data'!N2:N501,'Federal Data'!$G2:$G501,"Social Security",'Federal Data'!$D2:$D501,"Nongrant")</f>
        <v>139584428</v>
      </c>
      <c r="E114" s="113">
        <f>SUMIFS('Federal Data'!O2:O501,'Federal Data'!$G2:$G501,"Social Security",'Federal Data'!$D2:$D501,"Nongrant")</f>
        <v>155963940</v>
      </c>
      <c r="F114" s="113">
        <f>SUMIFS('Federal Data'!P2:P501,'Federal Data'!$G2:$G501,"Social Security",'Federal Data'!$D2:$D501,"Nongrant")</f>
        <v>170723539</v>
      </c>
      <c r="G114" s="113">
        <f>SUMIFS('Federal Data'!Q2:Q501,'Federal Data'!$G2:$G501,"Social Security",'Federal Data'!$D2:$D501,"Nongrant")</f>
        <v>178222816</v>
      </c>
      <c r="H114" s="113">
        <f>SUMIFS('Federal Data'!R2:R501,'Federal Data'!$G2:$G501,"Social Security",'Federal Data'!$D2:$D501,"Nongrant")</f>
        <v>188623082</v>
      </c>
      <c r="I114" s="113">
        <f>SUMIFS('Federal Data'!S2:S501,'Federal Data'!$G2:$G501,"Social Security",'Federal Data'!$D2:$D501,"Nongrant")</f>
        <v>198756366</v>
      </c>
      <c r="J114" s="113">
        <f>SUMIFS('Federal Data'!T2:T501,'Federal Data'!$G2:$G501,"Social Security",'Federal Data'!$D2:$D501,"Nongrant")</f>
        <v>207351976</v>
      </c>
      <c r="K114" s="113">
        <f>SUMIFS('Federal Data'!U2:U501,'Federal Data'!$G2:$G501,"Social Security",'Federal Data'!$D2:$D501,"Nongrant")</f>
        <v>219340581</v>
      </c>
      <c r="L114" s="113">
        <f>SUMIFS('Federal Data'!V2:V501,'Federal Data'!$G2:$G501,"Social Security",'Federal Data'!$D2:$D501,"Nongrant")</f>
        <v>232542077</v>
      </c>
      <c r="M114" s="113">
        <f>SUMIFS('Federal Data'!W2:W501,'Federal Data'!$G2:$G501,"Social Security",'Federal Data'!$D2:$D501,"Nongrant")</f>
        <v>248622598</v>
      </c>
      <c r="N114" s="113">
        <f>SUMIFS('Federal Data'!X2:X501,'Federal Data'!$G2:$G501,"Social Security",'Federal Data'!$D2:$D501,"Nongrant")</f>
        <v>269014328</v>
      </c>
      <c r="O114" s="113">
        <f>SUMIFS('Federal Data'!Y2:Y501,'Federal Data'!$G2:$G501,"Social Security",'Federal Data'!$D2:$D501,"Nongrant")</f>
        <v>287584387</v>
      </c>
      <c r="P114" s="113">
        <f>SUMIFS('Federal Data'!Z2:Z501,'Federal Data'!$G2:$G501,"Social Security",'Federal Data'!$D2:$D501,"Nongrant")</f>
        <v>304584743</v>
      </c>
      <c r="Q114" s="113">
        <f>SUMIFS('Federal Data'!AA2:AA501,'Federal Data'!$G2:$G501,"Social Security",'Federal Data'!$D2:$D501,"Nongrant")</f>
        <v>319564709</v>
      </c>
      <c r="R114" s="113">
        <f>SUMIFS('Federal Data'!AB2:AB501,'Federal Data'!$G2:$G501,"Social Security",'Federal Data'!$D2:$D501,"Nongrant")</f>
        <v>335846000</v>
      </c>
      <c r="S114" s="113">
        <f>SUMIFS('Federal Data'!AC2:AC501,'Federal Data'!$G2:$G501,"Social Security",'Federal Data'!$D2:$D501,"Nongrant")</f>
        <v>349671000</v>
      </c>
      <c r="T114" s="113">
        <f>SUMIFS('Federal Data'!AD2:AD501,'Federal Data'!$G2:$G501,"Social Security",'Federal Data'!$D2:$D501,"Nongrant")</f>
        <v>365251000</v>
      </c>
      <c r="U114" s="113">
        <f>SUMIFS('Federal Data'!AE2:AE501,'Federal Data'!$G2:$G501,"Social Security",'Federal Data'!$D2:$D501,"Nongrant")</f>
        <v>379215000</v>
      </c>
      <c r="V114" s="113">
        <f>SUMIFS('Federal Data'!AF2:AF501,'Federal Data'!$G2:$G501,"Social Security",'Federal Data'!$D2:$D501,"Nongrant")</f>
        <v>390037000</v>
      </c>
      <c r="W114" s="113">
        <f>SUMIFS('Federal Data'!AG2:AG501,'Federal Data'!$G2:$G501,"Social Security",'Federal Data'!$D2:$D501,"Nongrant")</f>
        <v>409417000</v>
      </c>
      <c r="X114" s="113">
        <f>SUMIFS('Federal Data'!AH2:AH501,'Federal Data'!$G2:$G501,"Social Security",'Federal Data'!$D2:$D501,"Nongrant")</f>
        <v>432958000</v>
      </c>
      <c r="Y114" s="113">
        <f>SUMIFS('Federal Data'!AI2:AI501,'Federal Data'!$G2:$G501,"Social Security",'Federal Data'!$D2:$D501,"Nongrant")</f>
        <v>455979000</v>
      </c>
      <c r="Z114" s="113">
        <f>SUMIFS('Federal Data'!AJ2:AJ501,'Federal Data'!$G2:$G501,"Social Security",'Federal Data'!$D2:$D501,"Nongrant")</f>
        <v>474678000</v>
      </c>
      <c r="AA114" s="113">
        <f>SUMIFS('Federal Data'!AK2:AK501,'Federal Data'!$G2:$G501,"Social Security",'Federal Data'!$D2:$D501,"Nongrant")</f>
        <v>495541000</v>
      </c>
      <c r="AB114" s="113">
        <f>SUMIFS('Federal Data'!AL2:AL501,'Federal Data'!$G2:$G501,"Social Security",'Federal Data'!$D2:$D501,"Nongrant")</f>
        <v>523303000</v>
      </c>
      <c r="AC114" s="113">
        <f>SUMIFS('Federal Data'!AM2:AM501,'Federal Data'!$G2:$G501,"Social Security",'Federal Data'!$D2:$D501,"Nongrant")</f>
        <v>548540000</v>
      </c>
      <c r="AD114" s="113">
        <f>SUMIFS('Federal Data'!AN2:AN501,'Federal Data'!$G2:$G501,"Social Security",'Federal Data'!$D2:$D501,"Nongrant")</f>
        <v>586137000</v>
      </c>
      <c r="AE114" s="113">
        <f>SUMIFS('Federal Data'!AO2:AO501,'Federal Data'!$G2:$G501,"Social Security",'Federal Data'!$D2:$D501,"Nongrant")</f>
        <v>617004000</v>
      </c>
      <c r="AF114" s="113">
        <f>SUMIFS('Federal Data'!AP2:AP501,'Federal Data'!$G2:$G501,"Social Security",'Federal Data'!$D2:$D501,"Nongrant")</f>
        <v>682918000</v>
      </c>
      <c r="AG114" s="113">
        <f>SUMIFS('Federal Data'!AQ2:AQ501,'Federal Data'!$G2:$G501,"Social Security",'Federal Data'!$D2:$D501,"Nongrant")</f>
        <v>706709000</v>
      </c>
      <c r="AH114" s="113">
        <f>SUMIFS('Federal Data'!AR2:AR501,'Federal Data'!$G2:$G501,"Social Security",'Federal Data'!$D2:$D501,"Nongrant")</f>
        <v>730784000</v>
      </c>
      <c r="AI114" s="113">
        <f>SUMIFS('Federal Data'!AS2:AS501,'Federal Data'!$G2:$G501,"Social Security",'Federal Data'!$D2:$D501,"Nongrant")</f>
        <v>773261000</v>
      </c>
      <c r="AJ114" s="113">
        <f>SUMIFS('Federal Data'!AT2:AT501,'Federal Data'!$G2:$G501,"Social Security",'Federal Data'!$D2:$D501,"Nongrant")</f>
        <v>813529000</v>
      </c>
      <c r="AK114" s="113">
        <f>SUMIFS('Federal Data'!AU2:AU501,'Federal Data'!$G2:$G501,"Social Security",'Federal Data'!$D2:$D501,"Nongrant")</f>
        <v>850517000</v>
      </c>
      <c r="AL114" s="113">
        <f>SUMIFS('Federal Data'!AV2:AV501,'Federal Data'!$G2:$G501,"Social Security",'Federal Data'!$D2:$D501,"Nongrant")</f>
        <v>887738000</v>
      </c>
    </row>
    <row r="115" spans="1:38" outlineLevel="4">
      <c r="A115" s="22" t="str">
        <f>B114</f>
        <v>Social Security</v>
      </c>
      <c r="B115" s="31" t="s">
        <v>117</v>
      </c>
      <c r="C115" s="113">
        <f>SUMIFS('Federal Data'!M2:M501,'Federal Data'!$H2:$H501,"FOASI",'Federal Data'!$D2:$D501,"Nongrant")</f>
        <v>102669877</v>
      </c>
      <c r="D115" s="113">
        <f>SUMIFS('Federal Data'!N2:N501,'Federal Data'!$H2:$H501,"FOASI",'Federal Data'!$D2:$D501,"Nongrant")</f>
        <v>121764112</v>
      </c>
      <c r="E115" s="113">
        <f>SUMIFS('Federal Data'!O2:O501,'Federal Data'!$H2:$H501,"FOASI",'Federal Data'!$D2:$D501,"Nongrant")</f>
        <v>137253355</v>
      </c>
      <c r="F115" s="113">
        <f>SUMIFS('Federal Data'!P2:P501,'Federal Data'!$H2:$H501,"FOASI",'Federal Data'!$D2:$D501,"Nongrant")</f>
        <v>135209189</v>
      </c>
      <c r="G115" s="113">
        <f>SUMIFS('Federal Data'!Q2:Q501,'Federal Data'!$H2:$H501,"FOASI",'Federal Data'!$D2:$D501,"Nongrant")</f>
        <v>153323671</v>
      </c>
      <c r="H115" s="113">
        <f>SUMIFS('Federal Data'!R2:R501,'Federal Data'!$H2:$H501,"FOASI",'Federal Data'!$D2:$D501,"Nongrant")</f>
        <v>164252414</v>
      </c>
      <c r="I115" s="113">
        <f>SUMIFS('Federal Data'!S2:S501,'Federal Data'!$H2:$H501,"FOASI",'Federal Data'!$D2:$D501,"Nongrant")</f>
        <v>171556101</v>
      </c>
      <c r="J115" s="113">
        <f>SUMIFS('Federal Data'!T2:T501,'Federal Data'!$H2:$H501,"FOASI",'Federal Data'!$D2:$D501,"Nongrant")</f>
        <v>180676586</v>
      </c>
      <c r="K115" s="113">
        <f>SUMIFS('Federal Data'!U2:U501,'Federal Data'!$H2:$H501,"FOASI",'Federal Data'!$D2:$D501,"Nongrant")</f>
        <v>191559286</v>
      </c>
      <c r="L115" s="113">
        <f>SUMIFS('Federal Data'!V2:V501,'Federal Data'!$H2:$H501,"FOASI",'Federal Data'!$D2:$D501,"Nongrant")</f>
        <v>203332152</v>
      </c>
      <c r="M115" s="113">
        <f>SUMIFS('Federal Data'!W2:W501,'Federal Data'!$H2:$H501,"FOASI",'Federal Data'!$D2:$D501,"Nongrant")</f>
        <v>219087132</v>
      </c>
      <c r="N115" s="113">
        <f>SUMIFS('Federal Data'!X2:X501,'Federal Data'!$H2:$H501,"FOASI",'Federal Data'!$D2:$D501,"Nongrant")</f>
        <v>235403689</v>
      </c>
      <c r="O115" s="113">
        <f>SUMIFS('Federal Data'!Y2:Y501,'Federal Data'!$H2:$H501,"FOASI",'Federal Data'!$D2:$D501,"Nongrant")</f>
        <v>250339747</v>
      </c>
      <c r="P115" s="113">
        <f>SUMIFS('Federal Data'!Z2:Z501,'Federal Data'!$H2:$H501,"FOASI",'Federal Data'!$D2:$D501,"Nongrant")</f>
        <v>263988277</v>
      </c>
      <c r="Q115" s="113">
        <f>SUMIFS('Federal Data'!AA2:AA501,'Federal Data'!$H2:$H501,"FOASI",'Federal Data'!$D2:$D501,"Nongrant")</f>
        <v>276207426</v>
      </c>
      <c r="R115" s="113">
        <f>SUMIFS('Federal Data'!AB2:AB501,'Federal Data'!$H2:$H501,"FOASI",'Federal Data'!$D2:$D501,"Nongrant")</f>
        <v>289331000</v>
      </c>
      <c r="S115" s="113">
        <f>SUMIFS('Federal Data'!AC2:AC501,'Federal Data'!$H2:$H501,"FOASI",'Federal Data'!$D2:$D501,"Nongrant")</f>
        <v>299560000</v>
      </c>
      <c r="T115" s="113">
        <f>SUMIFS('Federal Data'!AD2:AD501,'Federal Data'!$H2:$H501,"FOASI",'Federal Data'!$D2:$D501,"Nongrant")</f>
        <v>312083000</v>
      </c>
      <c r="U115" s="113">
        <f>SUMIFS('Federal Data'!AE2:AE501,'Federal Data'!$H2:$H501,"FOASI",'Federal Data'!$D2:$D501,"Nongrant")</f>
        <v>321149000</v>
      </c>
      <c r="V115" s="113">
        <f>SUMIFS('Federal Data'!AF2:AF501,'Federal Data'!$H2:$H501,"FOASI",'Federal Data'!$D2:$D501,"Nongrant")</f>
        <v>327718000</v>
      </c>
      <c r="W115" s="113">
        <f>SUMIFS('Federal Data'!AG2:AG501,'Federal Data'!$H2:$H501,"FOASI",'Federal Data'!$D2:$D501,"Nongrant")</f>
        <v>340918000</v>
      </c>
      <c r="X115" s="113">
        <f>SUMIFS('Federal Data'!AH2:AH501,'Federal Data'!$H2:$H501,"FOASI",'Federal Data'!$D2:$D501,"Nongrant")</f>
        <v>361229000</v>
      </c>
      <c r="Y115" s="113">
        <f>SUMIFS('Federal Data'!AI2:AI501,'Federal Data'!$H2:$H501,"FOASI",'Federal Data'!$D2:$D501,"Nongrant")</f>
        <v>376540000</v>
      </c>
      <c r="Z115" s="113">
        <f>SUMIFS('Federal Data'!AJ2:AJ501,'Federal Data'!$H2:$H501,"FOASI",'Federal Data'!$D2:$D501,"Nongrant")</f>
        <v>390330000</v>
      </c>
      <c r="AA115" s="113">
        <f>SUMIFS('Federal Data'!AK2:AK501,'Federal Data'!$H2:$H501,"FOASI",'Federal Data'!$D2:$D501,"Nongrant")</f>
        <v>404005000</v>
      </c>
      <c r="AB115" s="113">
        <f>SUMIFS('Federal Data'!AL2:AL501,'Federal Data'!$H2:$H501,"FOASI",'Federal Data'!$D2:$D501,"Nongrant")</f>
        <v>421467000</v>
      </c>
      <c r="AC115" s="113">
        <f>SUMIFS('Federal Data'!AM2:AM501,'Federal Data'!$H2:$H501,"FOASI",'Federal Data'!$D2:$D501,"Nongrant")</f>
        <v>440413000</v>
      </c>
      <c r="AD115" s="113">
        <f>SUMIFS('Federal Data'!AN2:AN501,'Federal Data'!$H2:$H501,"FOASI",'Federal Data'!$D2:$D501,"Nongrant")</f>
        <v>468456000</v>
      </c>
      <c r="AE115" s="113">
        <f>SUMIFS('Federal Data'!AO2:AO501,'Federal Data'!$H2:$H501,"FOASI",'Federal Data'!$D2:$D501,"Nongrant")</f>
        <v>493467000</v>
      </c>
      <c r="AF115" s="113">
        <f>SUMIFS('Federal Data'!AP2:AP501,'Federal Data'!$H2:$H501,"FOASI",'Federal Data'!$D2:$D501,"Nongrant")</f>
        <v>532671000</v>
      </c>
      <c r="AG115" s="113">
        <f>SUMIFS('Federal Data'!AQ2:AQ501,'Federal Data'!$H2:$H501,"FOASI",'Federal Data'!$D2:$D501,"Nongrant")</f>
        <v>558820000</v>
      </c>
      <c r="AH115" s="113">
        <f>SUMIFS('Federal Data'!AR2:AR501,'Federal Data'!$H2:$H501,"FOASI",'Federal Data'!$D2:$D501,"Nongrant")</f>
        <v>510613000</v>
      </c>
      <c r="AI115" s="113">
        <f>SUMIFS('Federal Data'!AS2:AS501,'Federal Data'!$H2:$H501,"FOASI",'Federal Data'!$D2:$D501,"Nongrant")</f>
        <v>511071000</v>
      </c>
      <c r="AJ115" s="113">
        <f>SUMIFS('Federal Data'!AT2:AT501,'Federal Data'!$H2:$H501,"FOASI",'Federal Data'!$D2:$D501,"Nongrant")</f>
        <v>620374000</v>
      </c>
      <c r="AK115" s="113">
        <f>SUMIFS('Federal Data'!AU2:AU501,'Federal Data'!$H2:$H501,"FOASI",'Federal Data'!$D2:$D501,"Nongrant")</f>
        <v>681134000</v>
      </c>
      <c r="AL115" s="113">
        <f>SUMIFS('Federal Data'!AV2:AV501,'Federal Data'!$H2:$H501,"FOASI",'Federal Data'!$D2:$D501,"Nongrant")</f>
        <v>711607000</v>
      </c>
    </row>
    <row r="116" spans="1:38" outlineLevel="4">
      <c r="A116" s="22" t="str">
        <f>B114</f>
        <v>Social Security</v>
      </c>
      <c r="B116" s="31" t="s">
        <v>118</v>
      </c>
      <c r="C116" s="113">
        <f>SUMIFS('Federal Data'!M2:M501,'Federal Data'!$H2:$H501,"FDI",'Federal Data'!$D2:$D501,"Nongrant")</f>
        <v>15201844</v>
      </c>
      <c r="D116" s="113">
        <f>SUMIFS('Federal Data'!N2:N501,'Federal Data'!$H2:$H501,"FDI",'Federal Data'!$D2:$D501,"Nongrant")</f>
        <v>17149860</v>
      </c>
      <c r="E116" s="113">
        <f>SUMIFS('Federal Data'!O2:O501,'Federal Data'!$H2:$H501,"FDI",'Federal Data'!$D2:$D501,"Nongrant")</f>
        <v>17867070</v>
      </c>
      <c r="F116" s="113">
        <f>SUMIFS('Federal Data'!P2:P501,'Federal Data'!$H2:$H501,"FDI",'Federal Data'!$D2:$D501,"Nongrant")</f>
        <v>15412330</v>
      </c>
      <c r="G116" s="113">
        <f>SUMIFS('Federal Data'!Q2:Q501,'Federal Data'!$H2:$H501,"FDI",'Federal Data'!$D2:$D501,"Nongrant")</f>
        <v>17082978</v>
      </c>
      <c r="H116" s="113">
        <f>SUMIFS('Federal Data'!R2:R501,'Federal Data'!$H2:$H501,"FDI",'Federal Data'!$D2:$D501,"Nongrant")</f>
        <v>18390511</v>
      </c>
      <c r="I116" s="113">
        <f>SUMIFS('Federal Data'!S2:S501,'Federal Data'!$H2:$H501,"FDI",'Federal Data'!$D2:$D501,"Nongrant")</f>
        <v>18611831</v>
      </c>
      <c r="J116" s="113">
        <f>SUMIFS('Federal Data'!T2:T501,'Federal Data'!$H2:$H501,"FDI",'Federal Data'!$D2:$D501,"Nongrant")</f>
        <v>21060196</v>
      </c>
      <c r="K116" s="113">
        <f>SUMIFS('Federal Data'!U2:U501,'Federal Data'!$H2:$H501,"FDI",'Federal Data'!$D2:$D501,"Nongrant")</f>
        <v>22013695</v>
      </c>
      <c r="L116" s="113">
        <f>SUMIFS('Federal Data'!V2:V501,'Federal Data'!$H2:$H501,"FDI",'Federal Data'!$D2:$D501,"Nongrant")</f>
        <v>23055898</v>
      </c>
      <c r="M116" s="113">
        <f>SUMIFS('Federal Data'!W2:W501,'Federal Data'!$H2:$H501,"FDI",'Federal Data'!$D2:$D501,"Nongrant")</f>
        <v>24828217</v>
      </c>
      <c r="N116" s="113">
        <f>SUMIFS('Federal Data'!X2:X501,'Federal Data'!$H2:$H501,"FDI",'Federal Data'!$D2:$D501,"Nongrant")</f>
        <v>27639512</v>
      </c>
      <c r="O116" s="113">
        <f>SUMIFS('Federal Data'!Y2:Y501,'Federal Data'!$H2:$H501,"FDI",'Federal Data'!$D2:$D501,"Nongrant")</f>
        <v>31078594</v>
      </c>
      <c r="P116" s="113">
        <f>SUMIFS('Federal Data'!Z2:Z501,'Federal Data'!$H2:$H501,"FDI",'Federal Data'!$D2:$D501,"Nongrant")</f>
        <v>34360665</v>
      </c>
      <c r="Q116" s="113">
        <f>SUMIFS('Federal Data'!AA2:AA501,'Federal Data'!$H2:$H501,"FDI",'Federal Data'!$D2:$D501,"Nongrant")</f>
        <v>37673832</v>
      </c>
      <c r="R116" s="113">
        <f>SUMIFS('Federal Data'!AB2:AB501,'Federal Data'!$H2:$H501,"FDI",'Federal Data'!$D2:$D501,"Nongrant")</f>
        <v>41039000</v>
      </c>
      <c r="S116" s="113">
        <f>SUMIFS('Federal Data'!AC2:AC501,'Federal Data'!$H2:$H501,"FDI",'Federal Data'!$D2:$D501,"Nongrant")</f>
        <v>43977000</v>
      </c>
      <c r="T116" s="113">
        <f>SUMIFS('Federal Data'!AD2:AD501,'Federal Data'!$H2:$H501,"FDI",'Federal Data'!$D2:$D501,"Nongrant")</f>
        <v>46289000</v>
      </c>
      <c r="U116" s="113">
        <f>SUMIFS('Federal Data'!AE2:AE501,'Federal Data'!$H2:$H501,"FDI",'Federal Data'!$D2:$D501,"Nongrant")</f>
        <v>48920000</v>
      </c>
      <c r="V116" s="113">
        <f>SUMIFS('Federal Data'!AF2:AF501,'Federal Data'!$H2:$H501,"FDI",'Federal Data'!$D2:$D501,"Nongrant")</f>
        <v>51495000</v>
      </c>
      <c r="W116" s="113">
        <f>SUMIFS('Federal Data'!AG2:AG501,'Federal Data'!$H2:$H501,"FDI",'Federal Data'!$D2:$D501,"Nongrant")</f>
        <v>55245000</v>
      </c>
      <c r="X116" s="113">
        <f>SUMIFS('Federal Data'!AH2:AH501,'Federal Data'!$H2:$H501,"FDI",'Federal Data'!$D2:$D501,"Nongrant")</f>
        <v>59198000</v>
      </c>
      <c r="Y116" s="113">
        <f>SUMIFS('Federal Data'!AI2:AI501,'Federal Data'!$H2:$H501,"FDI",'Federal Data'!$D2:$D501,"Nongrant")</f>
        <v>65423000</v>
      </c>
      <c r="Z116" s="113">
        <f>SUMIFS('Federal Data'!AJ2:AJ501,'Federal Data'!$H2:$H501,"FDI",'Federal Data'!$D2:$D501,"Nongrant")</f>
        <v>70991000</v>
      </c>
      <c r="AA116" s="113">
        <f>SUMIFS('Federal Data'!AK2:AK501,'Federal Data'!$H2:$H501,"FDI",'Federal Data'!$D2:$D501,"Nongrant")</f>
        <v>77415000</v>
      </c>
      <c r="AB116" s="113">
        <f>SUMIFS('Federal Data'!AL2:AL501,'Federal Data'!$H2:$H501,"FDI",'Federal Data'!$D2:$D501,"Nongrant")</f>
        <v>85249000</v>
      </c>
      <c r="AC116" s="113">
        <f>SUMIFS('Federal Data'!AM2:AM501,'Federal Data'!$H2:$H501,"FDI",'Federal Data'!$D2:$D501,"Nongrant")</f>
        <v>91757000</v>
      </c>
      <c r="AD116" s="113">
        <f>SUMIFS('Federal Data'!AN2:AN501,'Federal Data'!$H2:$H501,"FDI",'Federal Data'!$D2:$D501,"Nongrant")</f>
        <v>98295000</v>
      </c>
      <c r="AE116" s="113">
        <f>SUMIFS('Federal Data'!AO2:AO501,'Federal Data'!$H2:$H501,"FDI",'Federal Data'!$D2:$D501,"Nongrant")</f>
        <v>105754000</v>
      </c>
      <c r="AF116" s="113">
        <f>SUMIFS('Federal Data'!AP2:AP501,'Federal Data'!$H2:$H501,"FDI",'Federal Data'!$D2:$D501,"Nongrant")</f>
        <v>116151000</v>
      </c>
      <c r="AG116" s="113">
        <f>SUMIFS('Federal Data'!AQ2:AQ501,'Federal Data'!$H2:$H501,"FDI",'Federal Data'!$D2:$D501,"Nongrant")</f>
        <v>124567000</v>
      </c>
      <c r="AH116" s="113">
        <f>SUMIFS('Federal Data'!AR2:AR501,'Federal Data'!$H2:$H501,"FDI",'Federal Data'!$D2:$D501,"Nongrant")</f>
        <v>118097000</v>
      </c>
      <c r="AI116" s="113">
        <f>SUMIFS('Federal Data'!AS2:AS501,'Federal Data'!$H2:$H501,"FDI",'Federal Data'!$D2:$D501,"Nongrant")</f>
        <v>121805000</v>
      </c>
      <c r="AJ116" s="113">
        <f>SUMIFS('Federal Data'!AT2:AT501,'Federal Data'!$H2:$H501,"FDI",'Federal Data'!$D2:$D501,"Nongrant")</f>
        <v>137076000</v>
      </c>
      <c r="AK116" s="113">
        <f>SUMIFS('Federal Data'!AU2:AU501,'Federal Data'!$H2:$H501,"FDI",'Federal Data'!$D2:$D501,"Nongrant")</f>
        <v>143490000</v>
      </c>
      <c r="AL116" s="113">
        <f>SUMIFS('Federal Data'!AV2:AV501,'Federal Data'!$H2:$H501,"FDI",'Federal Data'!$D2:$D501,"Nongrant")</f>
        <v>145141000</v>
      </c>
    </row>
    <row r="117" spans="1:38" outlineLevel="4">
      <c r="A117" s="22" t="str">
        <f>B114</f>
        <v>Social Security</v>
      </c>
      <c r="B117" s="31" t="s">
        <v>119</v>
      </c>
      <c r="C117" s="113">
        <f>SUMIFS('Federal Data'!M2:M501,'Federal Data'!$H2:$H501,"Other Social Security",'Federal Data'!$D2:$D501,"Nongrant")</f>
        <v>675080</v>
      </c>
      <c r="D117" s="113">
        <f>SUMIFS('Federal Data'!N2:N501,'Federal Data'!$H2:$H501,"Other Social Security",'Federal Data'!$D2:$D501,"Nongrant")</f>
        <v>670456</v>
      </c>
      <c r="E117" s="113">
        <f>SUMIFS('Federal Data'!O2:O501,'Federal Data'!$H2:$H501,"Other Social Security",'Federal Data'!$D2:$D501,"Nongrant")</f>
        <v>843515</v>
      </c>
      <c r="F117" s="113">
        <f>SUMIFS('Federal Data'!P2:P501,'Federal Data'!$H2:$H501,"Other Social Security",'Federal Data'!$D2:$D501,"Nongrant")</f>
        <v>20102020</v>
      </c>
      <c r="G117" s="113">
        <f>SUMIFS('Federal Data'!Q2:Q501,'Federal Data'!$H2:$H501,"Other Social Security",'Federal Data'!$D2:$D501,"Nongrant")</f>
        <v>7816167</v>
      </c>
      <c r="H117" s="113">
        <f>SUMIFS('Federal Data'!R2:R501,'Federal Data'!$H2:$H501,"Other Social Security",'Federal Data'!$D2:$D501,"Nongrant")</f>
        <v>5980157</v>
      </c>
      <c r="I117" s="113">
        <f>SUMIFS('Federal Data'!S2:S501,'Federal Data'!$H2:$H501,"Other Social Security",'Federal Data'!$D2:$D501,"Nongrant")</f>
        <v>8588434</v>
      </c>
      <c r="J117" s="113">
        <f>SUMIFS('Federal Data'!T2:T501,'Federal Data'!$H2:$H501,"Other Social Security",'Federal Data'!$D2:$D501,"Nongrant")</f>
        <v>5615194</v>
      </c>
      <c r="K117" s="113">
        <f>SUMIFS('Federal Data'!U2:U501,'Federal Data'!$H2:$H501,"Other Social Security",'Federal Data'!$D2:$D501,"Nongrant")</f>
        <v>5767600</v>
      </c>
      <c r="L117" s="113">
        <f>SUMIFS('Federal Data'!V2:V501,'Federal Data'!$H2:$H501,"Other Social Security",'Federal Data'!$D2:$D501,"Nongrant")</f>
        <v>6154027</v>
      </c>
      <c r="M117" s="113">
        <f>SUMIFS('Federal Data'!W2:W501,'Federal Data'!$H2:$H501,"Other Social Security",'Federal Data'!$D2:$D501,"Nongrant")</f>
        <v>4707249</v>
      </c>
      <c r="N117" s="113">
        <f>SUMIFS('Federal Data'!X2:X501,'Federal Data'!$H2:$H501,"Other Social Security",'Federal Data'!$D2:$D501,"Nongrant")</f>
        <v>5971127</v>
      </c>
      <c r="O117" s="113">
        <f>SUMIFS('Federal Data'!Y2:Y501,'Federal Data'!$H2:$H501,"Other Social Security",'Federal Data'!$D2:$D501,"Nongrant")</f>
        <v>6166046</v>
      </c>
      <c r="P117" s="113">
        <f>SUMIFS('Federal Data'!Z2:Z501,'Federal Data'!$H2:$H501,"Other Social Security",'Federal Data'!$D2:$D501,"Nongrant")</f>
        <v>6235801</v>
      </c>
      <c r="Q117" s="113">
        <f>SUMIFS('Federal Data'!AA2:AA501,'Federal Data'!$H2:$H501,"Other Social Security",'Federal Data'!$D2:$D501,"Nongrant")</f>
        <v>5683451</v>
      </c>
      <c r="R117" s="113">
        <f>SUMIFS('Federal Data'!AB2:AB501,'Federal Data'!$H2:$H501,"Other Social Security",'Federal Data'!$D2:$D501,"Nongrant")</f>
        <v>5476000</v>
      </c>
      <c r="S117" s="113">
        <f>SUMIFS('Federal Data'!AC2:AC501,'Federal Data'!$H2:$H501,"Other Social Security",'Federal Data'!$D2:$D501,"Nongrant")</f>
        <v>6134000</v>
      </c>
      <c r="T117" s="113">
        <f>SUMIFS('Federal Data'!AD2:AD501,'Federal Data'!$H2:$H501,"Other Social Security",'Federal Data'!$D2:$D501,"Nongrant")</f>
        <v>6879000</v>
      </c>
      <c r="U117" s="113">
        <f>SUMIFS('Federal Data'!AE2:AE501,'Federal Data'!$H2:$H501,"Other Social Security",'Federal Data'!$D2:$D501,"Nongrant")</f>
        <v>9146000</v>
      </c>
      <c r="V117" s="113">
        <f>SUMIFS('Federal Data'!AF2:AF501,'Federal Data'!$H2:$H501,"Other Social Security",'Federal Data'!$D2:$D501,"Nongrant")</f>
        <v>10824000</v>
      </c>
      <c r="W117" s="113">
        <f>SUMIFS('Federal Data'!AG2:AG501,'Federal Data'!$H2:$H501,"Other Social Security",'Federal Data'!$D2:$D501,"Nongrant")</f>
        <v>13254000</v>
      </c>
      <c r="X117" s="113">
        <f>SUMIFS('Federal Data'!AH2:AH501,'Federal Data'!$H2:$H501,"Other Social Security",'Federal Data'!$D2:$D501,"Nongrant")</f>
        <v>12531000</v>
      </c>
      <c r="Y117" s="113">
        <f>SUMIFS('Federal Data'!AI2:AI501,'Federal Data'!$H2:$H501,"Other Social Security",'Federal Data'!$D2:$D501,"Nongrant")</f>
        <v>14016000</v>
      </c>
      <c r="Z117" s="113">
        <f>SUMIFS('Federal Data'!AJ2:AJ501,'Federal Data'!$H2:$H501,"Other Social Security",'Federal Data'!$D2:$D501,"Nongrant")</f>
        <v>13357000</v>
      </c>
      <c r="AA117" s="113">
        <f>SUMIFS('Federal Data'!AK2:AK501,'Federal Data'!$H2:$H501,"Other Social Security",'Federal Data'!$D2:$D501,"Nongrant")</f>
        <v>14121000</v>
      </c>
      <c r="AB117" s="113">
        <f>SUMIFS('Federal Data'!AL2:AL501,'Federal Data'!$H2:$H501,"Other Social Security",'Federal Data'!$D2:$D501,"Nongrant")</f>
        <v>16587000</v>
      </c>
      <c r="AC117" s="113">
        <f>SUMIFS('Federal Data'!AM2:AM501,'Federal Data'!$H2:$H501,"Other Social Security",'Federal Data'!$D2:$D501,"Nongrant")</f>
        <v>16370000</v>
      </c>
      <c r="AD117" s="113">
        <f>SUMIFS('Federal Data'!AN2:AN501,'Federal Data'!$H2:$H501,"Other Social Security",'Federal Data'!$D2:$D501,"Nongrant")</f>
        <v>19386000</v>
      </c>
      <c r="AE117" s="113">
        <f>SUMIFS('Federal Data'!AO2:AO501,'Federal Data'!$H2:$H501,"Other Social Security",'Federal Data'!$D2:$D501,"Nongrant")</f>
        <v>17783000</v>
      </c>
      <c r="AF117" s="113">
        <f>SUMIFS('Federal Data'!AP2:AP501,'Federal Data'!$H2:$H501,"Other Social Security",'Federal Data'!$D2:$D501,"Nongrant")</f>
        <v>34096000</v>
      </c>
      <c r="AG117" s="113">
        <f>SUMIFS('Federal Data'!AQ2:AQ501,'Federal Data'!$H2:$H501,"Other Social Security",'Federal Data'!$D2:$D501,"Nongrant")</f>
        <v>23322000</v>
      </c>
      <c r="AH117" s="113">
        <f>SUMIFS('Federal Data'!AR2:AR501,'Federal Data'!$H2:$H501,"Other Social Security",'Federal Data'!$D2:$D501,"Nongrant")</f>
        <v>102074000</v>
      </c>
      <c r="AI117" s="113">
        <f>SUMIFS('Federal Data'!AS2:AS501,'Federal Data'!$H2:$H501,"Other Social Security",'Federal Data'!$D2:$D501,"Nongrant")</f>
        <v>140385000</v>
      </c>
      <c r="AJ117" s="113">
        <f>SUMIFS('Federal Data'!AT2:AT501,'Federal Data'!$H2:$H501,"Other Social Security",'Federal Data'!$D2:$D501,"Nongrant")</f>
        <v>56079000</v>
      </c>
      <c r="AK117" s="113">
        <f>SUMIFS('Federal Data'!AU2:AU501,'Federal Data'!$H2:$H501,"Other Social Security",'Federal Data'!$D2:$D501,"Nongrant")</f>
        <v>25893000</v>
      </c>
      <c r="AL117" s="113">
        <f>SUMIFS('Federal Data'!AV2:AV501,'Federal Data'!$H2:$H501,"Other Social Security",'Federal Data'!$D2:$D501,"Nongrant")</f>
        <v>30990000</v>
      </c>
    </row>
    <row r="118" spans="1:38" outlineLevel="3">
      <c r="A118" s="22" t="str">
        <f>B113</f>
        <v>Wealth and Savings</v>
      </c>
      <c r="B118" s="29" t="s">
        <v>247</v>
      </c>
      <c r="C118" s="113">
        <f>SUMIFS('Federal Data'!M2:M501,'Federal Data'!$G2:$G501,"Medicare",'Federal Data'!$D2:$D501,"Nongrant")</f>
        <v>32089580</v>
      </c>
      <c r="D118" s="113">
        <f>SUMIFS('Federal Data'!N2:N501,'Federal Data'!$G2:$G501,"Medicare",'Federal Data'!$D2:$D501,"Nongrant")</f>
        <v>39148729</v>
      </c>
      <c r="E118" s="113">
        <f>SUMIFS('Federal Data'!O2:O501,'Federal Data'!$G2:$G501,"Medicare",'Federal Data'!$D2:$D501,"Nongrant")</f>
        <v>46567472</v>
      </c>
      <c r="F118" s="113">
        <f>SUMIFS('Federal Data'!P2:P501,'Federal Data'!$G2:$G501,"Medicare",'Federal Data'!$D2:$D501,"Nongrant")</f>
        <v>52587740</v>
      </c>
      <c r="G118" s="113">
        <f>SUMIFS('Federal Data'!Q2:Q501,'Federal Data'!$G2:$G501,"Medicare",'Federal Data'!$D2:$D501,"Nongrant")</f>
        <v>57537672</v>
      </c>
      <c r="H118" s="113">
        <f>SUMIFS('Federal Data'!R2:R501,'Federal Data'!$G2:$G501,"Medicare",'Federal Data'!$D2:$D501,"Nongrant")</f>
        <v>65822367</v>
      </c>
      <c r="I118" s="113">
        <f>SUMIFS('Federal Data'!S2:S501,'Federal Data'!$G2:$G501,"Medicare",'Federal Data'!$D2:$D501,"Nongrant")</f>
        <v>70163956</v>
      </c>
      <c r="J118" s="113">
        <f>SUMIFS('Federal Data'!T2:T501,'Federal Data'!$G2:$G501,"Medicare",'Federal Data'!$D2:$D501,"Nongrant")</f>
        <v>75120105</v>
      </c>
      <c r="K118" s="113">
        <f>SUMIFS('Federal Data'!U2:U501,'Federal Data'!$G2:$G501,"Medicare",'Federal Data'!$D2:$D501,"Nongrant")</f>
        <v>78878475</v>
      </c>
      <c r="L118" s="113">
        <f>SUMIFS('Federal Data'!V2:V501,'Federal Data'!$G2:$G501,"Medicare",'Federal Data'!$D2:$D501,"Nongrant")</f>
        <v>84964394</v>
      </c>
      <c r="M118" s="113">
        <f>SUMIFS('Federal Data'!W2:W501,'Federal Data'!$G2:$G501,"Medicare",'Federal Data'!$D2:$D501,"Nongrant")</f>
        <v>98101537</v>
      </c>
      <c r="N118" s="113">
        <f>SUMIFS('Federal Data'!X2:X501,'Federal Data'!$G2:$G501,"Medicare",'Federal Data'!$D2:$D501,"Nongrant")</f>
        <v>104489292</v>
      </c>
      <c r="O118" s="113">
        <f>SUMIFS('Federal Data'!Y2:Y501,'Federal Data'!$G2:$G501,"Medicare",'Federal Data'!$D2:$D501,"Nongrant")</f>
        <v>119023572</v>
      </c>
      <c r="P118" s="113">
        <f>SUMIFS('Federal Data'!Z2:Z501,'Federal Data'!$G2:$G501,"Medicare",'Federal Data'!$D2:$D501,"Nongrant")</f>
        <v>130551946</v>
      </c>
      <c r="Q118" s="113">
        <f>SUMIFS('Federal Data'!AA2:AA501,'Federal Data'!$G2:$G501,"Medicare",'Federal Data'!$D2:$D501,"Nongrant")</f>
        <v>144747722</v>
      </c>
      <c r="R118" s="113">
        <f>SUMIFS('Federal Data'!AB2:AB501,'Federal Data'!$G2:$G501,"Medicare",'Federal Data'!$D2:$D501,"Nongrant")</f>
        <v>159854000</v>
      </c>
      <c r="S118" s="113">
        <f>SUMIFS('Federal Data'!AC2:AC501,'Federal Data'!$G2:$G501,"Medicare",'Federal Data'!$D2:$D501,"Nongrant")</f>
        <v>174226000</v>
      </c>
      <c r="T118" s="113">
        <f>SUMIFS('Federal Data'!AD2:AD501,'Federal Data'!$G2:$G501,"Medicare",'Federal Data'!$D2:$D501,"Nongrant")</f>
        <v>190016000</v>
      </c>
      <c r="U118" s="113">
        <f>SUMIFS('Federal Data'!AE2:AE501,'Federal Data'!$G2:$G501,"Medicare",'Federal Data'!$D2:$D501,"Nongrant")</f>
        <v>192823000</v>
      </c>
      <c r="V118" s="113">
        <f>SUMIFS('Federal Data'!AF2:AF501,'Federal Data'!$G2:$G501,"Medicare",'Federal Data'!$D2:$D501,"Nongrant")</f>
        <v>190447000</v>
      </c>
      <c r="W118" s="113">
        <f>SUMIFS('Federal Data'!AG2:AG501,'Federal Data'!$G2:$G501,"Medicare",'Federal Data'!$D2:$D501,"Nongrant")</f>
        <v>197113000</v>
      </c>
      <c r="X118" s="113">
        <f>SUMIFS('Federal Data'!AH2:AH501,'Federal Data'!$G2:$G501,"Medicare",'Federal Data'!$D2:$D501,"Nongrant")</f>
        <v>217384000</v>
      </c>
      <c r="Y118" s="113">
        <f>SUMIFS('Federal Data'!AI2:AI501,'Federal Data'!$G2:$G501,"Medicare",'Federal Data'!$D2:$D501,"Nongrant")</f>
        <v>230855000</v>
      </c>
      <c r="Z118" s="113">
        <f>SUMIFS('Federal Data'!AJ2:AJ501,'Federal Data'!$G2:$G501,"Medicare",'Federal Data'!$D2:$D501,"Nongrant")</f>
        <v>249433000</v>
      </c>
      <c r="AA118" s="113">
        <f>SUMIFS('Federal Data'!AK2:AK501,'Federal Data'!$G2:$G501,"Medicare",'Federal Data'!$D2:$D501,"Nongrant")</f>
        <v>269360000</v>
      </c>
      <c r="AB118" s="113">
        <f>SUMIFS('Federal Data'!AL2:AL501,'Federal Data'!$G2:$G501,"Medicare",'Federal Data'!$D2:$D501,"Nongrant")</f>
        <v>298638000</v>
      </c>
      <c r="AC118" s="113">
        <f>SUMIFS('Federal Data'!AM2:AM501,'Federal Data'!$G2:$G501,"Medicare",'Federal Data'!$D2:$D501,"Nongrant")</f>
        <v>329838000</v>
      </c>
      <c r="AD118" s="113">
        <f>SUMIFS('Federal Data'!AN2:AN501,'Federal Data'!$G2:$G501,"Medicare",'Federal Data'!$D2:$D501,"Nongrant")</f>
        <v>375401000</v>
      </c>
      <c r="AE118" s="113">
        <f>SUMIFS('Federal Data'!AO2:AO501,'Federal Data'!$G2:$G501,"Medicare",'Federal Data'!$D2:$D501,"Nongrant")</f>
        <v>390775000</v>
      </c>
      <c r="AF118" s="113">
        <f>SUMIFS('Federal Data'!AP2:AP501,'Federal Data'!$G2:$G501,"Medicare",'Federal Data'!$D2:$D501,"Nongrant")</f>
        <v>430095000</v>
      </c>
      <c r="AG118" s="113">
        <f>SUMIFS('Federal Data'!AQ2:AQ501,'Federal Data'!$G2:$G501,"Medicare",'Federal Data'!$D2:$D501,"Nongrant")</f>
        <v>451629000</v>
      </c>
      <c r="AH118" s="113">
        <f>SUMIFS('Federal Data'!AR2:AR501,'Federal Data'!$G2:$G501,"Medicare",'Federal Data'!$D2:$D501,"Nongrant")</f>
        <v>485744000</v>
      </c>
      <c r="AI118" s="113">
        <f>SUMIFS('Federal Data'!AS2:AS501,'Federal Data'!$G2:$G501,"Medicare",'Federal Data'!$D2:$D501,"Nongrant")</f>
        <v>472081000</v>
      </c>
      <c r="AJ118" s="113">
        <f>SUMIFS('Federal Data'!AT2:AT501,'Federal Data'!$G2:$G501,"Medicare",'Federal Data'!$D2:$D501,"Nongrant")</f>
        <v>497740000</v>
      </c>
      <c r="AK118" s="113">
        <f>SUMIFS('Federal Data'!AU2:AU501,'Federal Data'!$G2:$G501,"Medicare",'Federal Data'!$D2:$D501,"Nongrant")</f>
        <v>511550000</v>
      </c>
      <c r="AL118" s="113">
        <f>SUMIFS('Federal Data'!AV2:AV501,'Federal Data'!$G2:$G501,"Medicare",'Federal Data'!$D2:$D501,"Nongrant")</f>
        <v>546108000</v>
      </c>
    </row>
    <row r="119" spans="1:38" outlineLevel="3">
      <c r="A119" s="22" t="str">
        <f>B113</f>
        <v>Wealth and Savings</v>
      </c>
      <c r="B119" s="29" t="s">
        <v>308</v>
      </c>
      <c r="C119" s="113">
        <f>SUMIFS('Federal Data'!M2:M501,'Federal Data'!$G2:$G501,"General Retirement Programs (excl. Social Security)",'Federal Data'!$D2:$D501,"Nongrant")</f>
        <v>5083081</v>
      </c>
      <c r="D119" s="113">
        <f>SUMIFS('Federal Data'!N2:N501,'Federal Data'!$G2:$G501,"General Retirement Programs (excl. Social Security)",'Federal Data'!$D2:$D501,"Nongrant")</f>
        <v>5439462</v>
      </c>
      <c r="E119" s="113">
        <f>SUMIFS('Federal Data'!O2:O501,'Federal Data'!$G2:$G501,"General Retirement Programs (excl. Social Security)",'Federal Data'!$D2:$D501,"Nongrant")</f>
        <v>5570663</v>
      </c>
      <c r="F119" s="113">
        <f>SUMIFS('Federal Data'!P2:P501,'Federal Data'!$G2:$G501,"General Retirement Programs (excl. Social Security)",'Federal Data'!$D2:$D501,"Nongrant")</f>
        <v>5581077</v>
      </c>
      <c r="G119" s="113">
        <f>SUMIFS('Federal Data'!Q2:Q501,'Federal Data'!$G2:$G501,"General Retirement Programs (excl. Social Security)",'Federal Data'!$D2:$D501,"Nongrant")</f>
        <v>5441411</v>
      </c>
      <c r="H119" s="113">
        <f>SUMIFS('Federal Data'!R2:R501,'Federal Data'!$G2:$G501,"General Retirement Programs (excl. Social Security)",'Federal Data'!$D2:$D501,"Nongrant")</f>
        <v>5616954</v>
      </c>
      <c r="I119" s="113">
        <f>SUMIFS('Federal Data'!S2:S501,'Federal Data'!$G2:$G501,"General Retirement Programs (excl. Social Security)",'Federal Data'!$D2:$D501,"Nongrant")</f>
        <v>5329680</v>
      </c>
      <c r="J119" s="113">
        <f>SUMIFS('Federal Data'!T2:T501,'Federal Data'!$G2:$G501,"General Retirement Programs (excl. Social Security)",'Federal Data'!$D2:$D501,"Nongrant")</f>
        <v>5564665</v>
      </c>
      <c r="K119" s="113">
        <f>SUMIFS('Federal Data'!U2:U501,'Federal Data'!$G2:$G501,"General Retirement Programs (excl. Social Security)",'Federal Data'!$D2:$D501,"Nongrant")</f>
        <v>5294174</v>
      </c>
      <c r="L119" s="113">
        <f>SUMIFS('Federal Data'!V2:V501,'Federal Data'!$G2:$G501,"General Retirement Programs (excl. Social Security)",'Federal Data'!$D2:$D501,"Nongrant")</f>
        <v>5650358</v>
      </c>
      <c r="M119" s="113">
        <f>SUMIFS('Federal Data'!W2:W501,'Federal Data'!$G2:$G501,"General Retirement Programs (excl. Social Security)",'Federal Data'!$D2:$D501,"Nongrant")</f>
        <v>5148327</v>
      </c>
      <c r="N119" s="113">
        <f>SUMIFS('Federal Data'!X2:X501,'Federal Data'!$G2:$G501,"General Retirement Programs (excl. Social Security)",'Federal Data'!$D2:$D501,"Nongrant")</f>
        <v>4945054</v>
      </c>
      <c r="O119" s="113">
        <f>SUMIFS('Federal Data'!Y2:Y501,'Federal Data'!$G2:$G501,"General Retirement Programs (excl. Social Security)",'Federal Data'!$D2:$D501,"Nongrant")</f>
        <v>5482621</v>
      </c>
      <c r="P119" s="113">
        <f>SUMIFS('Federal Data'!Z2:Z501,'Federal Data'!$G2:$G501,"General Retirement Programs (excl. Social Security)",'Federal Data'!$D2:$D501,"Nongrant")</f>
        <v>4346698</v>
      </c>
      <c r="Q119" s="113">
        <f>SUMIFS('Federal Data'!AA2:AA501,'Federal Data'!$G2:$G501,"General Retirement Programs (excl. Social Security)",'Federal Data'!$D2:$D501,"Nongrant")</f>
        <v>5720012</v>
      </c>
      <c r="R119" s="113">
        <f>SUMIFS('Federal Data'!AB2:AB501,'Federal Data'!$G2:$G501,"General Retirement Programs (excl. Social Security)",'Federal Data'!$D2:$D501,"Nongrant")</f>
        <v>5106000</v>
      </c>
      <c r="S119" s="113">
        <f>SUMIFS('Federal Data'!AC2:AC501,'Federal Data'!$G2:$G501,"General Retirement Programs (excl. Social Security)",'Federal Data'!$D2:$D501,"Nongrant")</f>
        <v>5281000</v>
      </c>
      <c r="T119" s="113">
        <f>SUMIFS('Federal Data'!AD2:AD501,'Federal Data'!$G2:$G501,"General Retirement Programs (excl. Social Security)",'Federal Data'!$D2:$D501,"Nongrant")</f>
        <v>4752000</v>
      </c>
      <c r="U119" s="113">
        <f>SUMIFS('Federal Data'!AE2:AE501,'Federal Data'!$G2:$G501,"General Retirement Programs (excl. Social Security)",'Federal Data'!$D2:$D501,"Nongrant")</f>
        <v>4665000</v>
      </c>
      <c r="V119" s="113">
        <f>SUMIFS('Federal Data'!AF2:AF501,'Federal Data'!$G2:$G501,"General Retirement Programs (excl. Social Security)",'Federal Data'!$D2:$D501,"Nongrant")</f>
        <v>1959000</v>
      </c>
      <c r="W119" s="113">
        <f>SUMIFS('Federal Data'!AG2:AG501,'Federal Data'!$G2:$G501,"General Retirement Programs (excl. Social Security)",'Federal Data'!$D2:$D501,"Nongrant")</f>
        <v>5298000</v>
      </c>
      <c r="X119" s="113">
        <f>SUMIFS('Federal Data'!AH2:AH501,'Federal Data'!$G2:$G501,"General Retirement Programs (excl. Social Security)",'Federal Data'!$D2:$D501,"Nongrant")</f>
        <v>5943000</v>
      </c>
      <c r="Y119" s="113">
        <f>SUMIFS('Federal Data'!AI2:AI501,'Federal Data'!$G2:$G501,"General Retirement Programs (excl. Social Security)",'Federal Data'!$D2:$D501,"Nongrant")</f>
        <v>5855000</v>
      </c>
      <c r="Z119" s="113">
        <f>SUMIFS('Federal Data'!AJ2:AJ501,'Federal Data'!$G2:$G501,"General Retirement Programs (excl. Social Security)",'Federal Data'!$D2:$D501,"Nongrant")</f>
        <v>7103000</v>
      </c>
      <c r="AA119" s="113">
        <f>SUMIFS('Federal Data'!AK2:AK501,'Federal Data'!$G2:$G501,"General Retirement Programs (excl. Social Security)",'Federal Data'!$D2:$D501,"Nongrant")</f>
        <v>6588000</v>
      </c>
      <c r="AB119" s="113">
        <f>SUMIFS('Federal Data'!AL2:AL501,'Federal Data'!$G2:$G501,"General Retirement Programs (excl. Social Security)",'Federal Data'!$D2:$D501,"Nongrant")</f>
        <v>7043000</v>
      </c>
      <c r="AC119" s="113">
        <f>SUMIFS('Federal Data'!AM2:AM501,'Federal Data'!$G2:$G501,"General Retirement Programs (excl. Social Security)",'Federal Data'!$D2:$D501,"Nongrant")</f>
        <v>4651000</v>
      </c>
      <c r="AD119" s="113">
        <f>SUMIFS('Federal Data'!AN2:AN501,'Federal Data'!$G2:$G501,"General Retirement Programs (excl. Social Security)",'Federal Data'!$D2:$D501,"Nongrant")</f>
        <v>7943000</v>
      </c>
      <c r="AE119" s="113">
        <f>SUMIFS('Federal Data'!AO2:AO501,'Federal Data'!$G2:$G501,"General Retirement Programs (excl. Social Security)",'Federal Data'!$D2:$D501,"Nongrant")</f>
        <v>9066000</v>
      </c>
      <c r="AF119" s="113">
        <f>SUMIFS('Federal Data'!AP2:AP501,'Federal Data'!$G2:$G501,"General Retirement Programs (excl. Social Security)",'Federal Data'!$D2:$D501,"Nongrant")</f>
        <v>8342000</v>
      </c>
      <c r="AG119" s="113">
        <f>SUMIFS('Federal Data'!AQ2:AQ501,'Federal Data'!$G2:$G501,"General Retirement Programs (excl. Social Security)",'Federal Data'!$D2:$D501,"Nongrant")</f>
        <v>6737000</v>
      </c>
      <c r="AH119" s="113">
        <f>SUMIFS('Federal Data'!AR2:AR501,'Federal Data'!$G2:$G501,"General Retirement Programs (excl. Social Security)",'Federal Data'!$D2:$D501,"Nongrant")</f>
        <v>6913000</v>
      </c>
      <c r="AI119" s="113">
        <f>SUMIFS('Federal Data'!AS2:AS501,'Federal Data'!$G2:$G501,"General Retirement Programs (excl. Social Security)",'Federal Data'!$D2:$D501,"Nongrant")</f>
        <v>8014000</v>
      </c>
      <c r="AJ119" s="113">
        <f>SUMIFS('Federal Data'!AT2:AT501,'Federal Data'!$G2:$G501,"General Retirement Programs (excl. Social Security)",'Federal Data'!$D2:$D501,"Nongrant")</f>
        <v>7165000</v>
      </c>
      <c r="AK119" s="113">
        <f>SUMIFS('Federal Data'!AU2:AU501,'Federal Data'!$G2:$G501,"General Retirement Programs (excl. Social Security)",'Federal Data'!$D2:$D501,"Nongrant")</f>
        <v>8889000</v>
      </c>
      <c r="AL119" s="113">
        <f>SUMIFS('Federal Data'!AV2:AV501,'Federal Data'!$G2:$G501,"General Retirement Programs (excl. Social Security)",'Federal Data'!$D2:$D501,"Nongrant")</f>
        <v>7979000</v>
      </c>
    </row>
    <row r="120" spans="1:38" outlineLevel="3">
      <c r="A120" s="22" t="str">
        <f>B113</f>
        <v>Wealth and Savings</v>
      </c>
      <c r="B120" s="29" t="s">
        <v>52</v>
      </c>
      <c r="C120" s="113">
        <f>SUMIFS('Federal Data'!M2:M501,'Federal Data'!$G2:$G501,"Housing Support",'Federal Data'!$D2:$D501,"Nongrant")</f>
        <v>5785043</v>
      </c>
      <c r="D120" s="113">
        <f>SUMIFS('Federal Data'!N2:N501,'Federal Data'!$G2:$G501,"Housing Support",'Federal Data'!$D2:$D501,"Nongrant")</f>
        <v>5922533</v>
      </c>
      <c r="E120" s="113">
        <f>SUMIFS('Federal Data'!O2:O501,'Federal Data'!$G2:$G501,"Housing Support",'Federal Data'!$D2:$D501,"Nongrant")</f>
        <v>5883215</v>
      </c>
      <c r="F120" s="113">
        <f>SUMIFS('Federal Data'!P2:P501,'Federal Data'!$G2:$G501,"Housing Support",'Federal Data'!$D2:$D501,"Nongrant")</f>
        <v>4966470</v>
      </c>
      <c r="G120" s="113">
        <f>SUMIFS('Federal Data'!Q2:Q501,'Federal Data'!$G2:$G501,"Housing Support",'Federal Data'!$D2:$D501,"Nongrant")</f>
        <v>4136065</v>
      </c>
      <c r="H120" s="113">
        <f>SUMIFS('Federal Data'!R2:R501,'Federal Data'!$G2:$G501,"Housing Support",'Federal Data'!$D2:$D501,"Nongrant")</f>
        <v>2748261</v>
      </c>
      <c r="I120" s="113">
        <f>SUMIFS('Federal Data'!S2:S501,'Federal Data'!$G2:$G501,"Housing Support",'Federal Data'!$D2:$D501,"Nongrant")</f>
        <v>643752</v>
      </c>
      <c r="J120" s="113">
        <f>SUMIFS('Federal Data'!T2:T501,'Federal Data'!$G2:$G501,"Housing Support",'Federal Data'!$D2:$D501,"Nongrant")</f>
        <v>-451029</v>
      </c>
      <c r="K120" s="113">
        <f>SUMIFS('Federal Data'!U2:U501,'Federal Data'!$G2:$G501,"Housing Support",'Federal Data'!$D2:$D501,"Nongrant")</f>
        <v>4815748</v>
      </c>
      <c r="L120" s="113">
        <f>SUMIFS('Federal Data'!V2:V501,'Federal Data'!$G2:$G501,"Housing Support",'Federal Data'!$D2:$D501,"Nongrant")</f>
        <v>5266072</v>
      </c>
      <c r="M120" s="113">
        <f>SUMIFS('Federal Data'!W2:W501,'Federal Data'!$G2:$G501,"Housing Support",'Federal Data'!$D2:$D501,"Nongrant")</f>
        <v>3887411</v>
      </c>
      <c r="N120" s="113">
        <f>SUMIFS('Federal Data'!X2:X501,'Federal Data'!$G2:$G501,"Housing Support",'Federal Data'!$D2:$D501,"Nongrant")</f>
        <v>5369324</v>
      </c>
      <c r="O120" s="113">
        <f>SUMIFS('Federal Data'!Y2:Y501,'Federal Data'!$G2:$G501,"Housing Support",'Federal Data'!$D2:$D501,"Nongrant")</f>
        <v>4329100</v>
      </c>
      <c r="P120" s="113">
        <f>SUMIFS('Federal Data'!Z2:Z501,'Federal Data'!$G2:$G501,"Housing Support",'Federal Data'!$D2:$D501,"Nongrant")</f>
        <v>1562123</v>
      </c>
      <c r="Q120" s="113">
        <f>SUMIFS('Federal Data'!AA2:AA501,'Federal Data'!$G2:$G501,"Housing Support",'Federal Data'!$D2:$D501,"Nongrant")</f>
        <v>-491567</v>
      </c>
      <c r="R120" s="113">
        <f>SUMIFS('Federal Data'!AB2:AB501,'Federal Data'!$G2:$G501,"Housing Support",'Federal Data'!$D2:$D501,"Nongrant")</f>
        <v>-1025000</v>
      </c>
      <c r="S120" s="113">
        <f>SUMIFS('Federal Data'!AC2:AC501,'Federal Data'!$G2:$G501,"Housing Support",'Federal Data'!$D2:$D501,"Nongrant")</f>
        <v>-5013000</v>
      </c>
      <c r="T120" s="113">
        <f>SUMIFS('Federal Data'!AD2:AD501,'Federal Data'!$G2:$G501,"Housing Support",'Federal Data'!$D2:$D501,"Nongrant")</f>
        <v>-3993000</v>
      </c>
      <c r="U120" s="113">
        <f>SUMIFS('Federal Data'!AE2:AE501,'Federal Data'!$G2:$G501,"Housing Support",'Federal Data'!$D2:$D501,"Nongrant")</f>
        <v>150000</v>
      </c>
      <c r="V120" s="113">
        <f>SUMIFS('Federal Data'!AF2:AF501,'Federal Data'!$G2:$G501,"Housing Support",'Federal Data'!$D2:$D501,"Nongrant")</f>
        <v>1506000</v>
      </c>
      <c r="W120" s="113">
        <f>SUMIFS('Federal Data'!AG2:AG501,'Federal Data'!$G2:$G501,"Housing Support",'Federal Data'!$D2:$D501,"Nongrant")</f>
        <v>-3289000</v>
      </c>
      <c r="X120" s="113">
        <f>SUMIFS('Federal Data'!AH2:AH501,'Federal Data'!$G2:$G501,"Housing Support",'Federal Data'!$D2:$D501,"Nongrant")</f>
        <v>-1121000</v>
      </c>
      <c r="Y120" s="113">
        <f>SUMIFS('Federal Data'!AI2:AI501,'Federal Data'!$G2:$G501,"Housing Support",'Federal Data'!$D2:$D501,"Nongrant")</f>
        <v>-6963000</v>
      </c>
      <c r="Z120" s="113">
        <f>SUMIFS('Federal Data'!AJ2:AJ501,'Federal Data'!$G2:$G501,"Housing Support",'Federal Data'!$D2:$D501,"Nongrant")</f>
        <v>-3292000</v>
      </c>
      <c r="AA120" s="113">
        <f>SUMIFS('Federal Data'!AK2:AK501,'Federal Data'!$G2:$G501,"Housing Support",'Federal Data'!$D2:$D501,"Nongrant")</f>
        <v>1615000</v>
      </c>
      <c r="AB120" s="113">
        <f>SUMIFS('Federal Data'!AL2:AL501,'Federal Data'!$G2:$G501,"Housing Support",'Federal Data'!$D2:$D501,"Nongrant")</f>
        <v>-1678000</v>
      </c>
      <c r="AC120" s="113">
        <f>SUMIFS('Federal Data'!AM2:AM501,'Federal Data'!$G2:$G501,"Housing Support",'Federal Data'!$D2:$D501,"Nongrant")</f>
        <v>-1040000</v>
      </c>
      <c r="AD120" s="113">
        <f>SUMIFS('Federal Data'!AN2:AN501,'Federal Data'!$G2:$G501,"Housing Support",'Federal Data'!$D2:$D501,"Nongrant")</f>
        <v>-5487000</v>
      </c>
      <c r="AE120" s="113">
        <f>SUMIFS('Federal Data'!AO2:AO501,'Federal Data'!$G2:$G501,"Housing Support",'Federal Data'!$D2:$D501,"Nongrant")</f>
        <v>-681000</v>
      </c>
      <c r="AF120" s="113">
        <f>SUMIFS('Federal Data'!AP2:AP501,'Federal Data'!$G2:$G501,"Housing Support",'Federal Data'!$D2:$D501,"Nongrant")</f>
        <v>99222000</v>
      </c>
      <c r="AG120" s="113">
        <f>SUMIFS('Federal Data'!AQ2:AQ501,'Federal Data'!$G2:$G501,"Housing Support",'Federal Data'!$D2:$D501,"Nongrant")</f>
        <v>35186000</v>
      </c>
      <c r="AH120" s="113">
        <f>SUMIFS('Federal Data'!AR2:AR501,'Federal Data'!$G2:$G501,"Housing Support",'Federal Data'!$D2:$D501,"Nongrant")</f>
        <v>13853000</v>
      </c>
      <c r="AI120" s="113">
        <f>SUMIFS('Federal Data'!AS2:AS501,'Federal Data'!$G2:$G501,"Housing Support",'Federal Data'!$D2:$D501,"Nongrant")</f>
        <v>-8213000</v>
      </c>
      <c r="AJ120" s="113">
        <f>SUMIFS('Federal Data'!AT2:AT501,'Federal Data'!$G2:$G501,"Housing Support",'Federal Data'!$D2:$D501,"Nongrant")</f>
        <v>-88201000</v>
      </c>
      <c r="AK120" s="113">
        <f>SUMIFS('Federal Data'!AU2:AU501,'Federal Data'!$G2:$G501,"Housing Support",'Federal Data'!$D2:$D501,"Nongrant")</f>
        <v>-84349000</v>
      </c>
      <c r="AL120" s="113">
        <f>SUMIFS('Federal Data'!AV2:AV501,'Federal Data'!$G2:$G501,"Housing Support",'Federal Data'!$D2:$D501,"Nongrant")</f>
        <v>-36018000</v>
      </c>
    </row>
    <row r="121" spans="1:38" outlineLevel="4">
      <c r="A121" s="22" t="str">
        <f>B120</f>
        <v>Housing Support</v>
      </c>
      <c r="B121" s="31" t="s">
        <v>274</v>
      </c>
      <c r="C121" s="113">
        <f>SUMIFS('Federal Data'!M2:M501,'Federal Data'!$H2:$H501,"General Housing Support",'Federal Data'!$D2:$D501,"Nongrant")</f>
        <v>2160851</v>
      </c>
      <c r="D121" s="113">
        <f>SUMIFS('Federal Data'!N2:N501,'Federal Data'!$H2:$H501,"General Housing Support",'Federal Data'!$D2:$D501,"Nongrant")</f>
        <v>2008442</v>
      </c>
      <c r="E121" s="113">
        <f>SUMIFS('Federal Data'!O2:O501,'Federal Data'!$H2:$H501,"General Housing Support",'Federal Data'!$D2:$D501,"Nongrant")</f>
        <v>1837666</v>
      </c>
      <c r="F121" s="113">
        <f>SUMIFS('Federal Data'!P2:P501,'Federal Data'!$H2:$H501,"General Housing Support",'Federal Data'!$D2:$D501,"Nongrant")</f>
        <v>1382342</v>
      </c>
      <c r="G121" s="113">
        <f>SUMIFS('Federal Data'!Q2:Q501,'Federal Data'!$H2:$H501,"General Housing Support",'Federal Data'!$D2:$D501,"Nongrant")</f>
        <v>706212</v>
      </c>
      <c r="H121" s="113">
        <f>SUMIFS('Federal Data'!R2:R501,'Federal Data'!$H2:$H501,"General Housing Support",'Federal Data'!$D2:$D501,"Nongrant")</f>
        <v>-1222485</v>
      </c>
      <c r="I121" s="113">
        <f>SUMIFS('Federal Data'!S2:S501,'Federal Data'!$H2:$H501,"General Housing Support",'Federal Data'!$D2:$D501,"Nongrant")</f>
        <v>-2591356</v>
      </c>
      <c r="J121" s="113">
        <f>SUMIFS('Federal Data'!T2:T501,'Federal Data'!$H2:$H501,"General Housing Support",'Federal Data'!$D2:$D501,"Nongrant")</f>
        <v>-1249851</v>
      </c>
      <c r="K121" s="113">
        <f>SUMIFS('Federal Data'!U2:U501,'Federal Data'!$H2:$H501,"General Housing Support",'Federal Data'!$D2:$D501,"Nongrant")</f>
        <v>1204145</v>
      </c>
      <c r="L121" s="113">
        <f>SUMIFS('Federal Data'!V2:V501,'Federal Data'!$H2:$H501,"General Housing Support",'Federal Data'!$D2:$D501,"Nongrant")</f>
        <v>1655584</v>
      </c>
      <c r="M121" s="113">
        <f>SUMIFS('Federal Data'!W2:W501,'Federal Data'!$H2:$H501,"General Housing Support",'Federal Data'!$D2:$D501,"Nongrant")</f>
        <v>873051</v>
      </c>
      <c r="N121" s="113">
        <f>SUMIFS('Federal Data'!X2:X501,'Federal Data'!$H2:$H501,"General Housing Support",'Federal Data'!$D2:$D501,"Nongrant")</f>
        <v>2131121</v>
      </c>
      <c r="O121" s="113">
        <f>SUMIFS('Federal Data'!Y2:Y501,'Federal Data'!$H2:$H501,"General Housing Support",'Federal Data'!$D2:$D501,"Nongrant")</f>
        <v>2335045</v>
      </c>
      <c r="P121" s="113">
        <f>SUMIFS('Federal Data'!Z2:Z501,'Federal Data'!$H2:$H501,"General Housing Support",'Federal Data'!$D2:$D501,"Nongrant")</f>
        <v>443692</v>
      </c>
      <c r="Q121" s="113">
        <f>SUMIFS('Federal Data'!AA2:AA501,'Federal Data'!$H2:$H501,"General Housing Support",'Federal Data'!$D2:$D501,"Nongrant")</f>
        <v>-1598760</v>
      </c>
      <c r="R121" s="113">
        <f>SUMIFS('Federal Data'!AB2:AB501,'Federal Data'!$H2:$H501,"General Housing Support",'Federal Data'!$D2:$D501,"Nongrant")</f>
        <v>-2605000</v>
      </c>
      <c r="S121" s="113">
        <f>SUMIFS('Federal Data'!AC2:AC501,'Federal Data'!$H2:$H501,"General Housing Support",'Federal Data'!$D2:$D501,"Nongrant")</f>
        <v>-5759000</v>
      </c>
      <c r="T121" s="113">
        <f>SUMIFS('Federal Data'!AD2:AD501,'Federal Data'!$H2:$H501,"General Housing Support",'Federal Data'!$D2:$D501,"Nongrant")</f>
        <v>-4468000</v>
      </c>
      <c r="U121" s="113">
        <f>SUMIFS('Federal Data'!AE2:AE501,'Federal Data'!$H2:$H501,"General Housing Support",'Federal Data'!$D2:$D501,"Nongrant")</f>
        <v>329000</v>
      </c>
      <c r="V121" s="113">
        <f>SUMIFS('Federal Data'!AF2:AF501,'Federal Data'!$H2:$H501,"General Housing Support",'Federal Data'!$D2:$D501,"Nongrant")</f>
        <v>1841000</v>
      </c>
      <c r="W121" s="113">
        <f>SUMIFS('Federal Data'!AG2:AG501,'Federal Data'!$H2:$H501,"General Housing Support",'Federal Data'!$D2:$D501,"Nongrant")</f>
        <v>-2677000</v>
      </c>
      <c r="X121" s="113">
        <f>SUMIFS('Federal Data'!AH2:AH501,'Federal Data'!$H2:$H501,"General Housing Support",'Federal Data'!$D2:$D501,"Nongrant")</f>
        <v>-653000</v>
      </c>
      <c r="Y121" s="113">
        <f>SUMIFS('Federal Data'!AI2:AI501,'Federal Data'!$H2:$H501,"General Housing Support",'Federal Data'!$D2:$D501,"Nongrant")</f>
        <v>-6255000</v>
      </c>
      <c r="Z121" s="113">
        <f>SUMIFS('Federal Data'!AJ2:AJ501,'Federal Data'!$H2:$H501,"General Housing Support",'Federal Data'!$D2:$D501,"Nongrant")</f>
        <v>-2005000</v>
      </c>
      <c r="AA121" s="113">
        <f>SUMIFS('Federal Data'!AK2:AK501,'Federal Data'!$H2:$H501,"General Housing Support",'Federal Data'!$D2:$D501,"Nongrant")</f>
        <v>2141000</v>
      </c>
      <c r="AB121" s="113">
        <f>SUMIFS('Federal Data'!AL2:AL501,'Federal Data'!$H2:$H501,"General Housing Support",'Federal Data'!$D2:$D501,"Nongrant")</f>
        <v>-865000</v>
      </c>
      <c r="AC121" s="113">
        <f>SUMIFS('Federal Data'!AM2:AM501,'Federal Data'!$H2:$H501,"General Housing Support",'Federal Data'!$D2:$D501,"Nongrant")</f>
        <v>-783000</v>
      </c>
      <c r="AD121" s="113">
        <f>SUMIFS('Federal Data'!AN2:AN501,'Federal Data'!$H2:$H501,"General Housing Support",'Federal Data'!$D2:$D501,"Nongrant")</f>
        <v>-5171000</v>
      </c>
      <c r="AE121" s="113">
        <f>SUMIFS('Federal Data'!AO2:AO501,'Federal Data'!$H2:$H501,"General Housing Support",'Federal Data'!$D2:$D501,"Nongrant")</f>
        <v>-521000</v>
      </c>
      <c r="AF121" s="113">
        <f>SUMIFS('Federal Data'!AP2:AP501,'Federal Data'!$H2:$H501,"General Housing Support",'Federal Data'!$D2:$D501,"Nongrant")</f>
        <v>12928000</v>
      </c>
      <c r="AG121" s="113">
        <f>SUMIFS('Federal Data'!AQ2:AQ501,'Federal Data'!$H2:$H501,"General Housing Support",'Federal Data'!$D2:$D501,"Nongrant")</f>
        <v>4004000</v>
      </c>
      <c r="AH121" s="113">
        <f>SUMIFS('Federal Data'!AR2:AR501,'Federal Data'!$H2:$H501,"General Housing Support",'Federal Data'!$D2:$D501,"Nongrant")</f>
        <v>875000</v>
      </c>
      <c r="AI121" s="113">
        <f>SUMIFS('Federal Data'!AS2:AS501,'Federal Data'!$H2:$H501,"General Housing Support",'Federal Data'!$D2:$D501,"Nongrant")</f>
        <v>-1308000</v>
      </c>
      <c r="AJ121" s="113">
        <f>SUMIFS('Federal Data'!AT2:AT501,'Federal Data'!$H2:$H501,"General Housing Support",'Federal Data'!$D2:$D501,"Nongrant")</f>
        <v>7777000</v>
      </c>
      <c r="AK121" s="113">
        <f>SUMIFS('Federal Data'!AU2:AU501,'Federal Data'!$H2:$H501,"General Housing Support",'Federal Data'!$D2:$D501,"Nongrant")</f>
        <v>-10662000</v>
      </c>
      <c r="AL121" s="113">
        <f>SUMIFS('Federal Data'!AV2:AV501,'Federal Data'!$H2:$H501,"General Housing Support",'Federal Data'!$D2:$D501,"Nongrant")</f>
        <v>-14152000</v>
      </c>
    </row>
    <row r="122" spans="1:38" outlineLevel="4">
      <c r="A122" s="22" t="str">
        <f>B120</f>
        <v>Housing Support</v>
      </c>
      <c r="B122" s="31" t="s">
        <v>298</v>
      </c>
      <c r="C122" s="113">
        <f>SUMIFS('Federal Data'!M2:M501,'Federal Data'!$H2:$H501,"GSE",'Federal Data'!$D2:$D501,"Nongrant")</f>
        <v>0</v>
      </c>
      <c r="D122" s="113">
        <f>SUMIFS('Federal Data'!N2:N501,'Federal Data'!$H2:$H501,"GSE",'Federal Data'!$D2:$D501,"Nongrant")</f>
        <v>0</v>
      </c>
      <c r="E122" s="113">
        <f>SUMIFS('Federal Data'!O2:O501,'Federal Data'!$H2:$H501,"GSE",'Federal Data'!$D2:$D501,"Nongrant")</f>
        <v>0</v>
      </c>
      <c r="F122" s="113">
        <f>SUMIFS('Federal Data'!P2:P501,'Federal Data'!$H2:$H501,"GSE",'Federal Data'!$D2:$D501,"Nongrant")</f>
        <v>0</v>
      </c>
      <c r="G122" s="113">
        <f>SUMIFS('Federal Data'!Q2:Q501,'Federal Data'!$H2:$H501,"GSE",'Federal Data'!$D2:$D501,"Nongrant")</f>
        <v>0</v>
      </c>
      <c r="H122" s="113">
        <f>SUMIFS('Federal Data'!R2:R501,'Federal Data'!$H2:$H501,"GSE",'Federal Data'!$D2:$D501,"Nongrant")</f>
        <v>0</v>
      </c>
      <c r="I122" s="113">
        <f>SUMIFS('Federal Data'!S2:S501,'Federal Data'!$H2:$H501,"GSE",'Federal Data'!$D2:$D501,"Nongrant")</f>
        <v>0</v>
      </c>
      <c r="J122" s="113">
        <f>SUMIFS('Federal Data'!T2:T501,'Federal Data'!$H2:$H501,"GSE",'Federal Data'!$D2:$D501,"Nongrant")</f>
        <v>0</v>
      </c>
      <c r="K122" s="113">
        <f>SUMIFS('Federal Data'!U2:U501,'Federal Data'!$H2:$H501,"GSE",'Federal Data'!$D2:$D501,"Nongrant")</f>
        <v>0</v>
      </c>
      <c r="L122" s="113">
        <f>SUMIFS('Federal Data'!V2:V501,'Federal Data'!$H2:$H501,"GSE",'Federal Data'!$D2:$D501,"Nongrant")</f>
        <v>0</v>
      </c>
      <c r="M122" s="113">
        <f>SUMIFS('Federal Data'!W2:W501,'Federal Data'!$H2:$H501,"GSE",'Federal Data'!$D2:$D501,"Nongrant")</f>
        <v>0</v>
      </c>
      <c r="N122" s="113">
        <f>SUMIFS('Federal Data'!X2:X501,'Federal Data'!$H2:$H501,"GSE",'Federal Data'!$D2:$D501,"Nongrant")</f>
        <v>0</v>
      </c>
      <c r="O122" s="113">
        <f>SUMIFS('Federal Data'!Y2:Y501,'Federal Data'!$H2:$H501,"GSE",'Federal Data'!$D2:$D501,"Nongrant")</f>
        <v>0</v>
      </c>
      <c r="P122" s="113">
        <f>SUMIFS('Federal Data'!Z2:Z501,'Federal Data'!$H2:$H501,"GSE",'Federal Data'!$D2:$D501,"Nongrant")</f>
        <v>0</v>
      </c>
      <c r="Q122" s="113">
        <f>SUMIFS('Federal Data'!AA2:AA501,'Federal Data'!$H2:$H501,"GSE",'Federal Data'!$D2:$D501,"Nongrant")</f>
        <v>0</v>
      </c>
      <c r="R122" s="113">
        <f>SUMIFS('Federal Data'!AB2:AB501,'Federal Data'!$H2:$H501,"GSE",'Federal Data'!$D2:$D501,"Nongrant")</f>
        <v>0</v>
      </c>
      <c r="S122" s="113">
        <f>SUMIFS('Federal Data'!AC2:AC501,'Federal Data'!$H2:$H501,"GSE",'Federal Data'!$D2:$D501,"Nongrant")</f>
        <v>0</v>
      </c>
      <c r="T122" s="113">
        <f>SUMIFS('Federal Data'!AD2:AD501,'Federal Data'!$H2:$H501,"GSE",'Federal Data'!$D2:$D501,"Nongrant")</f>
        <v>0</v>
      </c>
      <c r="U122" s="113">
        <f>SUMIFS('Federal Data'!AE2:AE501,'Federal Data'!$H2:$H501,"GSE",'Federal Data'!$D2:$D501,"Nongrant")</f>
        <v>0</v>
      </c>
      <c r="V122" s="113">
        <f>SUMIFS('Federal Data'!AF2:AF501,'Federal Data'!$H2:$H501,"GSE",'Federal Data'!$D2:$D501,"Nongrant")</f>
        <v>0</v>
      </c>
      <c r="W122" s="113">
        <f>SUMIFS('Federal Data'!AG2:AG501,'Federal Data'!$H2:$H501,"GSE",'Federal Data'!$D2:$D501,"Nongrant")</f>
        <v>0</v>
      </c>
      <c r="X122" s="113">
        <f>SUMIFS('Federal Data'!AH2:AH501,'Federal Data'!$H2:$H501,"GSE",'Federal Data'!$D2:$D501,"Nongrant")</f>
        <v>0</v>
      </c>
      <c r="Y122" s="113">
        <f>SUMIFS('Federal Data'!AI2:AI501,'Federal Data'!$H2:$H501,"GSE",'Federal Data'!$D2:$D501,"Nongrant")</f>
        <v>0</v>
      </c>
      <c r="Z122" s="113">
        <f>SUMIFS('Federal Data'!AJ2:AJ501,'Federal Data'!$H2:$H501,"GSE",'Federal Data'!$D2:$D501,"Nongrant")</f>
        <v>0</v>
      </c>
      <c r="AA122" s="113">
        <f>SUMIFS('Federal Data'!AK2:AK501,'Federal Data'!$H2:$H501,"GSE",'Federal Data'!$D2:$D501,"Nongrant")</f>
        <v>0</v>
      </c>
      <c r="AB122" s="113">
        <f>SUMIFS('Federal Data'!AL2:AL501,'Federal Data'!$H2:$H501,"GSE",'Federal Data'!$D2:$D501,"Nongrant")</f>
        <v>0</v>
      </c>
      <c r="AC122" s="113">
        <f>SUMIFS('Federal Data'!AM2:AM501,'Federal Data'!$H2:$H501,"GSE",'Federal Data'!$D2:$D501,"Nongrant")</f>
        <v>0</v>
      </c>
      <c r="AD122" s="113">
        <f>SUMIFS('Federal Data'!AN2:AN501,'Federal Data'!$H2:$H501,"GSE",'Federal Data'!$D2:$D501,"Nongrant")</f>
        <v>0</v>
      </c>
      <c r="AE122" s="113">
        <f>SUMIFS('Federal Data'!AO2:AO501,'Federal Data'!$H2:$H501,"GSE",'Federal Data'!$D2:$D501,"Nongrant")</f>
        <v>-54000</v>
      </c>
      <c r="AF122" s="113">
        <f>SUMIFS('Federal Data'!AP2:AP501,'Federal Data'!$H2:$H501,"GSE",'Federal Data'!$D2:$D501,"Nongrant")</f>
        <v>86776000</v>
      </c>
      <c r="AG122" s="113">
        <f>SUMIFS('Federal Data'!AQ2:AQ501,'Federal Data'!$H2:$H501,"GSE",'Federal Data'!$D2:$D501,"Nongrant")</f>
        <v>30876000</v>
      </c>
      <c r="AH122" s="113">
        <f>SUMIFS('Federal Data'!AR2:AR501,'Federal Data'!$H2:$H501,"GSE",'Federal Data'!$D2:$D501,"Nongrant")</f>
        <v>12633000</v>
      </c>
      <c r="AI122" s="113">
        <f>SUMIFS('Federal Data'!AS2:AS501,'Federal Data'!$H2:$H501,"GSE",'Federal Data'!$D2:$D501,"Nongrant")</f>
        <v>-7527000</v>
      </c>
      <c r="AJ122" s="113">
        <f>SUMIFS('Federal Data'!AT2:AT501,'Federal Data'!$H2:$H501,"GSE",'Federal Data'!$D2:$D501,"Nongrant")</f>
        <v>-96888000</v>
      </c>
      <c r="AK122" s="113">
        <f>SUMIFS('Federal Data'!AU2:AU501,'Federal Data'!$H2:$H501,"GSE",'Federal Data'!$D2:$D501,"Nongrant")</f>
        <v>-74463000</v>
      </c>
      <c r="AL122" s="113">
        <f>SUMIFS('Federal Data'!AV2:AV501,'Federal Data'!$H2:$H501,"GSE",'Federal Data'!$D2:$D501,"Nongrant")</f>
        <v>-22557000</v>
      </c>
    </row>
    <row r="123" spans="1:38" outlineLevel="4">
      <c r="A123" s="22" t="str">
        <f>B120</f>
        <v>Housing Support</v>
      </c>
      <c r="B123" s="31" t="s">
        <v>275</v>
      </c>
      <c r="C123" s="113">
        <f>SUMIFS('Federal Data'!M2:M501,'Federal Data'!$H2:$H501,"Rural Housing",'Federal Data'!$D2:$D501,"Nongrant")</f>
        <v>3624192</v>
      </c>
      <c r="D123" s="113">
        <f>SUMIFS('Federal Data'!N2:N501,'Federal Data'!$H2:$H501,"Rural Housing",'Federal Data'!$D2:$D501,"Nongrant")</f>
        <v>3914091</v>
      </c>
      <c r="E123" s="113">
        <f>SUMIFS('Federal Data'!O2:O501,'Federal Data'!$H2:$H501,"Rural Housing",'Federal Data'!$D2:$D501,"Nongrant")</f>
        <v>4045549</v>
      </c>
      <c r="F123" s="113">
        <f>SUMIFS('Federal Data'!P2:P501,'Federal Data'!$H2:$H501,"Rural Housing",'Federal Data'!$D2:$D501,"Nongrant")</f>
        <v>3584128</v>
      </c>
      <c r="G123" s="113">
        <f>SUMIFS('Federal Data'!Q2:Q501,'Federal Data'!$H2:$H501,"Rural Housing",'Federal Data'!$D2:$D501,"Nongrant")</f>
        <v>3429853</v>
      </c>
      <c r="H123" s="113">
        <f>SUMIFS('Federal Data'!R2:R501,'Federal Data'!$H2:$H501,"Rural Housing",'Federal Data'!$D2:$D501,"Nongrant")</f>
        <v>3970746</v>
      </c>
      <c r="I123" s="113">
        <f>SUMIFS('Federal Data'!S2:S501,'Federal Data'!$H2:$H501,"Rural Housing",'Federal Data'!$D2:$D501,"Nongrant")</f>
        <v>3235108</v>
      </c>
      <c r="J123" s="113">
        <f>SUMIFS('Federal Data'!T2:T501,'Federal Data'!$H2:$H501,"Rural Housing",'Federal Data'!$D2:$D501,"Nongrant")</f>
        <v>798822</v>
      </c>
      <c r="K123" s="113">
        <f>SUMIFS('Federal Data'!U2:U501,'Federal Data'!$H2:$H501,"Rural Housing",'Federal Data'!$D2:$D501,"Nongrant")</f>
        <v>3611603</v>
      </c>
      <c r="L123" s="113">
        <f>SUMIFS('Federal Data'!V2:V501,'Federal Data'!$H2:$H501,"Rural Housing",'Federal Data'!$D2:$D501,"Nongrant")</f>
        <v>3610488</v>
      </c>
      <c r="M123" s="113">
        <f>SUMIFS('Federal Data'!W2:W501,'Federal Data'!$H2:$H501,"Rural Housing",'Federal Data'!$D2:$D501,"Nongrant")</f>
        <v>3014360</v>
      </c>
      <c r="N123" s="113">
        <f>SUMIFS('Federal Data'!X2:X501,'Federal Data'!$H2:$H501,"Rural Housing",'Federal Data'!$D2:$D501,"Nongrant")</f>
        <v>3238203</v>
      </c>
      <c r="O123" s="113">
        <f>SUMIFS('Federal Data'!Y2:Y501,'Federal Data'!$H2:$H501,"Rural Housing",'Federal Data'!$D2:$D501,"Nongrant")</f>
        <v>1994055</v>
      </c>
      <c r="P123" s="113">
        <f>SUMIFS('Federal Data'!Z2:Z501,'Federal Data'!$H2:$H501,"Rural Housing",'Federal Data'!$D2:$D501,"Nongrant")</f>
        <v>1118431</v>
      </c>
      <c r="Q123" s="113">
        <f>SUMIFS('Federal Data'!AA2:AA501,'Federal Data'!$H2:$H501,"Rural Housing",'Federal Data'!$D2:$D501,"Nongrant")</f>
        <v>1107193</v>
      </c>
      <c r="R123" s="113">
        <f>SUMIFS('Federal Data'!AB2:AB501,'Federal Data'!$H2:$H501,"Rural Housing",'Federal Data'!$D2:$D501,"Nongrant")</f>
        <v>1580000</v>
      </c>
      <c r="S123" s="113">
        <f>SUMIFS('Federal Data'!AC2:AC501,'Federal Data'!$H2:$H501,"Rural Housing",'Federal Data'!$D2:$D501,"Nongrant")</f>
        <v>746000</v>
      </c>
      <c r="T123" s="113">
        <f>SUMIFS('Federal Data'!AD2:AD501,'Federal Data'!$H2:$H501,"Rural Housing",'Federal Data'!$D2:$D501,"Nongrant")</f>
        <v>475000</v>
      </c>
      <c r="U123" s="113">
        <f>SUMIFS('Federal Data'!AE2:AE501,'Federal Data'!$H2:$H501,"Rural Housing",'Federal Data'!$D2:$D501,"Nongrant")</f>
        <v>-179000</v>
      </c>
      <c r="V123" s="113">
        <f>SUMIFS('Federal Data'!AF2:AF501,'Federal Data'!$H2:$H501,"Rural Housing",'Federal Data'!$D2:$D501,"Nongrant")</f>
        <v>-335000</v>
      </c>
      <c r="W123" s="113">
        <f>SUMIFS('Federal Data'!AG2:AG501,'Federal Data'!$H2:$H501,"Rural Housing",'Federal Data'!$D2:$D501,"Nongrant")</f>
        <v>-612000</v>
      </c>
      <c r="X123" s="113">
        <f>SUMIFS('Federal Data'!AH2:AH501,'Federal Data'!$H2:$H501,"Rural Housing",'Federal Data'!$D2:$D501,"Nongrant")</f>
        <v>-468000</v>
      </c>
      <c r="Y123" s="113">
        <f>SUMIFS('Federal Data'!AI2:AI501,'Federal Data'!$H2:$H501,"Rural Housing",'Federal Data'!$D2:$D501,"Nongrant")</f>
        <v>-708000</v>
      </c>
      <c r="Z123" s="113">
        <f>SUMIFS('Federal Data'!AJ2:AJ501,'Federal Data'!$H2:$H501,"Rural Housing",'Federal Data'!$D2:$D501,"Nongrant")</f>
        <v>-1287000</v>
      </c>
      <c r="AA123" s="113">
        <f>SUMIFS('Federal Data'!AK2:AK501,'Federal Data'!$H2:$H501,"Rural Housing",'Federal Data'!$D2:$D501,"Nongrant")</f>
        <v>-526000</v>
      </c>
      <c r="AB123" s="113">
        <f>SUMIFS('Federal Data'!AL2:AL501,'Federal Data'!$H2:$H501,"Rural Housing",'Federal Data'!$D2:$D501,"Nongrant")</f>
        <v>-813000</v>
      </c>
      <c r="AC123" s="113">
        <f>SUMIFS('Federal Data'!AM2:AM501,'Federal Data'!$H2:$H501,"Rural Housing",'Federal Data'!$D2:$D501,"Nongrant")</f>
        <v>-257000</v>
      </c>
      <c r="AD123" s="113">
        <f>SUMIFS('Federal Data'!AN2:AN501,'Federal Data'!$H2:$H501,"Rural Housing",'Federal Data'!$D2:$D501,"Nongrant")</f>
        <v>-316000</v>
      </c>
      <c r="AE123" s="113">
        <f>SUMIFS('Federal Data'!AO2:AO501,'Federal Data'!$H2:$H501,"Rural Housing",'Federal Data'!$D2:$D501,"Nongrant")</f>
        <v>-106000</v>
      </c>
      <c r="AF123" s="113">
        <f>SUMIFS('Federal Data'!AP2:AP501,'Federal Data'!$H2:$H501,"Rural Housing",'Federal Data'!$D2:$D501,"Nongrant")</f>
        <v>-482000</v>
      </c>
      <c r="AG123" s="113">
        <f>SUMIFS('Federal Data'!AQ2:AQ501,'Federal Data'!$H2:$H501,"Rural Housing",'Federal Data'!$D2:$D501,"Nongrant")</f>
        <v>306000</v>
      </c>
      <c r="AH123" s="113">
        <f>SUMIFS('Federal Data'!AR2:AR501,'Federal Data'!$H2:$H501,"Rural Housing",'Federal Data'!$D2:$D501,"Nongrant")</f>
        <v>345000</v>
      </c>
      <c r="AI123" s="113">
        <f>SUMIFS('Federal Data'!AS2:AS501,'Federal Data'!$H2:$H501,"Rural Housing",'Federal Data'!$D2:$D501,"Nongrant")</f>
        <v>622000</v>
      </c>
      <c r="AJ123" s="113">
        <f>SUMIFS('Federal Data'!AT2:AT501,'Federal Data'!$H2:$H501,"Rural Housing",'Federal Data'!$D2:$D501,"Nongrant")</f>
        <v>910000</v>
      </c>
      <c r="AK123" s="113">
        <f>SUMIFS('Federal Data'!AU2:AU501,'Federal Data'!$H2:$H501,"Rural Housing",'Federal Data'!$D2:$D501,"Nongrant")</f>
        <v>776000</v>
      </c>
      <c r="AL123" s="113">
        <f>SUMIFS('Federal Data'!AV2:AV501,'Federal Data'!$H2:$H501,"Rural Housing",'Federal Data'!$D2:$D501,"Nongrant")</f>
        <v>691000</v>
      </c>
    </row>
    <row r="124" spans="1:38" outlineLevel="3">
      <c r="A124" s="22" t="str">
        <f>B113</f>
        <v>Wealth and Savings</v>
      </c>
      <c r="B124" s="29" t="s">
        <v>41</v>
      </c>
      <c r="C124" s="113">
        <f>SUMIFS('Federal Data'!M2:M501,'Federal Data'!$E2:$E501,"Obligations",'Federal Data'!$D2:$D501,"Nongrant")</f>
        <v>65436101</v>
      </c>
      <c r="D124" s="113">
        <f>SUMIFS('Federal Data'!N2:N501,'Federal Data'!$E2:$E501,"Obligations",'Federal Data'!$D2:$D501,"Nongrant")</f>
        <v>84808726</v>
      </c>
      <c r="E124" s="113">
        <f>SUMIFS('Federal Data'!O2:O501,'Federal Data'!$E2:$E501,"Obligations",'Federal Data'!$D2:$D501,"Nongrant")</f>
        <v>102599241</v>
      </c>
      <c r="F124" s="113">
        <f>SUMIFS('Federal Data'!P2:P501,'Federal Data'!$E2:$E501,"Obligations",'Federal Data'!$D2:$D501,"Nongrant")</f>
        <v>106779158</v>
      </c>
      <c r="G124" s="113">
        <f>SUMIFS('Federal Data'!Q2:Q501,'Federal Data'!$E2:$E501,"Obligations",'Federal Data'!$D2:$D501,"Nongrant")</f>
        <v>128682530</v>
      </c>
      <c r="H124" s="113">
        <f>SUMIFS('Federal Data'!R2:R501,'Federal Data'!$E2:$E501,"Obligations",'Federal Data'!$D2:$D501,"Nongrant")</f>
        <v>146191177</v>
      </c>
      <c r="I124" s="113">
        <f>SUMIFS('Federal Data'!S2:S501,'Federal Data'!$E2:$E501,"Obligations",'Federal Data'!$D2:$D501,"Nongrant")</f>
        <v>154296532</v>
      </c>
      <c r="J124" s="113">
        <f>SUMIFS('Federal Data'!T2:T501,'Federal Data'!$E2:$E501,"Obligations",'Federal Data'!$D2:$D501,"Nongrant")</f>
        <v>158715948</v>
      </c>
      <c r="K124" s="113">
        <f>SUMIFS('Federal Data'!U2:U501,'Federal Data'!$E2:$E501,"Obligations",'Federal Data'!$D2:$D501,"Nongrant")</f>
        <v>173024208</v>
      </c>
      <c r="L124" s="113">
        <f>SUMIFS('Federal Data'!V2:V501,'Federal Data'!$E2:$E501,"Obligations",'Federal Data'!$D2:$D501,"Nongrant")</f>
        <v>191071591</v>
      </c>
      <c r="M124" s="113">
        <f>SUMIFS('Federal Data'!W2:W501,'Federal Data'!$E2:$E501,"Obligations",'Federal Data'!$D2:$D501,"Nongrant")</f>
        <v>211632876</v>
      </c>
      <c r="N124" s="113">
        <f>SUMIFS('Federal Data'!X2:X501,'Federal Data'!$E2:$E501,"Obligations",'Federal Data'!$D2:$D501,"Nongrant")</f>
        <v>224347241</v>
      </c>
      <c r="O124" s="113">
        <f>SUMIFS('Federal Data'!Y2:Y501,'Federal Data'!$E2:$E501,"Obligations",'Federal Data'!$D2:$D501,"Nongrant")</f>
        <v>231265093</v>
      </c>
      <c r="P124" s="113">
        <f>SUMIFS('Federal Data'!Z2:Z501,'Federal Data'!$E2:$E501,"Obligations",'Federal Data'!$D2:$D501,"Nongrant")</f>
        <v>235586884</v>
      </c>
      <c r="Q124" s="113">
        <f>SUMIFS('Federal Data'!AA2:AA501,'Federal Data'!$E2:$E501,"Obligations",'Federal Data'!$D2:$D501,"Nongrant")</f>
        <v>242534407</v>
      </c>
      <c r="R124" s="113">
        <f>SUMIFS('Federal Data'!AB2:AB501,'Federal Data'!$E2:$E501,"Obligations",'Federal Data'!$D2:$D501,"Nongrant")</f>
        <v>275997000</v>
      </c>
      <c r="S124" s="113">
        <f>SUMIFS('Federal Data'!AC2:AC501,'Federal Data'!$E2:$E501,"Obligations",'Federal Data'!$D2:$D501,"Nongrant")</f>
        <v>288188000</v>
      </c>
      <c r="T124" s="113">
        <f>SUMIFS('Federal Data'!AD2:AD501,'Federal Data'!$E2:$E501,"Obligations",'Federal Data'!$D2:$D501,"Nongrant")</f>
        <v>294665000</v>
      </c>
      <c r="U124" s="113">
        <f>SUMIFS('Federal Data'!AE2:AE501,'Federal Data'!$E2:$E501,"Obligations",'Federal Data'!$D2:$D501,"Nongrant")</f>
        <v>293653000</v>
      </c>
      <c r="V124" s="113">
        <f>SUMIFS('Federal Data'!AF2:AF501,'Federal Data'!$E2:$E501,"Obligations",'Federal Data'!$D2:$D501,"Nongrant")</f>
        <v>284006000</v>
      </c>
      <c r="W124" s="113">
        <f>SUMIFS('Federal Data'!AG2:AG501,'Federal Data'!$E2:$E501,"Obligations",'Federal Data'!$D2:$D501,"Nongrant")</f>
        <v>277563000</v>
      </c>
      <c r="X124" s="113">
        <f>SUMIFS('Federal Data'!AH2:AH501,'Federal Data'!$E2:$E501,"Obligations",'Federal Data'!$D2:$D501,"Nongrant")</f>
        <v>263932000</v>
      </c>
      <c r="Y124" s="113">
        <f>SUMIFS('Federal Data'!AI2:AI501,'Federal Data'!$E2:$E501,"Obligations",'Federal Data'!$D2:$D501,"Nongrant")</f>
        <v>229099000</v>
      </c>
      <c r="Z124" s="113">
        <f>SUMIFS('Federal Data'!AJ2:AJ501,'Federal Data'!$E2:$E501,"Obligations",'Federal Data'!$D2:$D501,"Nongrant")</f>
        <v>211267000</v>
      </c>
      <c r="AA124" s="113">
        <f>SUMIFS('Federal Data'!AK2:AK501,'Federal Data'!$E2:$E501,"Obligations",'Federal Data'!$D2:$D501,"Nongrant")</f>
        <v>220437000</v>
      </c>
      <c r="AB124" s="113">
        <f>SUMIFS('Federal Data'!AL2:AL501,'Federal Data'!$E2:$E501,"Obligations",'Federal Data'!$D2:$D501,"Nongrant")</f>
        <v>245347000</v>
      </c>
      <c r="AC124" s="113">
        <f>SUMIFS('Federal Data'!AM2:AM501,'Federal Data'!$E2:$E501,"Obligations",'Federal Data'!$D2:$D501,"Nongrant")</f>
        <v>292556000</v>
      </c>
      <c r="AD124" s="113">
        <f>SUMIFS('Federal Data'!AN2:AN501,'Federal Data'!$E2:$E501,"Obligations",'Federal Data'!$D2:$D501,"Nongrant")</f>
        <v>302225000</v>
      </c>
      <c r="AE124" s="113">
        <f>SUMIFS('Federal Data'!AO2:AO501,'Federal Data'!$E2:$E501,"Obligations",'Federal Data'!$D2:$D501,"Nongrant")</f>
        <v>324180000</v>
      </c>
      <c r="AF124" s="113">
        <f>SUMIFS('Federal Data'!AP2:AP501,'Federal Data'!$E2:$E501,"Obligations",'Federal Data'!$D2:$D501,"Nongrant")</f>
        <v>269162000</v>
      </c>
      <c r="AG124" s="113">
        <f>SUMIFS('Federal Data'!AQ2:AQ501,'Federal Data'!$E2:$E501,"Obligations",'Federal Data'!$D2:$D501,"Nongrant")</f>
        <v>269973000</v>
      </c>
      <c r="AH124" s="113">
        <f>SUMIFS('Federal Data'!AR2:AR501,'Federal Data'!$E2:$E501,"Obligations",'Federal Data'!$D2:$D501,"Nongrant")</f>
        <v>310155000</v>
      </c>
      <c r="AI124" s="113">
        <f>SUMIFS('Federal Data'!AS2:AS501,'Federal Data'!$E2:$E501,"Obligations",'Federal Data'!$D2:$D501,"Nongrant")</f>
        <v>296337000</v>
      </c>
      <c r="AJ124" s="113">
        <f>SUMIFS('Federal Data'!AT2:AT501,'Federal Data'!$E2:$E501,"Obligations",'Federal Data'!$D2:$D501,"Nongrant")</f>
        <v>309108000</v>
      </c>
      <c r="AK124" s="113">
        <f>SUMIFS('Federal Data'!AU2:AU501,'Federal Data'!$E2:$E501,"Obligations",'Federal Data'!$D2:$D501,"Nongrant")</f>
        <v>324921000</v>
      </c>
      <c r="AL124" s="113">
        <f>SUMIFS('Federal Data'!AV2:AV501,'Federal Data'!$E2:$E501,"Obligations",'Federal Data'!$D2:$D501,"Nongrant")</f>
        <v>323988000</v>
      </c>
    </row>
    <row r="125" spans="1:38" outlineLevel="3">
      <c r="A125" s="22" t="str">
        <f>B124</f>
        <v>Obligations</v>
      </c>
      <c r="B125" s="31" t="s">
        <v>42</v>
      </c>
      <c r="C125" s="113">
        <f>SUMIFS('Federal Data'!M2:M501,'Federal Data'!$F2:$F501,"Employee Retirement and Disability Benefits",'Federal Data'!$D2:$D501,"Nongrant")</f>
        <v>27291545</v>
      </c>
      <c r="D125" s="113">
        <f>SUMIFS('Federal Data'!N2:N501,'Federal Data'!$F2:$F501,"Employee Retirement and Disability Benefits",'Federal Data'!$D2:$D501,"Nongrant")</f>
        <v>32183775</v>
      </c>
      <c r="E125" s="113">
        <f>SUMIFS('Federal Data'!O2:O501,'Federal Data'!$F2:$F501,"Employee Retirement and Disability Benefits",'Federal Data'!$D2:$D501,"Nongrant")</f>
        <v>35373841</v>
      </c>
      <c r="F125" s="113">
        <f>SUMIFS('Federal Data'!P2:P501,'Federal Data'!$F2:$F501,"Employee Retirement and Disability Benefits",'Federal Data'!$D2:$D501,"Nongrant")</f>
        <v>37623621</v>
      </c>
      <c r="G125" s="113">
        <f>SUMIFS('Federal Data'!Q2:Q501,'Federal Data'!$F2:$F501,"Employee Retirement and Disability Benefits",'Federal Data'!$D2:$D501,"Nongrant")</f>
        <v>39494300</v>
      </c>
      <c r="H125" s="113">
        <f>SUMIFS('Federal Data'!R2:R501,'Federal Data'!$F2:$F501,"Employee Retirement and Disability Benefits",'Federal Data'!$D2:$D501,"Nongrant")</f>
        <v>39912061</v>
      </c>
      <c r="I125" s="113">
        <f>SUMIFS('Federal Data'!S2:S501,'Federal Data'!$F2:$F501,"Employee Retirement and Disability Benefits",'Federal Data'!$D2:$D501,"Nongrant")</f>
        <v>42109868</v>
      </c>
      <c r="J125" s="113">
        <f>SUMIFS('Federal Data'!T2:T501,'Federal Data'!$F2:$F501,"Employee Retirement and Disability Benefits",'Federal Data'!$D2:$D501,"Nongrant")</f>
        <v>45663822</v>
      </c>
      <c r="K125" s="113">
        <f>SUMIFS('Federal Data'!U2:U501,'Federal Data'!$F2:$F501,"Employee Retirement and Disability Benefits",'Federal Data'!$D2:$D501,"Nongrant")</f>
        <v>48765083</v>
      </c>
      <c r="L125" s="113">
        <f>SUMIFS('Federal Data'!V2:V501,'Federal Data'!$F2:$F501,"Employee Retirement and Disability Benefits",'Federal Data'!$D2:$D501,"Nongrant")</f>
        <v>49928918</v>
      </c>
      <c r="M125" s="113">
        <f>SUMIFS('Federal Data'!W2:W501,'Federal Data'!$F2:$F501,"Employee Retirement and Disability Benefits",'Federal Data'!$D2:$D501,"Nongrant")</f>
        <v>53784454</v>
      </c>
      <c r="N125" s="113">
        <f>SUMIFS('Federal Data'!X2:X501,'Federal Data'!$F2:$F501,"Employee Retirement and Disability Benefits",'Federal Data'!$D2:$D501,"Nongrant")</f>
        <v>58578259</v>
      </c>
      <c r="O125" s="113">
        <f>SUMIFS('Federal Data'!Y2:Y501,'Federal Data'!$F2:$F501,"Employee Retirement and Disability Benefits",'Federal Data'!$D2:$D501,"Nongrant")</f>
        <v>60725666</v>
      </c>
      <c r="P125" s="113">
        <f>SUMIFS('Federal Data'!Z2:Z501,'Federal Data'!$F2:$F501,"Employee Retirement and Disability Benefits",'Federal Data'!$D2:$D501,"Nongrant")</f>
        <v>63105146</v>
      </c>
      <c r="Q125" s="113">
        <f>SUMIFS('Federal Data'!AA2:AA501,'Federal Data'!$F2:$F501,"Employee Retirement and Disability Benefits",'Federal Data'!$D2:$D501,"Nongrant")</f>
        <v>65940147</v>
      </c>
      <c r="R125" s="113">
        <f>SUMIFS('Federal Data'!AB2:AB501,'Federal Data'!$F2:$F501,"Employee Retirement and Disability Benefits",'Federal Data'!$D2:$D501,"Nongrant")</f>
        <v>69728000</v>
      </c>
      <c r="S125" s="113">
        <f>SUMIFS('Federal Data'!AC2:AC501,'Federal Data'!$F2:$F501,"Employee Retirement and Disability Benefits",'Federal Data'!$D2:$D501,"Nongrant")</f>
        <v>72395000</v>
      </c>
      <c r="T125" s="113">
        <f>SUMIFS('Federal Data'!AD2:AD501,'Federal Data'!$F2:$F501,"Employee Retirement and Disability Benefits",'Federal Data'!$D2:$D501,"Nongrant")</f>
        <v>76359000</v>
      </c>
      <c r="U125" s="113">
        <f>SUMIFS('Federal Data'!AE2:AE501,'Federal Data'!$F2:$F501,"Employee Retirement and Disability Benefits",'Federal Data'!$D2:$D501,"Nongrant")</f>
        <v>78205000</v>
      </c>
      <c r="V125" s="113">
        <f>SUMIFS('Federal Data'!AF2:AF501,'Federal Data'!$F2:$F501,"Employee Retirement and Disability Benefits",'Federal Data'!$D2:$D501,"Nongrant")</f>
        <v>80219000</v>
      </c>
      <c r="W125" s="113">
        <f>SUMIFS('Federal Data'!AG2:AG501,'Federal Data'!$F2:$F501,"Employee Retirement and Disability Benefits",'Federal Data'!$D2:$D501,"Nongrant")</f>
        <v>82209000</v>
      </c>
      <c r="X125" s="113">
        <f>SUMIFS('Federal Data'!AH2:AH501,'Federal Data'!$F2:$F501,"Employee Retirement and Disability Benefits",'Federal Data'!$D2:$D501,"Nongrant")</f>
        <v>85955000</v>
      </c>
      <c r="Y125" s="113">
        <f>SUMIFS('Federal Data'!AI2:AI501,'Federal Data'!$F2:$F501,"Employee Retirement and Disability Benefits",'Federal Data'!$D2:$D501,"Nongrant")</f>
        <v>88726000</v>
      </c>
      <c r="Z125" s="113">
        <f>SUMIFS('Federal Data'!AJ2:AJ501,'Federal Data'!$F2:$F501,"Employee Retirement and Disability Benefits",'Federal Data'!$D2:$D501,"Nongrant")</f>
        <v>94896000</v>
      </c>
      <c r="AA125" s="113">
        <f>SUMIFS('Federal Data'!AK2:AK501,'Federal Data'!$F2:$F501,"Employee Retirement and Disability Benefits",'Federal Data'!$D2:$D501,"Nongrant")</f>
        <v>99772000</v>
      </c>
      <c r="AB125" s="113">
        <f>SUMIFS('Federal Data'!AL2:AL501,'Federal Data'!$F2:$F501,"Employee Retirement and Disability Benefits",'Federal Data'!$D2:$D501,"Nongrant")</f>
        <v>106036000</v>
      </c>
      <c r="AC125" s="113">
        <f>SUMIFS('Federal Data'!AM2:AM501,'Federal Data'!$F2:$F501,"Employee Retirement and Disability Benefits",'Federal Data'!$D2:$D501,"Nongrant")</f>
        <v>111780000</v>
      </c>
      <c r="AD125" s="113">
        <f>SUMIFS('Federal Data'!AN2:AN501,'Federal Data'!$F2:$F501,"Employee Retirement and Disability Benefits",'Federal Data'!$D2:$D501,"Nongrant")</f>
        <v>119412000</v>
      </c>
      <c r="AE125" s="113">
        <f>SUMIFS('Federal Data'!AO2:AO501,'Federal Data'!$F2:$F501,"Employee Retirement and Disability Benefits",'Federal Data'!$D2:$D501,"Nongrant")</f>
        <v>126354000</v>
      </c>
      <c r="AF125" s="113">
        <f>SUMIFS('Federal Data'!AP2:AP501,'Federal Data'!$F2:$F501,"Employee Retirement and Disability Benefits",'Federal Data'!$D2:$D501,"Nongrant")</f>
        <v>136156000</v>
      </c>
      <c r="AG125" s="113">
        <f>SUMIFS('Federal Data'!AQ2:AQ501,'Federal Data'!$F2:$F501,"Employee Retirement and Disability Benefits",'Federal Data'!$D2:$D501,"Nongrant")</f>
        <v>137337000</v>
      </c>
      <c r="AH125" s="113">
        <f>SUMIFS('Federal Data'!AR2:AR501,'Federal Data'!$F2:$F501,"Employee Retirement and Disability Benefits",'Federal Data'!$D2:$D501,"Nongrant")</f>
        <v>140749000</v>
      </c>
      <c r="AI125" s="113">
        <f>SUMIFS('Federal Data'!AS2:AS501,'Federal Data'!$F2:$F501,"Employee Retirement and Disability Benefits",'Federal Data'!$D2:$D501,"Nongrant")</f>
        <v>140183000</v>
      </c>
      <c r="AJ125" s="113">
        <f>SUMIFS('Federal Data'!AT2:AT501,'Federal Data'!$F2:$F501,"Employee Retirement and Disability Benefits",'Federal Data'!$D2:$D501,"Nongrant")</f>
        <v>149200000</v>
      </c>
      <c r="AK125" s="113">
        <f>SUMIFS('Federal Data'!AU2:AU501,'Federal Data'!$F2:$F501,"Employee Retirement and Disability Benefits",'Federal Data'!$D2:$D501,"Nongrant")</f>
        <v>155525000</v>
      </c>
      <c r="AL125" s="113">
        <f>SUMIFS('Federal Data'!AV2:AV501,'Federal Data'!$F2:$F501,"Employee Retirement and Disability Benefits",'Federal Data'!$D2:$D501,"Nongrant")</f>
        <v>161846000</v>
      </c>
    </row>
    <row r="126" spans="1:38" outlineLevel="3">
      <c r="A126" s="22" t="str">
        <f>B124</f>
        <v>Obligations</v>
      </c>
      <c r="B126" s="31" t="s">
        <v>314</v>
      </c>
      <c r="C126" s="113">
        <f>SUMIFS('Federal Data'!M2:M501,'Federal Data'!$F2:$F501,"Employee Contributions for Retirement and Disability",'Federal Data'!$D2:$D501,"Nongrant")</f>
        <v>0</v>
      </c>
      <c r="D126" s="113">
        <f>SUMIFS('Federal Data'!N2:N501,'Federal Data'!$F2:$F501,"Employee Contributions for Retirement and Disability",'Federal Data'!$D2:$D501,"Nongrant")</f>
        <v>0</v>
      </c>
      <c r="E126" s="113">
        <f>SUMIFS('Federal Data'!O2:O501,'Federal Data'!$F2:$F501,"Employee Contributions for Retirement and Disability",'Federal Data'!$D2:$D501,"Nongrant")</f>
        <v>0</v>
      </c>
      <c r="F126" s="113">
        <f>SUMIFS('Federal Data'!P2:P501,'Federal Data'!$F2:$F501,"Employee Contributions for Retirement and Disability",'Federal Data'!$D2:$D501,"Nongrant")</f>
        <v>0</v>
      </c>
      <c r="G126" s="113">
        <f>SUMIFS('Federal Data'!Q2:Q501,'Federal Data'!$F2:$F501,"Employee Contributions for Retirement and Disability",'Federal Data'!$D2:$D501,"Nongrant")</f>
        <v>0</v>
      </c>
      <c r="H126" s="113">
        <f>SUMIFS('Federal Data'!R2:R501,'Federal Data'!$F2:$F501,"Employee Contributions for Retirement and Disability",'Federal Data'!$D2:$D501,"Nongrant")</f>
        <v>0</v>
      </c>
      <c r="I126" s="113">
        <f>SUMIFS('Federal Data'!S2:S501,'Federal Data'!$F2:$F501,"Employee Contributions for Retirement and Disability",'Federal Data'!$D2:$D501,"Nongrant")</f>
        <v>0</v>
      </c>
      <c r="J126" s="113">
        <f>SUMIFS('Federal Data'!T2:T501,'Federal Data'!$F2:$F501,"Employee Contributions for Retirement and Disability",'Federal Data'!$D2:$D501,"Nongrant")</f>
        <v>0</v>
      </c>
      <c r="K126" s="113">
        <f>SUMIFS('Federal Data'!U2:U501,'Federal Data'!$F2:$F501,"Employee Contributions for Retirement and Disability",'Federal Data'!$D2:$D501,"Nongrant")</f>
        <v>0</v>
      </c>
      <c r="L126" s="113">
        <f>SUMIFS('Federal Data'!V2:V501,'Federal Data'!$F2:$F501,"Employee Contributions for Retirement and Disability",'Federal Data'!$D2:$D501,"Nongrant")</f>
        <v>0</v>
      </c>
      <c r="M126" s="113">
        <f>SUMIFS('Federal Data'!W2:W501,'Federal Data'!$F2:$F501,"Employee Contributions for Retirement and Disability",'Federal Data'!$D2:$D501,"Nongrant")</f>
        <v>0</v>
      </c>
      <c r="N126" s="113">
        <f>SUMIFS('Federal Data'!X2:X501,'Federal Data'!$F2:$F501,"Employee Contributions for Retirement and Disability",'Federal Data'!$D2:$D501,"Nongrant")</f>
        <v>0</v>
      </c>
      <c r="O126" s="113">
        <f>SUMIFS('Federal Data'!Y2:Y501,'Federal Data'!$F2:$F501,"Employee Contributions for Retirement and Disability",'Federal Data'!$D2:$D501,"Nongrant")</f>
        <v>0</v>
      </c>
      <c r="P126" s="113">
        <f>SUMIFS('Federal Data'!Z2:Z501,'Federal Data'!$F2:$F501,"Employee Contributions for Retirement and Disability",'Federal Data'!$D2:$D501,"Nongrant")</f>
        <v>0</v>
      </c>
      <c r="Q126" s="113">
        <f>SUMIFS('Federal Data'!AA2:AA501,'Federal Data'!$F2:$F501,"Employee Contributions for Retirement and Disability",'Federal Data'!$D2:$D501,"Nongrant")</f>
        <v>0</v>
      </c>
      <c r="R126" s="113">
        <f>SUMIFS('Federal Data'!AB2:AB501,'Federal Data'!$F2:$F501,"Employee Contributions for Retirement and Disability",'Federal Data'!$D2:$D501,"Nongrant")</f>
        <v>0</v>
      </c>
      <c r="S126" s="113">
        <f>SUMIFS('Federal Data'!AC2:AC501,'Federal Data'!$F2:$F501,"Employee Contributions for Retirement and Disability",'Federal Data'!$D2:$D501,"Nongrant")</f>
        <v>0</v>
      </c>
      <c r="T126" s="113">
        <f>SUMIFS('Federal Data'!AD2:AD501,'Federal Data'!$F2:$F501,"Employee Contributions for Retirement and Disability",'Federal Data'!$D2:$D501,"Nongrant")</f>
        <v>0</v>
      </c>
      <c r="U126" s="113">
        <f>SUMIFS('Federal Data'!AE2:AE501,'Federal Data'!$F2:$F501,"Employee Contributions for Retirement and Disability",'Federal Data'!$D2:$D501,"Nongrant")</f>
        <v>0</v>
      </c>
      <c r="V126" s="113">
        <f>SUMIFS('Federal Data'!AF2:AF501,'Federal Data'!$F2:$F501,"Employee Contributions for Retirement and Disability",'Federal Data'!$D2:$D501,"Nongrant")</f>
        <v>0</v>
      </c>
      <c r="W126" s="113">
        <f>SUMIFS('Federal Data'!AG2:AG501,'Federal Data'!$F2:$F501,"Employee Contributions for Retirement and Disability",'Federal Data'!$D2:$D501,"Nongrant")</f>
        <v>0</v>
      </c>
      <c r="X126" s="113">
        <f>SUMIFS('Federal Data'!AH2:AH501,'Federal Data'!$F2:$F501,"Employee Contributions for Retirement and Disability",'Federal Data'!$D2:$D501,"Nongrant")</f>
        <v>0</v>
      </c>
      <c r="Y126" s="113">
        <f>SUMIFS('Federal Data'!AI2:AI501,'Federal Data'!$F2:$F501,"Employee Contributions for Retirement and Disability",'Federal Data'!$D2:$D501,"Nongrant")</f>
        <v>0</v>
      </c>
      <c r="Z126" s="113">
        <f>SUMIFS('Federal Data'!AJ2:AJ501,'Federal Data'!$F2:$F501,"Employee Contributions for Retirement and Disability",'Federal Data'!$D2:$D501,"Nongrant")</f>
        <v>0</v>
      </c>
      <c r="AA126" s="113">
        <f>SUMIFS('Federal Data'!AK2:AK501,'Federal Data'!$F2:$F501,"Employee Contributions for Retirement and Disability",'Federal Data'!$D2:$D501,"Nongrant")</f>
        <v>0</v>
      </c>
      <c r="AB126" s="113">
        <f>SUMIFS('Federal Data'!AL2:AL501,'Federal Data'!$F2:$F501,"Employee Contributions for Retirement and Disability",'Federal Data'!$D2:$D501,"Nongrant")</f>
        <v>0</v>
      </c>
      <c r="AC126" s="113">
        <f>SUMIFS('Federal Data'!AM2:AM501,'Federal Data'!$F2:$F501,"Employee Contributions for Retirement and Disability",'Federal Data'!$D2:$D501,"Nongrant")</f>
        <v>0</v>
      </c>
      <c r="AD126" s="113">
        <f>SUMIFS('Federal Data'!AN2:AN501,'Federal Data'!$F2:$F501,"Employee Contributions for Retirement and Disability",'Federal Data'!$D2:$D501,"Nongrant")</f>
        <v>0</v>
      </c>
      <c r="AE126" s="113">
        <f>SUMIFS('Federal Data'!AO2:AO501,'Federal Data'!$F2:$F501,"Employee Contributions for Retirement and Disability",'Federal Data'!$D2:$D501,"Nongrant")</f>
        <v>0</v>
      </c>
      <c r="AF126" s="113">
        <f>SUMIFS('Federal Data'!AP2:AP501,'Federal Data'!$F2:$F501,"Employee Contributions for Retirement and Disability",'Federal Data'!$D2:$D501,"Nongrant")</f>
        <v>0</v>
      </c>
      <c r="AG126" s="113">
        <f>SUMIFS('Federal Data'!AQ2:AQ501,'Federal Data'!$F2:$F501,"Employee Contributions for Retirement and Disability",'Federal Data'!$D2:$D501,"Nongrant")</f>
        <v>0</v>
      </c>
      <c r="AH126" s="113">
        <f>SUMIFS('Federal Data'!AR2:AR501,'Federal Data'!$F2:$F501,"Employee Contributions for Retirement and Disability",'Federal Data'!$D2:$D501,"Nongrant")</f>
        <v>0</v>
      </c>
      <c r="AI126" s="113">
        <f>SUMIFS('Federal Data'!AS2:AS501,'Federal Data'!$F2:$F501,"Employee Contributions for Retirement and Disability",'Federal Data'!$D2:$D501,"Nongrant")</f>
        <v>0</v>
      </c>
      <c r="AJ126" s="113">
        <f>SUMIFS('Federal Data'!AT2:AT501,'Federal Data'!$F2:$F501,"Employee Contributions for Retirement and Disability",'Federal Data'!$D2:$D501,"Nongrant")</f>
        <v>0</v>
      </c>
      <c r="AK126" s="113">
        <f>SUMIFS('Federal Data'!AU2:AU501,'Federal Data'!$F2:$F501,"Employee Contributions for Retirement and Disability",'Federal Data'!$D2:$D501,"Nongrant")</f>
        <v>0</v>
      </c>
      <c r="AL126" s="113">
        <f>SUMIFS('Federal Data'!AV2:AV501,'Federal Data'!$F2:$F501,"Employee Contributions for Retirement and Disability",'Federal Data'!$D2:$D501,"Nongrant")</f>
        <v>0</v>
      </c>
    </row>
    <row r="127" spans="1:38" outlineLevel="3">
      <c r="A127" s="22" t="str">
        <f>B124</f>
        <v>Obligations</v>
      </c>
      <c r="B127" s="31" t="s">
        <v>313</v>
      </c>
      <c r="C127" s="113">
        <f>SUMIFS('Federal Data'!M2:M501,'Federal Data'!$F2:$F501,"Contributions to Government Retirement and Disability Fund",'Federal Data'!$D2:$D501,"Nongrant")</f>
        <v>-14388585</v>
      </c>
      <c r="D127" s="113">
        <f>SUMIFS('Federal Data'!N2:N501,'Federal Data'!$F2:$F501,"Contributions to Government Retirement and Disability Fund",'Federal Data'!$D2:$D501,"Nongrant")</f>
        <v>-16141176</v>
      </c>
      <c r="E127" s="113">
        <f>SUMIFS('Federal Data'!O2:O501,'Federal Data'!$F2:$F501,"Contributions to Government Retirement and Disability Fund",'Federal Data'!$D2:$D501,"Nongrant")</f>
        <v>-17806303</v>
      </c>
      <c r="F127" s="113">
        <f>SUMIFS('Federal Data'!P2:P501,'Federal Data'!$F2:$F501,"Contributions to Government Retirement and Disability Fund",'Federal Data'!$D2:$D501,"Nongrant")</f>
        <v>-20652280</v>
      </c>
      <c r="G127" s="113">
        <f>SUMIFS('Federal Data'!Q2:Q501,'Federal Data'!$F2:$F501,"Contributions to Government Retirement and Disability Fund",'Federal Data'!$D2:$D501,"Nongrant")</f>
        <v>-21913457</v>
      </c>
      <c r="H127" s="113">
        <f>SUMIFS('Federal Data'!R2:R501,'Federal Data'!$F2:$F501,"Contributions to Government Retirement and Disability Fund",'Federal Data'!$D2:$D501,"Nongrant")</f>
        <v>-23198583</v>
      </c>
      <c r="I127" s="113">
        <f>SUMIFS('Federal Data'!S2:S501,'Federal Data'!$F2:$F501,"Contributions to Government Retirement and Disability Fund",'Federal Data'!$D2:$D501,"Nongrant")</f>
        <v>-23830209</v>
      </c>
      <c r="J127" s="113">
        <f>SUMIFS('Federal Data'!T2:T501,'Federal Data'!$F2:$F501,"Contributions to Government Retirement and Disability Fund",'Federal Data'!$D2:$D501,"Nongrant")</f>
        <v>-25559200</v>
      </c>
      <c r="K127" s="113">
        <f>SUMIFS('Federal Data'!U2:U501,'Federal Data'!$F2:$F501,"Contributions to Government Retirement and Disability Fund",'Federal Data'!$D2:$D501,"Nongrant")</f>
        <v>-27543842</v>
      </c>
      <c r="L127" s="113">
        <f>SUMIFS('Federal Data'!V2:V501,'Federal Data'!$F2:$F501,"Contributions to Government Retirement and Disability Fund",'Federal Data'!$D2:$D501,"Nongrant")</f>
        <v>-27838466</v>
      </c>
      <c r="M127" s="113">
        <f>SUMIFS('Federal Data'!W2:W501,'Federal Data'!$F2:$F501,"Contributions to Government Retirement and Disability Fund",'Federal Data'!$D2:$D501,"Nongrant")</f>
        <v>-26498406</v>
      </c>
      <c r="N127" s="113">
        <f>SUMIFS('Federal Data'!X2:X501,'Federal Data'!$F2:$F501,"Contributions to Government Retirement and Disability Fund",'Federal Data'!$D2:$D501,"Nongrant")</f>
        <v>-28679189</v>
      </c>
      <c r="O127" s="113">
        <f>SUMIFS('Federal Data'!Y2:Y501,'Federal Data'!$F2:$F501,"Contributions to Government Retirement and Disability Fund",'Federal Data'!$D2:$D501,"Nongrant")</f>
        <v>-28804719</v>
      </c>
      <c r="P127" s="113">
        <f>SUMIFS('Federal Data'!Z2:Z501,'Federal Data'!$F2:$F501,"Contributions to Government Retirement and Disability Fund",'Federal Data'!$D2:$D501,"Nongrant")</f>
        <v>-26231465</v>
      </c>
      <c r="Q127" s="113">
        <f>SUMIFS('Federal Data'!AA2:AA501,'Federal Data'!$F2:$F501,"Contributions to Government Retirement and Disability Fund",'Federal Data'!$D2:$D501,"Nongrant")</f>
        <v>-26337981</v>
      </c>
      <c r="R127" s="113">
        <f>SUMIFS('Federal Data'!AB2:AB501,'Federal Data'!$F2:$F501,"Contributions to Government Retirement and Disability Fund",'Federal Data'!$D2:$D501,"Nongrant")</f>
        <v>-25865000</v>
      </c>
      <c r="S127" s="113">
        <f>SUMIFS('Federal Data'!AC2:AC501,'Federal Data'!$F2:$F501,"Contributions to Government Retirement and Disability Fund",'Federal Data'!$D2:$D501,"Nongrant")</f>
        <v>-25260000</v>
      </c>
      <c r="T127" s="113">
        <f>SUMIFS('Federal Data'!AD2:AD501,'Federal Data'!$F2:$F501,"Contributions to Government Retirement and Disability Fund",'Federal Data'!$D2:$D501,"Nongrant")</f>
        <v>-25678000</v>
      </c>
      <c r="U127" s="113">
        <f>SUMIFS('Federal Data'!AE2:AE501,'Federal Data'!$F2:$F501,"Contributions to Government Retirement and Disability Fund",'Federal Data'!$D2:$D501,"Nongrant")</f>
        <v>-25670000</v>
      </c>
      <c r="V127" s="113">
        <f>SUMIFS('Federal Data'!AF2:AF501,'Federal Data'!$F2:$F501,"Contributions to Government Retirement and Disability Fund",'Federal Data'!$D2:$D501,"Nongrant")</f>
        <v>-25968000</v>
      </c>
      <c r="W127" s="113">
        <f>SUMIFS('Federal Data'!AG2:AG501,'Federal Data'!$F2:$F501,"Contributions to Government Retirement and Disability Fund",'Federal Data'!$D2:$D501,"Nongrant")</f>
        <v>-27595000</v>
      </c>
      <c r="X127" s="113">
        <f>SUMIFS('Federal Data'!AH2:AH501,'Federal Data'!$F2:$F501,"Contributions to Government Retirement and Disability Fund",'Federal Data'!$D2:$D501,"Nongrant")</f>
        <v>-28190000</v>
      </c>
      <c r="Y127" s="113">
        <f>SUMIFS('Federal Data'!AI2:AI501,'Federal Data'!$F2:$F501,"Contributions to Government Retirement and Disability Fund",'Federal Data'!$D2:$D501,"Nongrant")</f>
        <v>-30576000</v>
      </c>
      <c r="Z127" s="113">
        <f>SUMIFS('Federal Data'!AJ2:AJ501,'Federal Data'!$F2:$F501,"Contributions to Government Retirement and Disability Fund",'Federal Data'!$D2:$D501,"Nongrant")</f>
        <v>-36702000</v>
      </c>
      <c r="AA127" s="113">
        <f>SUMIFS('Federal Data'!AK2:AK501,'Federal Data'!$F2:$F501,"Contributions to Government Retirement and Disability Fund",'Federal Data'!$D2:$D501,"Nongrant")</f>
        <v>-39580000</v>
      </c>
      <c r="AB127" s="113">
        <f>SUMIFS('Federal Data'!AL2:AL501,'Federal Data'!$F2:$F501,"Contributions to Government Retirement and Disability Fund",'Federal Data'!$D2:$D501,"Nongrant")</f>
        <v>-44675000</v>
      </c>
      <c r="AC127" s="113">
        <f>SUMIFS('Federal Data'!AM2:AM501,'Federal Data'!$F2:$F501,"Contributions to Government Retirement and Disability Fund",'Federal Data'!$D2:$D501,"Nongrant")</f>
        <v>-45827000</v>
      </c>
      <c r="AD127" s="113">
        <f>SUMIFS('Federal Data'!AN2:AN501,'Federal Data'!$F2:$F501,"Contributions to Government Retirement and Disability Fund",'Federal Data'!$D2:$D501,"Nongrant")</f>
        <v>-54296000</v>
      </c>
      <c r="AE127" s="113">
        <f>SUMIFS('Federal Data'!AO2:AO501,'Federal Data'!$F2:$F501,"Contributions to Government Retirement and Disability Fund",'Federal Data'!$D2:$D501,"Nongrant")</f>
        <v>-54931000</v>
      </c>
      <c r="AF127" s="113">
        <f>SUMIFS('Federal Data'!AP2:AP501,'Federal Data'!$F2:$F501,"Contributions to Government Retirement and Disability Fund",'Federal Data'!$D2:$D501,"Nongrant")</f>
        <v>-53896000</v>
      </c>
      <c r="AG127" s="113">
        <f>SUMIFS('Federal Data'!AQ2:AQ501,'Federal Data'!$F2:$F501,"Contributions to Government Retirement and Disability Fund",'Federal Data'!$D2:$D501,"Nongrant")</f>
        <v>-63558000</v>
      </c>
      <c r="AH127" s="113">
        <f>SUMIFS('Federal Data'!AR2:AR501,'Federal Data'!$F2:$F501,"Contributions to Government Retirement and Disability Fund",'Federal Data'!$D2:$D501,"Nongrant")</f>
        <v>-60556000</v>
      </c>
      <c r="AI127" s="113">
        <f>SUMIFS('Federal Data'!AS2:AS501,'Federal Data'!$F2:$F501,"Contributions to Government Retirement and Disability Fund",'Federal Data'!$D2:$D501,"Nongrant")</f>
        <v>-64254000</v>
      </c>
      <c r="AJ127" s="113">
        <f>SUMIFS('Federal Data'!AT2:AT501,'Federal Data'!$F2:$F501,"Contributions to Government Retirement and Disability Fund",'Federal Data'!$D2:$D501,"Nongrant")</f>
        <v>-60977000</v>
      </c>
      <c r="AK127" s="113">
        <f>SUMIFS('Federal Data'!AU2:AU501,'Federal Data'!$F2:$F501,"Contributions to Government Retirement and Disability Fund",'Federal Data'!$D2:$D501,"Nongrant")</f>
        <v>-59560000</v>
      </c>
      <c r="AL127" s="113">
        <f>SUMIFS('Federal Data'!AV2:AV501,'Federal Data'!$F2:$F501,"Contributions to Government Retirement and Disability Fund",'Federal Data'!$D2:$D501,"Nongrant")</f>
        <v>-61039000</v>
      </c>
    </row>
    <row r="128" spans="1:38" outlineLevel="3">
      <c r="A128" s="22" t="str">
        <f>B124</f>
        <v>Obligations</v>
      </c>
      <c r="B128" s="31" t="s">
        <v>310</v>
      </c>
      <c r="C128" s="113">
        <f>SUMIFS('Federal Data'!M2:M501,'Federal Data'!$F2:$F501,"Net Interest on Debt",'Federal Data'!$D2:$D501,"Nongrant")</f>
        <v>52533141</v>
      </c>
      <c r="D128" s="113">
        <f>SUMIFS('Federal Data'!N2:N501,'Federal Data'!$F2:$F501,"Net Interest on Debt",'Federal Data'!$D2:$D501,"Nongrant")</f>
        <v>68766127</v>
      </c>
      <c r="E128" s="113">
        <f>SUMIFS('Federal Data'!O2:O501,'Federal Data'!$F2:$F501,"Net Interest on Debt",'Federal Data'!$D2:$D501,"Nongrant")</f>
        <v>85031703</v>
      </c>
      <c r="F128" s="113">
        <f>SUMIFS('Federal Data'!P2:P501,'Federal Data'!$F2:$F501,"Net Interest on Debt",'Federal Data'!$D2:$D501,"Nongrant")</f>
        <v>89807817</v>
      </c>
      <c r="G128" s="113">
        <f>SUMIFS('Federal Data'!Q2:Q501,'Federal Data'!$F2:$F501,"Net Interest on Debt",'Federal Data'!$D2:$D501,"Nongrant")</f>
        <v>111101687</v>
      </c>
      <c r="H128" s="113">
        <f>SUMIFS('Federal Data'!R2:R501,'Federal Data'!$F2:$F501,"Net Interest on Debt",'Federal Data'!$D2:$D501,"Nongrant")</f>
        <v>129477699</v>
      </c>
      <c r="I128" s="113">
        <f>SUMIFS('Federal Data'!S2:S501,'Federal Data'!$F2:$F501,"Net Interest on Debt",'Federal Data'!$D2:$D501,"Nongrant")</f>
        <v>136016873</v>
      </c>
      <c r="J128" s="113">
        <f>SUMIFS('Federal Data'!T2:T501,'Federal Data'!$F2:$F501,"Net Interest on Debt",'Federal Data'!$D2:$D501,"Nongrant")</f>
        <v>138611326</v>
      </c>
      <c r="K128" s="113">
        <f>SUMIFS('Federal Data'!U2:U501,'Federal Data'!$F2:$F501,"Net Interest on Debt",'Federal Data'!$D2:$D501,"Nongrant")</f>
        <v>151802967</v>
      </c>
      <c r="L128" s="113">
        <f>SUMIFS('Federal Data'!V2:V501,'Federal Data'!$F2:$F501,"Net Interest on Debt",'Federal Data'!$D2:$D501,"Nongrant")</f>
        <v>168981139</v>
      </c>
      <c r="M128" s="113">
        <f>SUMIFS('Federal Data'!W2:W501,'Federal Data'!$F2:$F501,"Net Interest on Debt",'Federal Data'!$D2:$D501,"Nongrant")</f>
        <v>184346828</v>
      </c>
      <c r="N128" s="113">
        <f>SUMIFS('Federal Data'!X2:X501,'Federal Data'!$F2:$F501,"Net Interest on Debt",'Federal Data'!$D2:$D501,"Nongrant")</f>
        <v>194448171</v>
      </c>
      <c r="O128" s="113">
        <f>SUMIFS('Federal Data'!Y2:Y501,'Federal Data'!$F2:$F501,"Net Interest on Debt",'Federal Data'!$D2:$D501,"Nongrant")</f>
        <v>199344146</v>
      </c>
      <c r="P128" s="113">
        <f>SUMIFS('Federal Data'!Z2:Z501,'Federal Data'!$F2:$F501,"Net Interest on Debt",'Federal Data'!$D2:$D501,"Nongrant")</f>
        <v>198713203</v>
      </c>
      <c r="Q128" s="113">
        <f>SUMIFS('Federal Data'!AA2:AA501,'Federal Data'!$F2:$F501,"Net Interest on Debt",'Federal Data'!$D2:$D501,"Nongrant")</f>
        <v>202932241</v>
      </c>
      <c r="R128" s="113">
        <f>SUMIFS('Federal Data'!AB2:AB501,'Federal Data'!$F2:$F501,"Net Interest on Debt",'Federal Data'!$D2:$D501,"Nongrant")</f>
        <v>232134000</v>
      </c>
      <c r="S128" s="113">
        <f>SUMIFS('Federal Data'!AC2:AC501,'Federal Data'!$F2:$F501,"Net Interest on Debt",'Federal Data'!$D2:$D501,"Nongrant")</f>
        <v>241053000</v>
      </c>
      <c r="T128" s="113">
        <f>SUMIFS('Federal Data'!AD2:AD501,'Federal Data'!$F2:$F501,"Net Interest on Debt",'Federal Data'!$D2:$D501,"Nongrant")</f>
        <v>243984000</v>
      </c>
      <c r="U128" s="113">
        <f>SUMIFS('Federal Data'!AE2:AE501,'Federal Data'!$F2:$F501,"Net Interest on Debt",'Federal Data'!$D2:$D501,"Nongrant")</f>
        <v>241118000</v>
      </c>
      <c r="V128" s="113">
        <f>SUMIFS('Federal Data'!AF2:AF501,'Federal Data'!$F2:$F501,"Net Interest on Debt",'Federal Data'!$D2:$D501,"Nongrant")</f>
        <v>229755000</v>
      </c>
      <c r="W128" s="113">
        <f>SUMIFS('Federal Data'!AG2:AG501,'Federal Data'!$F2:$F501,"Net Interest on Debt",'Federal Data'!$D2:$D501,"Nongrant")</f>
        <v>222949000</v>
      </c>
      <c r="X128" s="113">
        <f>SUMIFS('Federal Data'!AH2:AH501,'Federal Data'!$F2:$F501,"Net Interest on Debt",'Federal Data'!$D2:$D501,"Nongrant")</f>
        <v>206167000</v>
      </c>
      <c r="Y128" s="113">
        <f>SUMIFS('Federal Data'!AI2:AI501,'Federal Data'!$F2:$F501,"Net Interest on Debt",'Federal Data'!$D2:$D501,"Nongrant")</f>
        <v>170949000</v>
      </c>
      <c r="Z128" s="113">
        <f>SUMIFS('Federal Data'!AJ2:AJ501,'Federal Data'!$F2:$F501,"Net Interest on Debt",'Federal Data'!$D2:$D501,"Nongrant")</f>
        <v>153073000</v>
      </c>
      <c r="AA128" s="113">
        <f>SUMIFS('Federal Data'!AK2:AK501,'Federal Data'!$F2:$F501,"Net Interest on Debt",'Federal Data'!$D2:$D501,"Nongrant")</f>
        <v>160245000</v>
      </c>
      <c r="AB128" s="113">
        <f>SUMIFS('Federal Data'!AL2:AL501,'Federal Data'!$F2:$F501,"Net Interest on Debt",'Federal Data'!$D2:$D501,"Nongrant")</f>
        <v>183986000</v>
      </c>
      <c r="AC128" s="113">
        <f>SUMIFS('Federal Data'!AM2:AM501,'Federal Data'!$F2:$F501,"Net Interest on Debt",'Federal Data'!$D2:$D501,"Nongrant")</f>
        <v>226603000</v>
      </c>
      <c r="AD128" s="113">
        <f>SUMIFS('Federal Data'!AN2:AN501,'Federal Data'!$F2:$F501,"Net Interest on Debt",'Federal Data'!$D2:$D501,"Nongrant")</f>
        <v>237109000</v>
      </c>
      <c r="AE128" s="113">
        <f>SUMIFS('Federal Data'!AO2:AO501,'Federal Data'!$F2:$F501,"Net Interest on Debt",'Federal Data'!$D2:$D501,"Nongrant")</f>
        <v>252757000</v>
      </c>
      <c r="AF128" s="113">
        <f>SUMIFS('Federal Data'!AP2:AP501,'Federal Data'!$F2:$F501,"Net Interest on Debt",'Federal Data'!$D2:$D501,"Nongrant")</f>
        <v>186902000</v>
      </c>
      <c r="AG128" s="113">
        <f>SUMIFS('Federal Data'!AQ2:AQ501,'Federal Data'!$F2:$F501,"Net Interest on Debt",'Federal Data'!$D2:$D501,"Nongrant")</f>
        <v>196194000</v>
      </c>
      <c r="AH128" s="113">
        <f>SUMIFS('Federal Data'!AR2:AR501,'Federal Data'!$F2:$F501,"Net Interest on Debt",'Federal Data'!$D2:$D501,"Nongrant")</f>
        <v>229962000</v>
      </c>
      <c r="AI128" s="113">
        <f>SUMIFS('Federal Data'!AS2:AS501,'Federal Data'!$F2:$F501,"Net Interest on Debt",'Federal Data'!$D2:$D501,"Nongrant")</f>
        <v>220408000</v>
      </c>
      <c r="AJ128" s="113">
        <f>SUMIFS('Federal Data'!AT2:AT501,'Federal Data'!$F2:$F501,"Net Interest on Debt",'Federal Data'!$D2:$D501,"Nongrant")</f>
        <v>220885000</v>
      </c>
      <c r="AK128" s="113">
        <f>SUMIFS('Federal Data'!AU2:AU501,'Federal Data'!$F2:$F501,"Net Interest on Debt",'Federal Data'!$D2:$D501,"Nongrant")</f>
        <v>228956000</v>
      </c>
      <c r="AL128" s="113">
        <f>SUMIFS('Federal Data'!AV2:AV501,'Federal Data'!$F2:$F501,"Net Interest on Debt",'Federal Data'!$D2:$D501,"Nongrant")</f>
        <v>223181000</v>
      </c>
    </row>
    <row r="129" spans="1:38" outlineLevel="2">
      <c r="A129" s="22" t="str">
        <f>B102</f>
        <v>Secure the Blessings of Liberty to Ourselves and Our Posterity</v>
      </c>
      <c r="B129" s="28" t="s">
        <v>493</v>
      </c>
      <c r="C129" s="113">
        <f>C172</f>
        <v>537979</v>
      </c>
      <c r="D129" s="113">
        <f t="shared" ref="D129:AK129" si="3">D172</f>
        <v>431681</v>
      </c>
      <c r="E129" s="113">
        <f t="shared" si="3"/>
        <v>394369</v>
      </c>
      <c r="F129" s="113">
        <f t="shared" si="3"/>
        <v>409163</v>
      </c>
      <c r="G129" s="113">
        <f t="shared" si="3"/>
        <v>525761</v>
      </c>
      <c r="H129" s="113">
        <f t="shared" si="3"/>
        <v>416300</v>
      </c>
      <c r="I129" s="113">
        <f t="shared" si="3"/>
        <v>428984</v>
      </c>
      <c r="J129" s="113">
        <f t="shared" si="3"/>
        <v>442474</v>
      </c>
      <c r="K129" s="113">
        <f t="shared" si="3"/>
        <v>592384</v>
      </c>
      <c r="L129" s="113">
        <f t="shared" si="3"/>
        <v>459928</v>
      </c>
      <c r="M129" s="113">
        <f t="shared" si="3"/>
        <v>457800</v>
      </c>
      <c r="N129" s="113">
        <f t="shared" si="3"/>
        <v>527544</v>
      </c>
      <c r="O129" s="113">
        <f t="shared" si="3"/>
        <v>688709</v>
      </c>
      <c r="P129" s="113">
        <f t="shared" si="3"/>
        <v>579614</v>
      </c>
      <c r="Q129" s="113">
        <f t="shared" si="3"/>
        <v>664856</v>
      </c>
      <c r="R129" s="113">
        <f t="shared" si="3"/>
        <v>869000</v>
      </c>
      <c r="S129" s="113">
        <f t="shared" si="3"/>
        <v>1097000</v>
      </c>
      <c r="T129" s="113">
        <f t="shared" si="3"/>
        <v>954000</v>
      </c>
      <c r="U129" s="113">
        <f t="shared" si="3"/>
        <v>978000</v>
      </c>
      <c r="V129" s="113">
        <f t="shared" si="3"/>
        <v>1063000</v>
      </c>
      <c r="W129" s="113">
        <f t="shared" si="3"/>
        <v>1375000</v>
      </c>
      <c r="X129" s="113">
        <f t="shared" si="3"/>
        <v>1248000</v>
      </c>
      <c r="Y129" s="113">
        <f t="shared" si="3"/>
        <v>1327000</v>
      </c>
      <c r="Z129" s="113">
        <f t="shared" si="3"/>
        <v>2073000</v>
      </c>
      <c r="AA129" s="113">
        <f t="shared" si="3"/>
        <v>2797000</v>
      </c>
      <c r="AB129" s="113">
        <f t="shared" si="3"/>
        <v>2354000</v>
      </c>
      <c r="AC129" s="113">
        <f t="shared" si="3"/>
        <v>1488000</v>
      </c>
      <c r="AD129" s="113">
        <f t="shared" si="3"/>
        <v>1545000</v>
      </c>
      <c r="AE129" s="113">
        <f t="shared" si="3"/>
        <v>1689000</v>
      </c>
      <c r="AF129" s="113">
        <f t="shared" si="3"/>
        <v>1707000</v>
      </c>
      <c r="AG129" s="113">
        <f t="shared" si="3"/>
        <v>1861000</v>
      </c>
      <c r="AH129" s="113">
        <f t="shared" si="3"/>
        <v>1957000</v>
      </c>
      <c r="AI129" s="113">
        <f t="shared" si="3"/>
        <v>1762000</v>
      </c>
      <c r="AJ129" s="113">
        <f t="shared" si="3"/>
        <v>1737000</v>
      </c>
      <c r="AK129" s="113">
        <f t="shared" si="3"/>
        <v>1745000</v>
      </c>
      <c r="AL129" s="113">
        <f t="shared" ref="AL129:AL132" si="4">AL172</f>
        <v>1733000</v>
      </c>
    </row>
    <row r="130" spans="1:38" outlineLevel="3">
      <c r="A130" s="22" t="str">
        <f>B129</f>
        <v>Note: The American Dream</v>
      </c>
      <c r="B130" s="29" t="str">
        <f>B173</f>
        <v>Civil Rights Expenditures</v>
      </c>
      <c r="C130" s="113">
        <f>C173</f>
        <v>242650</v>
      </c>
      <c r="D130" s="113">
        <f t="shared" ref="D130:AK130" si="5">D173</f>
        <v>240347</v>
      </c>
      <c r="E130" s="113">
        <f t="shared" si="5"/>
        <v>243321</v>
      </c>
      <c r="F130" s="113">
        <f t="shared" si="5"/>
        <v>261640</v>
      </c>
      <c r="G130" s="113">
        <f t="shared" si="5"/>
        <v>264308</v>
      </c>
      <c r="H130" s="113">
        <f t="shared" si="5"/>
        <v>272555</v>
      </c>
      <c r="I130" s="113">
        <f t="shared" si="5"/>
        <v>261907</v>
      </c>
      <c r="J130" s="113">
        <f t="shared" si="5"/>
        <v>253838</v>
      </c>
      <c r="K130" s="113">
        <f t="shared" si="5"/>
        <v>268175</v>
      </c>
      <c r="L130" s="113">
        <f t="shared" si="5"/>
        <v>278093</v>
      </c>
      <c r="M130" s="113">
        <f t="shared" si="5"/>
        <v>273169</v>
      </c>
      <c r="N130" s="113">
        <f t="shared" si="5"/>
        <v>293276</v>
      </c>
      <c r="O130" s="113">
        <f t="shared" si="5"/>
        <v>320003</v>
      </c>
      <c r="P130" s="113">
        <f t="shared" si="5"/>
        <v>329288</v>
      </c>
      <c r="Q130" s="113">
        <f t="shared" si="5"/>
        <v>342820</v>
      </c>
      <c r="R130" s="113">
        <f t="shared" si="5"/>
        <v>368000</v>
      </c>
      <c r="S130" s="113">
        <f t="shared" si="5"/>
        <v>380000</v>
      </c>
      <c r="T130" s="113">
        <f t="shared" si="5"/>
        <v>361000</v>
      </c>
      <c r="U130" s="113">
        <f t="shared" si="5"/>
        <v>357000</v>
      </c>
      <c r="V130" s="113">
        <f t="shared" si="5"/>
        <v>395000</v>
      </c>
      <c r="W130" s="113">
        <f t="shared" si="5"/>
        <v>437000</v>
      </c>
      <c r="X130" s="113">
        <f t="shared" si="5"/>
        <v>449000</v>
      </c>
      <c r="Y130" s="113">
        <f t="shared" si="5"/>
        <v>492000</v>
      </c>
      <c r="Z130" s="113">
        <f t="shared" si="5"/>
        <v>494000</v>
      </c>
      <c r="AA130" s="113">
        <f t="shared" si="5"/>
        <v>518000</v>
      </c>
      <c r="AB130" s="113">
        <f t="shared" si="5"/>
        <v>516000</v>
      </c>
      <c r="AC130" s="113">
        <f t="shared" si="5"/>
        <v>521000</v>
      </c>
      <c r="AD130" s="113">
        <f t="shared" si="5"/>
        <v>548000</v>
      </c>
      <c r="AE130" s="113">
        <f t="shared" si="5"/>
        <v>618000</v>
      </c>
      <c r="AF130" s="113">
        <f t="shared" si="5"/>
        <v>633000</v>
      </c>
      <c r="AG130" s="113">
        <f t="shared" si="5"/>
        <v>659000</v>
      </c>
      <c r="AH130" s="113">
        <f t="shared" si="5"/>
        <v>708000</v>
      </c>
      <c r="AI130" s="113">
        <f t="shared" si="5"/>
        <v>708000</v>
      </c>
      <c r="AJ130" s="113">
        <f t="shared" si="5"/>
        <v>682000</v>
      </c>
      <c r="AK130" s="113">
        <f t="shared" si="5"/>
        <v>673000</v>
      </c>
      <c r="AL130" s="113">
        <f t="shared" si="4"/>
        <v>699000</v>
      </c>
    </row>
    <row r="131" spans="1:38" outlineLevel="3">
      <c r="A131" s="22" t="str">
        <f>B129</f>
        <v>Note: The American Dream</v>
      </c>
      <c r="B131" s="29" t="str">
        <f t="shared" ref="B131:Q132" si="6">B174</f>
        <v>Elections</v>
      </c>
      <c r="C131" s="113">
        <f t="shared" si="6"/>
        <v>106586</v>
      </c>
      <c r="D131" s="113">
        <f t="shared" si="6"/>
        <v>13330</v>
      </c>
      <c r="E131" s="113">
        <f t="shared" si="6"/>
        <v>9174</v>
      </c>
      <c r="F131" s="113">
        <f t="shared" si="6"/>
        <v>21167</v>
      </c>
      <c r="G131" s="113">
        <f t="shared" si="6"/>
        <v>128296</v>
      </c>
      <c r="H131" s="113">
        <f t="shared" si="6"/>
        <v>14952</v>
      </c>
      <c r="I131" s="113">
        <f t="shared" si="6"/>
        <v>12670</v>
      </c>
      <c r="J131" s="113">
        <f t="shared" si="6"/>
        <v>30106</v>
      </c>
      <c r="K131" s="113">
        <f t="shared" si="6"/>
        <v>170864</v>
      </c>
      <c r="L131" s="113">
        <f t="shared" si="6"/>
        <v>18931</v>
      </c>
      <c r="M131" s="113">
        <f t="shared" si="6"/>
        <v>15194</v>
      </c>
      <c r="N131" s="113">
        <f t="shared" si="6"/>
        <v>37391</v>
      </c>
      <c r="O131" s="113">
        <f t="shared" si="6"/>
        <v>167048</v>
      </c>
      <c r="P131" s="113">
        <f t="shared" si="6"/>
        <v>26028</v>
      </c>
      <c r="Q131" s="113">
        <f t="shared" si="6"/>
        <v>23661</v>
      </c>
      <c r="R131" s="113">
        <f t="shared" ref="R131:AK131" si="7">R174</f>
        <v>48000</v>
      </c>
      <c r="S131" s="113">
        <f t="shared" si="7"/>
        <v>235000</v>
      </c>
      <c r="T131" s="113">
        <f t="shared" si="7"/>
        <v>28000</v>
      </c>
      <c r="U131" s="113">
        <f t="shared" si="7"/>
        <v>30000</v>
      </c>
      <c r="V131" s="113">
        <f t="shared" si="7"/>
        <v>59000</v>
      </c>
      <c r="W131" s="113">
        <f t="shared" si="7"/>
        <v>249000</v>
      </c>
      <c r="X131" s="113">
        <f t="shared" si="7"/>
        <v>43000</v>
      </c>
      <c r="Y131" s="113">
        <f t="shared" si="7"/>
        <v>43000</v>
      </c>
      <c r="Z131" s="113">
        <f t="shared" si="7"/>
        <v>740000</v>
      </c>
      <c r="AA131" s="113">
        <f t="shared" si="7"/>
        <v>1515000</v>
      </c>
      <c r="AB131" s="113">
        <f t="shared" si="7"/>
        <v>1042000</v>
      </c>
      <c r="AC131" s="113">
        <f t="shared" si="7"/>
        <v>124000</v>
      </c>
      <c r="AD131" s="113">
        <f t="shared" si="7"/>
        <v>97000</v>
      </c>
      <c r="AE131" s="113">
        <f t="shared" si="7"/>
        <v>180000</v>
      </c>
      <c r="AF131" s="113">
        <f t="shared" si="7"/>
        <v>158000</v>
      </c>
      <c r="AG131" s="113">
        <f t="shared" si="7"/>
        <v>169000</v>
      </c>
      <c r="AH131" s="113">
        <f t="shared" si="7"/>
        <v>205000</v>
      </c>
      <c r="AI131" s="113">
        <f t="shared" si="7"/>
        <v>80000</v>
      </c>
      <c r="AJ131" s="113">
        <f t="shared" si="7"/>
        <v>80000</v>
      </c>
      <c r="AK131" s="113">
        <f t="shared" si="7"/>
        <v>115000</v>
      </c>
      <c r="AL131" s="113">
        <f t="shared" si="4"/>
        <v>74000</v>
      </c>
    </row>
    <row r="132" spans="1:38" outlineLevel="3">
      <c r="A132" s="22" t="str">
        <f>B129</f>
        <v>Note: The American Dream</v>
      </c>
      <c r="B132" s="29" t="str">
        <f t="shared" si="6"/>
        <v>Civic Participation</v>
      </c>
      <c r="C132" s="113">
        <f t="shared" si="6"/>
        <v>188743</v>
      </c>
      <c r="D132" s="113">
        <f t="shared" si="6"/>
        <v>178004</v>
      </c>
      <c r="E132" s="113">
        <f t="shared" si="6"/>
        <v>141874</v>
      </c>
      <c r="F132" s="113">
        <f t="shared" si="6"/>
        <v>126356</v>
      </c>
      <c r="G132" s="113">
        <f t="shared" si="6"/>
        <v>133157</v>
      </c>
      <c r="H132" s="113">
        <f t="shared" si="6"/>
        <v>128793</v>
      </c>
      <c r="I132" s="113">
        <f t="shared" si="6"/>
        <v>154407</v>
      </c>
      <c r="J132" s="113">
        <f t="shared" si="6"/>
        <v>158530</v>
      </c>
      <c r="K132" s="113">
        <f t="shared" si="6"/>
        <v>153345</v>
      </c>
      <c r="L132" s="113">
        <f t="shared" si="6"/>
        <v>162904</v>
      </c>
      <c r="M132" s="113">
        <f t="shared" si="6"/>
        <v>169437</v>
      </c>
      <c r="N132" s="113">
        <f t="shared" si="6"/>
        <v>196877</v>
      </c>
      <c r="O132" s="113">
        <f t="shared" si="6"/>
        <v>201658</v>
      </c>
      <c r="P132" s="113">
        <f t="shared" si="6"/>
        <v>224298</v>
      </c>
      <c r="Q132" s="113">
        <f t="shared" si="6"/>
        <v>298375</v>
      </c>
      <c r="R132" s="113">
        <f t="shared" ref="R132:AK132" si="8">R175</f>
        <v>453000</v>
      </c>
      <c r="S132" s="113">
        <f t="shared" si="8"/>
        <v>482000</v>
      </c>
      <c r="T132" s="113">
        <f t="shared" si="8"/>
        <v>565000</v>
      </c>
      <c r="U132" s="113">
        <f t="shared" si="8"/>
        <v>591000</v>
      </c>
      <c r="V132" s="113">
        <f t="shared" si="8"/>
        <v>609000</v>
      </c>
      <c r="W132" s="113">
        <f t="shared" si="8"/>
        <v>689000</v>
      </c>
      <c r="X132" s="113">
        <f t="shared" si="8"/>
        <v>756000</v>
      </c>
      <c r="Y132" s="113">
        <f t="shared" si="8"/>
        <v>792000</v>
      </c>
      <c r="Z132" s="113">
        <f t="shared" si="8"/>
        <v>839000</v>
      </c>
      <c r="AA132" s="113">
        <f t="shared" si="8"/>
        <v>764000</v>
      </c>
      <c r="AB132" s="113">
        <f t="shared" si="8"/>
        <v>796000</v>
      </c>
      <c r="AC132" s="113">
        <f t="shared" si="8"/>
        <v>843000</v>
      </c>
      <c r="AD132" s="113">
        <f t="shared" si="8"/>
        <v>900000</v>
      </c>
      <c r="AE132" s="113">
        <f t="shared" si="8"/>
        <v>891000</v>
      </c>
      <c r="AF132" s="113">
        <f t="shared" si="8"/>
        <v>916000</v>
      </c>
      <c r="AG132" s="113">
        <f t="shared" si="8"/>
        <v>1033000</v>
      </c>
      <c r="AH132" s="113">
        <f t="shared" si="8"/>
        <v>1044000</v>
      </c>
      <c r="AI132" s="113">
        <f t="shared" si="8"/>
        <v>974000</v>
      </c>
      <c r="AJ132" s="113">
        <f t="shared" si="8"/>
        <v>975000</v>
      </c>
      <c r="AK132" s="113">
        <f t="shared" si="8"/>
        <v>957000</v>
      </c>
      <c r="AL132" s="113">
        <f t="shared" si="4"/>
        <v>960000</v>
      </c>
    </row>
    <row r="133" spans="1:38" outlineLevel="1">
      <c r="A133" s="22" t="str">
        <f>B28</f>
        <v>Spending By Mission</v>
      </c>
      <c r="B133" s="48" t="s">
        <v>40</v>
      </c>
      <c r="C133" s="112">
        <f>SUMIFS('Federal Data'!M2:M501,'Federal Data'!$F2:$F501,"General Government",'Federal Data'!$D2:$D501,"Nongrant")</f>
        <v>4345702</v>
      </c>
      <c r="D133" s="112">
        <f>SUMIFS('Federal Data'!N2:N501,'Federal Data'!$F2:$F501,"General Government",'Federal Data'!$D2:$D501,"Nongrant")</f>
        <v>4438410</v>
      </c>
      <c r="E133" s="112">
        <f>SUMIFS('Federal Data'!O2:O501,'Federal Data'!$F2:$F501,"General Government",'Federal Data'!$D2:$D501,"Nongrant")</f>
        <v>4372892</v>
      </c>
      <c r="F133" s="112">
        <f>SUMIFS('Federal Data'!P2:P501,'Federal Data'!$F2:$F501,"General Government",'Federal Data'!$D2:$D501,"Nongrant")</f>
        <v>4668180</v>
      </c>
      <c r="G133" s="112">
        <f>SUMIFS('Federal Data'!Q2:Q501,'Federal Data'!$F2:$F501,"General Government",'Federal Data'!$D2:$D501,"Nongrant")</f>
        <v>5035426</v>
      </c>
      <c r="H133" s="112">
        <f>SUMIFS('Federal Data'!R2:R501,'Federal Data'!$F2:$F501,"General Government",'Federal Data'!$D2:$D501,"Nongrant")</f>
        <v>5275052</v>
      </c>
      <c r="I133" s="112">
        <f>SUMIFS('Federal Data'!S2:S501,'Federal Data'!$F2:$F501,"General Government",'Federal Data'!$D2:$D501,"Nongrant")</f>
        <v>6161186</v>
      </c>
      <c r="J133" s="112">
        <f>SUMIFS('Federal Data'!T2:T501,'Federal Data'!$F2:$F501,"General Government",'Federal Data'!$D2:$D501,"Nongrant")</f>
        <v>5956757</v>
      </c>
      <c r="K133" s="112">
        <f>SUMIFS('Federal Data'!U2:U501,'Federal Data'!$F2:$F501,"General Government",'Federal Data'!$D2:$D501,"Nongrant")</f>
        <v>7525672</v>
      </c>
      <c r="L133" s="112">
        <f>SUMIFS('Federal Data'!V2:V501,'Federal Data'!$F2:$F501,"General Government",'Federal Data'!$D2:$D501,"Nongrant")</f>
        <v>6707291</v>
      </c>
      <c r="M133" s="112">
        <f>SUMIFS('Federal Data'!W2:W501,'Federal Data'!$F2:$F501,"General Government",'Federal Data'!$D2:$D501,"Nongrant")</f>
        <v>7967338</v>
      </c>
      <c r="N133" s="112">
        <f>SUMIFS('Federal Data'!X2:X501,'Federal Data'!$F2:$F501,"General Government",'Federal Data'!$D2:$D501,"Nongrant")</f>
        <v>9198100</v>
      </c>
      <c r="O133" s="112">
        <f>SUMIFS('Federal Data'!Y2:Y501,'Federal Data'!$F2:$F501,"General Government",'Federal Data'!$D2:$D501,"Nongrant")</f>
        <v>10745334</v>
      </c>
      <c r="P133" s="112">
        <f>SUMIFS('Federal Data'!Z2:Z501,'Federal Data'!$F2:$F501,"General Government",'Federal Data'!$D2:$D501,"Nongrant")</f>
        <v>10780915</v>
      </c>
      <c r="Q133" s="112">
        <f>SUMIFS('Federal Data'!AA2:AA501,'Federal Data'!$F2:$F501,"General Government",'Federal Data'!$D2:$D501,"Nongrant")</f>
        <v>8894141</v>
      </c>
      <c r="R133" s="112">
        <f>SUMIFS('Federal Data'!AB2:AB501,'Federal Data'!$F2:$F501,"General Government",'Federal Data'!$D2:$D501,"Nongrant")</f>
        <v>11141000</v>
      </c>
      <c r="S133" s="112">
        <f>SUMIFS('Federal Data'!AC2:AC501,'Federal Data'!$F2:$F501,"General Government",'Federal Data'!$D2:$D501,"Nongrant")</f>
        <v>9454000</v>
      </c>
      <c r="T133" s="112">
        <f>SUMIFS('Federal Data'!AD2:AD501,'Federal Data'!$F2:$F501,"General Government",'Federal Data'!$D2:$D501,"Nongrant")</f>
        <v>10105000</v>
      </c>
      <c r="U133" s="112">
        <f>SUMIFS('Federal Data'!AE2:AE501,'Federal Data'!$F2:$F501,"General Government",'Federal Data'!$D2:$D501,"Nongrant")</f>
        <v>10070000</v>
      </c>
      <c r="V133" s="112">
        <f>SUMIFS('Federal Data'!AF2:AF501,'Federal Data'!$F2:$F501,"General Government",'Federal Data'!$D2:$D501,"Nongrant")</f>
        <v>12092000</v>
      </c>
      <c r="W133" s="112">
        <f>SUMIFS('Federal Data'!AG2:AG501,'Federal Data'!$F2:$F501,"General Government",'Federal Data'!$D2:$D501,"Nongrant")</f>
        <v>10650000</v>
      </c>
      <c r="X133" s="112">
        <f>SUMIFS('Federal Data'!AH2:AH501,'Federal Data'!$F2:$F501,"General Government",'Federal Data'!$D2:$D501,"Nongrant")</f>
        <v>11785000</v>
      </c>
      <c r="Y133" s="112">
        <f>SUMIFS('Federal Data'!AI2:AI501,'Federal Data'!$F2:$F501,"General Government",'Federal Data'!$D2:$D501,"Nongrant")</f>
        <v>14237000</v>
      </c>
      <c r="Z133" s="112">
        <f>SUMIFS('Federal Data'!AJ2:AJ501,'Federal Data'!$F2:$F501,"General Government",'Federal Data'!$D2:$D501,"Nongrant")</f>
        <v>14163000</v>
      </c>
      <c r="AA133" s="112">
        <f>SUMIFS('Federal Data'!AK2:AK501,'Federal Data'!$F2:$F501,"General Government",'Federal Data'!$D2:$D501,"Nongrant")</f>
        <v>14173000</v>
      </c>
      <c r="AB133" s="112">
        <f>SUMIFS('Federal Data'!AL2:AL501,'Federal Data'!$F2:$F501,"General Government",'Federal Data'!$D2:$D501,"Nongrant")</f>
        <v>13218000</v>
      </c>
      <c r="AC133" s="112">
        <f>SUMIFS('Federal Data'!AM2:AM501,'Federal Data'!$F2:$F501,"General Government",'Federal Data'!$D2:$D501,"Nongrant")</f>
        <v>14479000</v>
      </c>
      <c r="AD133" s="112">
        <f>SUMIFS('Federal Data'!AN2:AN501,'Federal Data'!$F2:$F501,"General Government",'Federal Data'!$D2:$D501,"Nongrant")</f>
        <v>14097000</v>
      </c>
      <c r="AE133" s="112">
        <f>SUMIFS('Federal Data'!AO2:AO501,'Federal Data'!$F2:$F501,"General Government",'Federal Data'!$D2:$D501,"Nongrant")</f>
        <v>16684000</v>
      </c>
      <c r="AF133" s="112">
        <f>SUMIFS('Federal Data'!AP2:AP501,'Federal Data'!$F2:$F501,"General Government",'Federal Data'!$D2:$D501,"Nongrant")</f>
        <v>18112000</v>
      </c>
      <c r="AG133" s="112">
        <f>SUMIFS('Federal Data'!AQ2:AQ501,'Federal Data'!$F2:$F501,"General Government",'Federal Data'!$D2:$D501,"Nongrant")</f>
        <v>18201000</v>
      </c>
      <c r="AH133" s="112">
        <f>SUMIFS('Federal Data'!AR2:AR501,'Federal Data'!$F2:$F501,"General Government",'Federal Data'!$D2:$D501,"Nongrant")</f>
        <v>19965000</v>
      </c>
      <c r="AI133" s="112">
        <f>SUMIFS('Federal Data'!AS2:AS501,'Federal Data'!$F2:$F501,"General Government",'Federal Data'!$D2:$D501,"Nongrant")</f>
        <v>20047000</v>
      </c>
      <c r="AJ133" s="112">
        <f>SUMIFS('Federal Data'!AT2:AT501,'Federal Data'!$F2:$F501,"General Government",'Federal Data'!$D2:$D501,"Nongrant")</f>
        <v>19980000</v>
      </c>
      <c r="AK133" s="112">
        <f>SUMIFS('Federal Data'!AU2:AU501,'Federal Data'!$F2:$F501,"General Government",'Federal Data'!$D2:$D501,"Nongrant")</f>
        <v>18919000</v>
      </c>
      <c r="AL133" s="112">
        <f>SUMIFS('Federal Data'!AV2:AV501,'Federal Data'!$F2:$F501,"General Government",'Federal Data'!$D2:$D501,"Nongrant")</f>
        <v>13794000</v>
      </c>
    </row>
    <row r="134" spans="1:38" outlineLevel="1">
      <c r="B134" s="48"/>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row>
    <row r="135" spans="1:38" outlineLevel="1">
      <c r="A135" s="22" t="str">
        <f>B28</f>
        <v>Spending By Mission</v>
      </c>
      <c r="B135" s="48" t="s">
        <v>121</v>
      </c>
      <c r="C135" s="112">
        <f>SUMIFS('Federal Data'!M2:M501,'Federal Data'!$E2:$E501,"General Government",'Federal Data'!$D2:$D501,"Nongrant")-SUMIFS('Federal Data'!M2:M501,'Federal Data'!$F2:$F501,"General Government",'Federal Data'!$D2:$D501,"Nongrant")</f>
        <v>118974</v>
      </c>
      <c r="D135" s="112">
        <f>SUMIFS('Federal Data'!N2:N501,'Federal Data'!$E2:$E501,"General Government",'Federal Data'!$D2:$D501,"Nongrant")-SUMIFS('Federal Data'!N2:N501,'Federal Data'!$F2:$F501,"General Government",'Federal Data'!$D2:$D501,"Nongrant")</f>
        <v>149607</v>
      </c>
      <c r="E135" s="112">
        <f>SUMIFS('Federal Data'!O2:O501,'Federal Data'!$E2:$E501,"General Government",'Federal Data'!$D2:$D501,"Nongrant")-SUMIFS('Federal Data'!O2:O501,'Federal Data'!$F2:$F501,"General Government",'Federal Data'!$D2:$D501,"Nongrant")</f>
        <v>48052</v>
      </c>
      <c r="F135" s="112">
        <f>SUMIFS('Federal Data'!P2:P501,'Federal Data'!$E2:$E501,"General Government",'Federal Data'!$D2:$D501,"Nongrant")-SUMIFS('Federal Data'!P2:P501,'Federal Data'!$F2:$F501,"General Government",'Federal Data'!$D2:$D501,"Nongrant")</f>
        <v>126411</v>
      </c>
      <c r="G135" s="112">
        <f>SUMIFS('Federal Data'!Q2:Q501,'Federal Data'!$E2:$E501,"General Government",'Federal Data'!$D2:$D501,"Nongrant")-SUMIFS('Federal Data'!Q2:Q501,'Federal Data'!$F2:$F501,"General Government",'Federal Data'!$D2:$D501,"Nongrant")</f>
        <v>93758</v>
      </c>
      <c r="H135" s="112">
        <f>SUMIFS('Federal Data'!R2:R501,'Federal Data'!$E2:$E501,"General Government",'Federal Data'!$D2:$D501,"Nongrant")-SUMIFS('Federal Data'!R2:R501,'Federal Data'!$F2:$F501,"General Government",'Federal Data'!$D2:$D501,"Nongrant")</f>
        <v>-299294</v>
      </c>
      <c r="I135" s="112">
        <f>SUMIFS('Federal Data'!S2:S501,'Federal Data'!$E2:$E501,"General Government",'Federal Data'!$D2:$D501,"Nongrant")-SUMIFS('Federal Data'!S2:S501,'Federal Data'!$F2:$F501,"General Government",'Federal Data'!$D2:$D501,"Nongrant")</f>
        <v>-544517</v>
      </c>
      <c r="J135" s="112">
        <f>SUMIFS('Federal Data'!T2:T501,'Federal Data'!$E2:$E501,"General Government",'Federal Data'!$D2:$D501,"Nongrant")-SUMIFS('Federal Data'!T2:T501,'Federal Data'!$F2:$F501,"General Government",'Federal Data'!$D2:$D501,"Nongrant")</f>
        <v>9874</v>
      </c>
      <c r="K135" s="112">
        <f>SUMIFS('Federal Data'!U2:U501,'Federal Data'!$E2:$E501,"General Government",'Federal Data'!$D2:$D501,"Nongrant")-SUMIFS('Federal Data'!U2:U501,'Federal Data'!$F2:$F501,"General Government",'Federal Data'!$D2:$D501,"Nongrant")</f>
        <v>138796</v>
      </c>
      <c r="L135" s="112">
        <f>SUMIFS('Federal Data'!V2:V501,'Federal Data'!$E2:$E501,"General Government",'Federal Data'!$D2:$D501,"Nongrant")-SUMIFS('Federal Data'!V2:V501,'Federal Data'!$F2:$F501,"General Government",'Federal Data'!$D2:$D501,"Nongrant")</f>
        <v>126523</v>
      </c>
      <c r="M135" s="112">
        <f>SUMIFS('Federal Data'!W2:W501,'Federal Data'!$E2:$E501,"General Government",'Federal Data'!$D2:$D501,"Nongrant")-SUMIFS('Federal Data'!W2:W501,'Federal Data'!$F2:$F501,"General Government",'Federal Data'!$D2:$D501,"Nongrant")</f>
        <v>150136</v>
      </c>
      <c r="N135" s="112">
        <f>SUMIFS('Federal Data'!X2:X501,'Federal Data'!$E2:$E501,"General Government",'Federal Data'!$D2:$D501,"Nongrant")-SUMIFS('Federal Data'!X2:X501,'Federal Data'!$F2:$F501,"General Government",'Federal Data'!$D2:$D501,"Nongrant")</f>
        <v>147307</v>
      </c>
      <c r="O135" s="112">
        <f>SUMIFS('Federal Data'!Y2:Y501,'Federal Data'!$E2:$E501,"General Government",'Federal Data'!$D2:$D501,"Nongrant")-SUMIFS('Federal Data'!Y2:Y501,'Federal Data'!$F2:$F501,"General Government",'Federal Data'!$D2:$D501,"Nongrant")</f>
        <v>-136237</v>
      </c>
      <c r="P135" s="112">
        <f>SUMIFS('Federal Data'!Z2:Z501,'Federal Data'!$E2:$E501,"General Government",'Federal Data'!$D2:$D501,"Nongrant")-SUMIFS('Federal Data'!Z2:Z501,'Federal Data'!$F2:$F501,"General Government",'Federal Data'!$D2:$D501,"Nongrant")</f>
        <v>32633</v>
      </c>
      <c r="Q135" s="112">
        <f>SUMIFS('Federal Data'!AA2:AA501,'Federal Data'!$E2:$E501,"General Government",'Federal Data'!$D2:$D501,"Nongrant")-SUMIFS('Federal Data'!AA2:AA501,'Federal Data'!$F2:$F501,"General Government",'Federal Data'!$D2:$D501,"Nongrant")</f>
        <v>131500</v>
      </c>
      <c r="R135" s="112">
        <f>SUMIFS('Federal Data'!AB2:AB501,'Federal Data'!$E2:$E501,"General Government",'Federal Data'!$D2:$D501,"Nongrant")-SUMIFS('Federal Data'!AB2:AB501,'Federal Data'!$F2:$F501,"General Government",'Federal Data'!$D2:$D501,"Nongrant")</f>
        <v>324000</v>
      </c>
      <c r="S135" s="112">
        <f>SUMIFS('Federal Data'!AC2:AC501,'Federal Data'!$E2:$E501,"General Government",'Federal Data'!$D2:$D501,"Nongrant")-SUMIFS('Federal Data'!AC2:AC501,'Federal Data'!$F2:$F501,"General Government",'Federal Data'!$D2:$D501,"Nongrant")</f>
        <v>161000</v>
      </c>
      <c r="T135" s="112">
        <f>SUMIFS('Federal Data'!AD2:AD501,'Federal Data'!$E2:$E501,"General Government",'Federal Data'!$D2:$D501,"Nongrant")-SUMIFS('Federal Data'!AD2:AD501,'Federal Data'!$F2:$F501,"General Government",'Federal Data'!$D2:$D501,"Nongrant")</f>
        <v>168000</v>
      </c>
      <c r="U135" s="112">
        <f>SUMIFS('Federal Data'!AE2:AE501,'Federal Data'!$E2:$E501,"General Government",'Federal Data'!$D2:$D501,"Nongrant")-SUMIFS('Federal Data'!AE2:AE501,'Federal Data'!$F2:$F501,"General Government",'Federal Data'!$D2:$D501,"Nongrant")</f>
        <v>103000</v>
      </c>
      <c r="V135" s="112">
        <f>SUMIFS('Federal Data'!AF2:AF501,'Federal Data'!$E2:$E501,"General Government",'Federal Data'!$D2:$D501,"Nongrant")-SUMIFS('Federal Data'!AF2:AF501,'Federal Data'!$F2:$F501,"General Government",'Federal Data'!$D2:$D501,"Nongrant")</f>
        <v>169000</v>
      </c>
      <c r="W135" s="112">
        <f>SUMIFS('Federal Data'!AG2:AG501,'Federal Data'!$E2:$E501,"General Government",'Federal Data'!$D2:$D501,"Nongrant")-SUMIFS('Federal Data'!AG2:AG501,'Federal Data'!$F2:$F501,"General Government",'Federal Data'!$D2:$D501,"Nongrant")</f>
        <v>178000</v>
      </c>
      <c r="X135" s="112">
        <f>SUMIFS('Federal Data'!AH2:AH501,'Federal Data'!$E2:$E501,"General Government",'Federal Data'!$D2:$D501,"Nongrant")-SUMIFS('Federal Data'!AH2:AH501,'Federal Data'!$F2:$F501,"General Government",'Federal Data'!$D2:$D501,"Nongrant")</f>
        <v>180000</v>
      </c>
      <c r="Y135" s="112">
        <f>SUMIFS('Federal Data'!AI2:AI501,'Federal Data'!$E2:$E501,"General Government",'Federal Data'!$D2:$D501,"Nongrant")-SUMIFS('Federal Data'!AI2:AI501,'Federal Data'!$F2:$F501,"General Government",'Federal Data'!$D2:$D501,"Nongrant")</f>
        <v>197000</v>
      </c>
      <c r="Z135" s="112">
        <f>SUMIFS('Federal Data'!AJ2:AJ501,'Federal Data'!$E2:$E501,"General Government",'Federal Data'!$D2:$D501,"Nongrant")-SUMIFS('Federal Data'!AJ2:AJ501,'Federal Data'!$F2:$F501,"General Government",'Federal Data'!$D2:$D501,"Nongrant")</f>
        <v>199000</v>
      </c>
      <c r="AA135" s="112">
        <f>SUMIFS('Federal Data'!AK2:AK501,'Federal Data'!$E2:$E501,"General Government",'Federal Data'!$D2:$D501,"Nongrant")-SUMIFS('Federal Data'!AK2:AK501,'Federal Data'!$F2:$F501,"General Government",'Federal Data'!$D2:$D501,"Nongrant")</f>
        <v>174000</v>
      </c>
      <c r="AB135" s="112">
        <f>SUMIFS('Federal Data'!AL2:AL501,'Federal Data'!$E2:$E501,"General Government",'Federal Data'!$D2:$D501,"Nongrant")-SUMIFS('Federal Data'!AL2:AL501,'Federal Data'!$F2:$F501,"General Government",'Federal Data'!$D2:$D501,"Nongrant")</f>
        <v>227000</v>
      </c>
      <c r="AC135" s="112">
        <f>SUMIFS('Federal Data'!AM2:AM501,'Federal Data'!$E2:$E501,"General Government",'Federal Data'!$D2:$D501,"Nongrant")-SUMIFS('Federal Data'!AM2:AM501,'Federal Data'!$F2:$F501,"General Government",'Federal Data'!$D2:$D501,"Nongrant")</f>
        <v>192000</v>
      </c>
      <c r="AD135" s="112">
        <f>SUMIFS('Federal Data'!AN2:AN501,'Federal Data'!$E2:$E501,"General Government",'Federal Data'!$D2:$D501,"Nongrant")-SUMIFS('Federal Data'!AN2:AN501,'Federal Data'!$F2:$F501,"General Government",'Federal Data'!$D2:$D501,"Nongrant")</f>
        <v>233000</v>
      </c>
      <c r="AE135" s="112">
        <f>SUMIFS('Federal Data'!AO2:AO501,'Federal Data'!$E2:$E501,"General Government",'Federal Data'!$D2:$D501,"Nongrant")-SUMIFS('Federal Data'!AO2:AO501,'Federal Data'!$F2:$F501,"General Government",'Federal Data'!$D2:$D501,"Nongrant")</f>
        <v>208000</v>
      </c>
      <c r="AF135" s="112">
        <f>SUMIFS('Federal Data'!AP2:AP501,'Federal Data'!$E2:$E501,"General Government",'Federal Data'!$D2:$D501,"Nongrant")-SUMIFS('Federal Data'!AP2:AP501,'Federal Data'!$F2:$F501,"General Government",'Federal Data'!$D2:$D501,"Nongrant")</f>
        <v>275000</v>
      </c>
      <c r="AG135" s="112">
        <f>SUMIFS('Federal Data'!AQ2:AQ501,'Federal Data'!$E2:$E501,"General Government",'Federal Data'!$D2:$D501,"Nongrant")-SUMIFS('Federal Data'!AQ2:AQ501,'Federal Data'!$F2:$F501,"General Government",'Federal Data'!$D2:$D501,"Nongrant")</f>
        <v>227000</v>
      </c>
      <c r="AH135" s="112">
        <f>SUMIFS('Federal Data'!AR2:AR501,'Federal Data'!$E2:$E501,"General Government",'Federal Data'!$D2:$D501,"Nongrant")-SUMIFS('Federal Data'!AR2:AR501,'Federal Data'!$F2:$F501,"General Government",'Federal Data'!$D2:$D501,"Nongrant")</f>
        <v>245000</v>
      </c>
      <c r="AI135" s="112">
        <f>SUMIFS('Federal Data'!AS2:AS501,'Federal Data'!$E2:$E501,"General Government",'Federal Data'!$D2:$D501,"Nongrant")-SUMIFS('Federal Data'!AS2:AS501,'Federal Data'!$F2:$F501,"General Government",'Federal Data'!$D2:$D501,"Nongrant")</f>
        <v>4005000</v>
      </c>
      <c r="AJ135" s="112">
        <f>SUMIFS('Federal Data'!AT2:AT501,'Federal Data'!$E2:$E501,"General Government",'Federal Data'!$D2:$D501,"Nongrant")-SUMIFS('Federal Data'!AT2:AT501,'Federal Data'!$F2:$F501,"General Government",'Federal Data'!$D2:$D501,"Nongrant")</f>
        <v>4135000</v>
      </c>
      <c r="AK135" s="112">
        <f>SUMIFS('Federal Data'!AU2:AU501,'Federal Data'!$E2:$E501,"General Government",'Federal Data'!$D2:$D501,"Nongrant")-SUMIFS('Federal Data'!AU2:AU501,'Federal Data'!$F2:$F501,"General Government",'Federal Data'!$D2:$D501,"Nongrant")</f>
        <v>3821000</v>
      </c>
      <c r="AL135" s="112">
        <f>SUMIFS('Federal Data'!AV2:AV501,'Federal Data'!$E2:$E501,"General Government",'Federal Data'!$D2:$D501,"Nongrant")-SUMIFS('Federal Data'!AV2:AV501,'Federal Data'!$F2:$F501,"General Government",'Federal Data'!$D2:$D501,"Nongrant")</f>
        <v>3754000</v>
      </c>
    </row>
    <row r="136" spans="1:38" outlineLevel="1">
      <c r="B136" s="48"/>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row>
    <row r="137" spans="1:38" outlineLevel="1">
      <c r="A137" s="22" t="str">
        <f>B28</f>
        <v>Spending By Mission</v>
      </c>
      <c r="B137" s="48" t="s">
        <v>122</v>
      </c>
      <c r="C137" s="112">
        <f>SUMIFS('Federal Data'!M2:M501,'Federal Data'!$C2:$C501,"Spending",'Federal Data'!$D2:$D501,"Grant")</f>
        <v>91385203</v>
      </c>
      <c r="D137" s="112">
        <f>SUMIFS('Federal Data'!N2:N501,'Federal Data'!$C2:$C501,"Spending",'Federal Data'!$D2:$D501,"Grant")</f>
        <v>94703683</v>
      </c>
      <c r="E137" s="112">
        <f>SUMIFS('Federal Data'!O2:O501,'Federal Data'!$C2:$C501,"Spending",'Federal Data'!$D2:$D501,"Grant")</f>
        <v>88134375</v>
      </c>
      <c r="F137" s="112">
        <f>SUMIFS('Federal Data'!P2:P501,'Federal Data'!$C2:$C501,"Spending",'Federal Data'!$D2:$D501,"Grant")</f>
        <v>92447649</v>
      </c>
      <c r="G137" s="112">
        <f>SUMIFS('Federal Data'!Q2:Q501,'Federal Data'!$C2:$C501,"Spending",'Federal Data'!$D2:$D501,"Grant")</f>
        <v>97552538</v>
      </c>
      <c r="H137" s="112">
        <f>SUMIFS('Federal Data'!R2:R501,'Federal Data'!$C2:$C501,"Spending",'Federal Data'!$D2:$D501,"Grant")</f>
        <v>105851907</v>
      </c>
      <c r="I137" s="112">
        <f>SUMIFS('Federal Data'!S2:S501,'Federal Data'!$C2:$C501,"Spending",'Federal Data'!$D2:$D501,"Grant")</f>
        <v>112330930</v>
      </c>
      <c r="J137" s="112">
        <f>SUMIFS('Federal Data'!T2:T501,'Federal Data'!$C2:$C501,"Spending",'Federal Data'!$D2:$D501,"Grant")</f>
        <v>108399827</v>
      </c>
      <c r="K137" s="112">
        <f>SUMIFS('Federal Data'!U2:U501,'Federal Data'!$C2:$C501,"Spending",'Federal Data'!$D2:$D501,"Grant")</f>
        <v>115341544</v>
      </c>
      <c r="L137" s="112">
        <f>SUMIFS('Federal Data'!V2:V501,'Federal Data'!$C2:$C501,"Spending",'Federal Data'!$D2:$D501,"Grant")</f>
        <v>121928237</v>
      </c>
      <c r="M137" s="112">
        <f>SUMIFS('Federal Data'!W2:W501,'Federal Data'!$C2:$C501,"Spending",'Federal Data'!$D2:$D501,"Grant")</f>
        <v>135324943</v>
      </c>
      <c r="N137" s="112">
        <f>SUMIFS('Federal Data'!X2:X501,'Federal Data'!$C2:$C501,"Spending",'Federal Data'!$D2:$D501,"Grant")</f>
        <v>154518646</v>
      </c>
      <c r="O137" s="112">
        <f>SUMIFS('Federal Data'!Y2:Y501,'Federal Data'!$C2:$C501,"Spending",'Federal Data'!$D2:$D501,"Grant")</f>
        <v>178065422</v>
      </c>
      <c r="P137" s="112">
        <f>SUMIFS('Federal Data'!Z2:Z501,'Federal Data'!$C2:$C501,"Spending",'Federal Data'!$D2:$D501,"Grant")</f>
        <v>193612109</v>
      </c>
      <c r="Q137" s="112">
        <f>SUMIFS('Federal Data'!AA2:AA501,'Federal Data'!$C2:$C501,"Spending",'Federal Data'!$D2:$D501,"Grant")</f>
        <v>210596182</v>
      </c>
      <c r="R137" s="112">
        <f>SUMIFS('Federal Data'!AB2:AB501,'Federal Data'!$C2:$C501,"Spending",'Federal Data'!$D2:$D501,"Grant")</f>
        <v>224991000</v>
      </c>
      <c r="S137" s="112">
        <f>SUMIFS('Federal Data'!AC2:AC501,'Federal Data'!$C2:$C501,"Spending",'Federal Data'!$D2:$D501,"Grant")</f>
        <v>227811000</v>
      </c>
      <c r="T137" s="112">
        <f>SUMIFS('Federal Data'!AD2:AD501,'Federal Data'!$C2:$C501,"Spending",'Federal Data'!$D2:$D501,"Grant")</f>
        <v>234160000</v>
      </c>
      <c r="U137" s="112">
        <f>SUMIFS('Federal Data'!AE2:AE501,'Federal Data'!$C2:$C501,"Spending",'Federal Data'!$D2:$D501,"Grant")</f>
        <v>246128000</v>
      </c>
      <c r="V137" s="112">
        <f>SUMIFS('Federal Data'!AF2:AF501,'Federal Data'!$C2:$C501,"Spending",'Federal Data'!$D2:$D501,"Grant")</f>
        <v>267886000</v>
      </c>
      <c r="W137" s="112">
        <f>SUMIFS('Federal Data'!AG2:AG501,'Federal Data'!$C2:$C501,"Spending",'Federal Data'!$D2:$D501,"Grant")</f>
        <v>285874000</v>
      </c>
      <c r="X137" s="112">
        <f>SUMIFS('Federal Data'!AH2:AH501,'Federal Data'!$C2:$C501,"Spending",'Federal Data'!$D2:$D501,"Grant")</f>
        <v>318542000</v>
      </c>
      <c r="Y137" s="112">
        <f>SUMIFS('Federal Data'!AI2:AI501,'Federal Data'!$C2:$C501,"Spending",'Federal Data'!$D2:$D501,"Grant")</f>
        <v>352895000</v>
      </c>
      <c r="Z137" s="112">
        <f>SUMIFS('Federal Data'!AJ2:AJ501,'Federal Data'!$C2:$C501,"Spending",'Federal Data'!$D2:$D501,"Grant")</f>
        <v>388542000</v>
      </c>
      <c r="AA137" s="112">
        <f>SUMIFS('Federal Data'!AK2:AK501,'Federal Data'!$C2:$C501,"Spending",'Federal Data'!$D2:$D501,"Grant")</f>
        <v>407512000</v>
      </c>
      <c r="AB137" s="112">
        <f>SUMIFS('Federal Data'!AL2:AL501,'Federal Data'!$C2:$C501,"Spending",'Federal Data'!$D2:$D501,"Grant")</f>
        <v>428018000</v>
      </c>
      <c r="AC137" s="112">
        <f>SUMIFS('Federal Data'!AM2:AM501,'Federal Data'!$C2:$C501,"Spending",'Federal Data'!$D2:$D501,"Grant")</f>
        <v>434099000</v>
      </c>
      <c r="AD137" s="112">
        <f>SUMIFS('Federal Data'!AN2:AN501,'Federal Data'!$C2:$C501,"Spending",'Federal Data'!$D2:$D501,"Grant")</f>
        <v>443797000</v>
      </c>
      <c r="AE137" s="112">
        <f>SUMIFS('Federal Data'!AO2:AO501,'Federal Data'!$C2:$C501,"Spending",'Federal Data'!$D2:$D501,"Grant")</f>
        <v>461317000</v>
      </c>
      <c r="AF137" s="112">
        <f>SUMIFS('Federal Data'!AP2:AP501,'Federal Data'!$C2:$C501,"Spending",'Federal Data'!$D2:$D501,"Grant")</f>
        <v>537991000</v>
      </c>
      <c r="AG137" s="112">
        <f>SUMIFS('Federal Data'!AQ2:AQ501,'Federal Data'!$C2:$C501,"Spending",'Federal Data'!$D2:$D501,"Grant")</f>
        <v>608390000</v>
      </c>
      <c r="AH137" s="112">
        <f>SUMIFS('Federal Data'!AR2:AR501,'Federal Data'!$C2:$C501,"Spending",'Federal Data'!$D2:$D501,"Grant")</f>
        <v>606766000</v>
      </c>
      <c r="AI137" s="112">
        <f>SUMIFS('Federal Data'!AS2:AS501,'Federal Data'!$C2:$C501,"Spending",'Federal Data'!$D2:$D501,"Grant")</f>
        <v>544569000</v>
      </c>
      <c r="AJ137" s="112">
        <f>SUMIFS('Federal Data'!AT2:AT501,'Federal Data'!$C2:$C501,"Spending",'Federal Data'!$D2:$D501,"Grant")</f>
        <v>546171000</v>
      </c>
      <c r="AK137" s="112">
        <f>SUMIFS('Federal Data'!AU2:AU501,'Federal Data'!$C2:$C501,"Spending",'Federal Data'!$D2:$D501,"Grant")</f>
        <v>576967000</v>
      </c>
      <c r="AL137" s="112">
        <f>SUMIFS('Federal Data'!AV2:AV501,'Federal Data'!$C2:$C501,"Spending",'Federal Data'!$D2:$D501,"Grant")</f>
        <v>624354000</v>
      </c>
    </row>
    <row r="138" spans="1:38" outlineLevel="2">
      <c r="A138" s="22" t="str">
        <f>B137</f>
        <v>Grants to State and Local Governments and Territories</v>
      </c>
      <c r="B138" s="80" t="str">
        <f>B159</f>
        <v>Child and Social Services</v>
      </c>
      <c r="C138" s="119">
        <f>C159</f>
        <v>13087060</v>
      </c>
      <c r="D138" s="119">
        <f t="shared" ref="D138:AL138" si="9">D159</f>
        <v>14625185</v>
      </c>
      <c r="E138" s="119">
        <f t="shared" si="9"/>
        <v>13598580</v>
      </c>
      <c r="F138" s="119">
        <f t="shared" si="9"/>
        <v>14114632</v>
      </c>
      <c r="G138" s="119">
        <f t="shared" si="9"/>
        <v>15595614</v>
      </c>
      <c r="H138" s="119">
        <f t="shared" si="9"/>
        <v>15560181</v>
      </c>
      <c r="I138" s="119">
        <f t="shared" si="9"/>
        <v>16718591</v>
      </c>
      <c r="J138" s="119">
        <f t="shared" si="9"/>
        <v>17420891</v>
      </c>
      <c r="K138" s="119">
        <f t="shared" si="9"/>
        <v>18242320</v>
      </c>
      <c r="L138" s="119">
        <f t="shared" si="9"/>
        <v>19938495</v>
      </c>
      <c r="M138" s="119">
        <f t="shared" si="9"/>
        <v>21358154</v>
      </c>
      <c r="N138" s="119">
        <f t="shared" si="9"/>
        <v>24379447</v>
      </c>
      <c r="O138" s="119">
        <f t="shared" si="9"/>
        <v>26715740</v>
      </c>
      <c r="P138" s="119">
        <f t="shared" si="9"/>
        <v>27393067</v>
      </c>
      <c r="Q138" s="119">
        <f t="shared" si="9"/>
        <v>29872214</v>
      </c>
      <c r="R138" s="119">
        <f t="shared" si="9"/>
        <v>31289000</v>
      </c>
      <c r="S138" s="119">
        <f t="shared" si="9"/>
        <v>30695000</v>
      </c>
      <c r="T138" s="119">
        <f t="shared" si="9"/>
        <v>20329000</v>
      </c>
      <c r="U138" s="119">
        <f t="shared" si="9"/>
        <v>17611000</v>
      </c>
      <c r="V138" s="119">
        <f t="shared" si="9"/>
        <v>18831000</v>
      </c>
      <c r="W138" s="119">
        <f t="shared" si="9"/>
        <v>19996000</v>
      </c>
      <c r="X138" s="119">
        <f t="shared" si="9"/>
        <v>21907000</v>
      </c>
      <c r="Y138" s="119">
        <f t="shared" si="9"/>
        <v>23695000</v>
      </c>
      <c r="Z138" s="119">
        <f t="shared" si="9"/>
        <v>24398000</v>
      </c>
      <c r="AA138" s="119">
        <f t="shared" si="9"/>
        <v>24874000</v>
      </c>
      <c r="AB138" s="119">
        <f t="shared" si="9"/>
        <v>25524000</v>
      </c>
      <c r="AC138" s="119">
        <f t="shared" si="9"/>
        <v>25684000</v>
      </c>
      <c r="AD138" s="119">
        <f t="shared" si="9"/>
        <v>26302000</v>
      </c>
      <c r="AE138" s="119">
        <f t="shared" si="9"/>
        <v>26652000</v>
      </c>
      <c r="AF138" s="119">
        <f t="shared" si="9"/>
        <v>27047000</v>
      </c>
      <c r="AG138" s="119">
        <f t="shared" si="9"/>
        <v>29228000</v>
      </c>
      <c r="AH138" s="119">
        <f t="shared" si="9"/>
        <v>28453000</v>
      </c>
      <c r="AI138" s="119">
        <f t="shared" si="9"/>
        <v>27387000</v>
      </c>
      <c r="AJ138" s="119">
        <f t="shared" si="9"/>
        <v>27618000</v>
      </c>
      <c r="AK138" s="119">
        <f t="shared" si="9"/>
        <v>26968000</v>
      </c>
      <c r="AL138" s="119">
        <f t="shared" si="9"/>
        <v>28418000</v>
      </c>
    </row>
    <row r="139" spans="1:38" outlineLevel="2">
      <c r="A139" s="22" t="str">
        <f>B137</f>
        <v>Grants to State and Local Governments and Territories</v>
      </c>
      <c r="B139" s="80" t="str">
        <f>B160</f>
        <v>Transportation</v>
      </c>
      <c r="C139" s="119">
        <f t="shared" ref="C139:AL139" si="10">C160</f>
        <v>13021518</v>
      </c>
      <c r="D139" s="119">
        <f t="shared" si="10"/>
        <v>13403866</v>
      </c>
      <c r="E139" s="119">
        <f t="shared" si="10"/>
        <v>12110064</v>
      </c>
      <c r="F139" s="119">
        <f t="shared" si="10"/>
        <v>13199897</v>
      </c>
      <c r="G139" s="119">
        <f t="shared" si="10"/>
        <v>14987859</v>
      </c>
      <c r="H139" s="119">
        <f t="shared" si="10"/>
        <v>17009438</v>
      </c>
      <c r="I139" s="119">
        <f t="shared" si="10"/>
        <v>18317521</v>
      </c>
      <c r="J139" s="119">
        <f t="shared" si="10"/>
        <v>16872872</v>
      </c>
      <c r="K139" s="119">
        <f t="shared" si="10"/>
        <v>18042648</v>
      </c>
      <c r="L139" s="119">
        <f t="shared" si="10"/>
        <v>18176317</v>
      </c>
      <c r="M139" s="119">
        <f t="shared" si="10"/>
        <v>19173829</v>
      </c>
      <c r="N139" s="119">
        <f t="shared" si="10"/>
        <v>19825945</v>
      </c>
      <c r="O139" s="119">
        <f t="shared" si="10"/>
        <v>20556224</v>
      </c>
      <c r="P139" s="119">
        <f t="shared" si="10"/>
        <v>22291611</v>
      </c>
      <c r="Q139" s="119">
        <f t="shared" si="10"/>
        <v>23633409</v>
      </c>
      <c r="R139" s="119">
        <f t="shared" si="10"/>
        <v>25787000</v>
      </c>
      <c r="S139" s="119">
        <f t="shared" si="10"/>
        <v>25957000</v>
      </c>
      <c r="T139" s="119">
        <f t="shared" si="10"/>
        <v>26846000</v>
      </c>
      <c r="U139" s="119">
        <f t="shared" si="10"/>
        <v>26144000</v>
      </c>
      <c r="V139" s="119">
        <f t="shared" si="10"/>
        <v>28904000</v>
      </c>
      <c r="W139" s="119">
        <f t="shared" si="10"/>
        <v>32222000</v>
      </c>
      <c r="X139" s="119">
        <f t="shared" si="10"/>
        <v>36647000</v>
      </c>
      <c r="Y139" s="119">
        <f t="shared" si="10"/>
        <v>40997000</v>
      </c>
      <c r="Z139" s="119">
        <f t="shared" si="10"/>
        <v>41026000</v>
      </c>
      <c r="AA139" s="119">
        <f t="shared" si="10"/>
        <v>41471000</v>
      </c>
      <c r="AB139" s="119">
        <f t="shared" si="10"/>
        <v>43370000</v>
      </c>
      <c r="AC139" s="119">
        <f t="shared" si="10"/>
        <v>46683000</v>
      </c>
      <c r="AD139" s="119">
        <f t="shared" si="10"/>
        <v>47945000</v>
      </c>
      <c r="AE139" s="119">
        <f t="shared" si="10"/>
        <v>51216000</v>
      </c>
      <c r="AF139" s="119">
        <f t="shared" si="10"/>
        <v>55438000</v>
      </c>
      <c r="AG139" s="119">
        <f t="shared" si="10"/>
        <v>60981000</v>
      </c>
      <c r="AH139" s="119">
        <f t="shared" si="10"/>
        <v>60986000</v>
      </c>
      <c r="AI139" s="119">
        <f t="shared" si="10"/>
        <v>60749000</v>
      </c>
      <c r="AJ139" s="119">
        <f t="shared" si="10"/>
        <v>60518000</v>
      </c>
      <c r="AK139" s="119">
        <f t="shared" si="10"/>
        <v>62260000</v>
      </c>
      <c r="AL139" s="119">
        <f t="shared" si="10"/>
        <v>60831000</v>
      </c>
    </row>
    <row r="140" spans="1:38" outlineLevel="2">
      <c r="A140" s="22" t="str">
        <f>B137</f>
        <v>Grants to State and Local Governments and Territories</v>
      </c>
      <c r="B140" s="80" t="str">
        <f>B161</f>
        <v>Community and Regional Development</v>
      </c>
      <c r="C140" s="119">
        <f t="shared" ref="C140:AL140" si="11">C161</f>
        <v>6105652</v>
      </c>
      <c r="D140" s="119">
        <f t="shared" si="11"/>
        <v>5855635</v>
      </c>
      <c r="E140" s="119">
        <f t="shared" si="11"/>
        <v>5265722</v>
      </c>
      <c r="F140" s="119">
        <f t="shared" si="11"/>
        <v>4775988</v>
      </c>
      <c r="G140" s="119">
        <f t="shared" si="11"/>
        <v>4940586</v>
      </c>
      <c r="H140" s="119">
        <f t="shared" si="11"/>
        <v>5041418</v>
      </c>
      <c r="I140" s="119">
        <f t="shared" si="11"/>
        <v>4562493</v>
      </c>
      <c r="J140" s="119">
        <f t="shared" si="11"/>
        <v>4033246</v>
      </c>
      <c r="K140" s="119">
        <f t="shared" si="11"/>
        <v>4093463</v>
      </c>
      <c r="L140" s="119">
        <f t="shared" si="11"/>
        <v>3941357</v>
      </c>
      <c r="M140" s="119">
        <f t="shared" si="11"/>
        <v>3780221</v>
      </c>
      <c r="N140" s="119">
        <f t="shared" si="11"/>
        <v>3777043</v>
      </c>
      <c r="O140" s="119">
        <f t="shared" si="11"/>
        <v>3910250</v>
      </c>
      <c r="P140" s="119">
        <f t="shared" si="11"/>
        <v>3828125</v>
      </c>
      <c r="Q140" s="119">
        <f t="shared" si="11"/>
        <v>4590796</v>
      </c>
      <c r="R140" s="119">
        <f t="shared" si="11"/>
        <v>5458000</v>
      </c>
      <c r="S140" s="119">
        <f t="shared" si="11"/>
        <v>5953000</v>
      </c>
      <c r="T140" s="119">
        <f t="shared" si="11"/>
        <v>6012000</v>
      </c>
      <c r="U140" s="119">
        <f t="shared" si="11"/>
        <v>5904000</v>
      </c>
      <c r="V140" s="119">
        <f t="shared" si="11"/>
        <v>6067000</v>
      </c>
      <c r="W140" s="119">
        <f t="shared" si="11"/>
        <v>6226000</v>
      </c>
      <c r="X140" s="119">
        <f t="shared" si="11"/>
        <v>6475000</v>
      </c>
      <c r="Y140" s="119">
        <f t="shared" si="11"/>
        <v>7045000</v>
      </c>
      <c r="Z140" s="119">
        <f t="shared" si="11"/>
        <v>7221000</v>
      </c>
      <c r="AA140" s="119">
        <f t="shared" si="11"/>
        <v>7114000</v>
      </c>
      <c r="AB140" s="119">
        <f t="shared" si="11"/>
        <v>6626000</v>
      </c>
      <c r="AC140" s="119">
        <f t="shared" si="11"/>
        <v>6554000</v>
      </c>
      <c r="AD140" s="119">
        <f t="shared" si="11"/>
        <v>12386000</v>
      </c>
      <c r="AE140" s="119">
        <f t="shared" si="11"/>
        <v>10591000</v>
      </c>
      <c r="AF140" s="119">
        <f t="shared" si="11"/>
        <v>8300000</v>
      </c>
      <c r="AG140" s="119">
        <f t="shared" si="11"/>
        <v>10425000</v>
      </c>
      <c r="AH140" s="119">
        <f t="shared" si="11"/>
        <v>10479000</v>
      </c>
      <c r="AI140" s="119">
        <f t="shared" si="11"/>
        <v>10052000</v>
      </c>
      <c r="AJ140" s="119">
        <f t="shared" si="11"/>
        <v>8983000</v>
      </c>
      <c r="AK140" s="119">
        <f t="shared" si="11"/>
        <v>8473000</v>
      </c>
      <c r="AL140" s="119">
        <f t="shared" si="11"/>
        <v>8433000</v>
      </c>
    </row>
    <row r="141" spans="1:38" outlineLevel="2">
      <c r="A141" s="22" t="str">
        <f>B137</f>
        <v>Grants to State and Local Governments and Territories</v>
      </c>
      <c r="B141" s="80" t="str">
        <f>B162</f>
        <v>Cash Programs for Aid to the Disadvantaged</v>
      </c>
      <c r="C141" s="119">
        <f t="shared" ref="C141:AL141" si="12">C162</f>
        <v>377539</v>
      </c>
      <c r="D141" s="119">
        <f t="shared" si="12"/>
        <v>685805</v>
      </c>
      <c r="E141" s="119">
        <f t="shared" si="12"/>
        <v>897511</v>
      </c>
      <c r="F141" s="119">
        <f t="shared" si="12"/>
        <v>516822</v>
      </c>
      <c r="G141" s="119">
        <f t="shared" si="12"/>
        <v>592979</v>
      </c>
      <c r="H141" s="119">
        <f t="shared" si="12"/>
        <v>420057</v>
      </c>
      <c r="I141" s="119">
        <f t="shared" si="12"/>
        <v>422197</v>
      </c>
      <c r="J141" s="119">
        <f t="shared" si="12"/>
        <v>373808</v>
      </c>
      <c r="K141" s="119">
        <f t="shared" si="12"/>
        <v>311787</v>
      </c>
      <c r="L141" s="119">
        <f t="shared" si="12"/>
        <v>370255</v>
      </c>
      <c r="M141" s="119">
        <f t="shared" si="12"/>
        <v>391089</v>
      </c>
      <c r="N141" s="119">
        <f t="shared" si="12"/>
        <v>228336</v>
      </c>
      <c r="O141" s="119">
        <f t="shared" si="12"/>
        <v>304098</v>
      </c>
      <c r="P141" s="119">
        <f t="shared" si="12"/>
        <v>326585</v>
      </c>
      <c r="Q141" s="119">
        <f t="shared" si="12"/>
        <v>332552</v>
      </c>
      <c r="R141" s="119">
        <f t="shared" si="12"/>
        <v>346000</v>
      </c>
      <c r="S141" s="119">
        <f t="shared" si="12"/>
        <v>319000</v>
      </c>
      <c r="T141" s="119">
        <f t="shared" si="12"/>
        <v>10003000</v>
      </c>
      <c r="U141" s="119">
        <f t="shared" si="12"/>
        <v>13580000</v>
      </c>
      <c r="V141" s="119">
        <f t="shared" si="12"/>
        <v>14397000</v>
      </c>
      <c r="W141" s="119">
        <f t="shared" si="12"/>
        <v>15744000</v>
      </c>
      <c r="X141" s="119">
        <f t="shared" si="12"/>
        <v>18928000</v>
      </c>
      <c r="Y141" s="119">
        <f t="shared" si="12"/>
        <v>19111000</v>
      </c>
      <c r="Z141" s="119">
        <f t="shared" si="12"/>
        <v>19704000</v>
      </c>
      <c r="AA141" s="119">
        <f t="shared" si="12"/>
        <v>18153000</v>
      </c>
      <c r="AB141" s="119">
        <f t="shared" si="12"/>
        <v>17819000</v>
      </c>
      <c r="AC141" s="119">
        <f t="shared" si="12"/>
        <v>17399000</v>
      </c>
      <c r="AD141" s="119">
        <f t="shared" si="12"/>
        <v>17321000</v>
      </c>
      <c r="AE141" s="119">
        <f t="shared" si="12"/>
        <v>19764000</v>
      </c>
      <c r="AF141" s="119">
        <f t="shared" si="12"/>
        <v>19477000</v>
      </c>
      <c r="AG141" s="119">
        <f t="shared" si="12"/>
        <v>20989000</v>
      </c>
      <c r="AH141" s="119">
        <f t="shared" si="12"/>
        <v>19704000</v>
      </c>
      <c r="AI141" s="119">
        <f t="shared" si="12"/>
        <v>17447000</v>
      </c>
      <c r="AJ141" s="119">
        <f t="shared" si="12"/>
        <v>18094000</v>
      </c>
      <c r="AK141" s="119">
        <f t="shared" si="12"/>
        <v>17559000</v>
      </c>
      <c r="AL141" s="119">
        <f t="shared" si="12"/>
        <v>17482000</v>
      </c>
    </row>
    <row r="142" spans="1:38" outlineLevel="3">
      <c r="A142" s="22" t="str">
        <f>B141</f>
        <v>Cash Programs for Aid to the Disadvantaged</v>
      </c>
      <c r="B142" s="49" t="str">
        <f>B163</f>
        <v>TANF</v>
      </c>
      <c r="C142" s="119">
        <f t="shared" ref="C142:AL142" si="13">C163</f>
        <v>0</v>
      </c>
      <c r="D142" s="119">
        <f t="shared" si="13"/>
        <v>0</v>
      </c>
      <c r="E142" s="119">
        <f t="shared" si="13"/>
        <v>0</v>
      </c>
      <c r="F142" s="119">
        <f t="shared" si="13"/>
        <v>0</v>
      </c>
      <c r="G142" s="119">
        <f t="shared" si="13"/>
        <v>0</v>
      </c>
      <c r="H142" s="119">
        <f t="shared" si="13"/>
        <v>0</v>
      </c>
      <c r="I142" s="119">
        <f t="shared" si="13"/>
        <v>0</v>
      </c>
      <c r="J142" s="119">
        <f t="shared" si="13"/>
        <v>0</v>
      </c>
      <c r="K142" s="119">
        <f t="shared" si="13"/>
        <v>0</v>
      </c>
      <c r="L142" s="119">
        <f t="shared" si="13"/>
        <v>0</v>
      </c>
      <c r="M142" s="119">
        <f t="shared" si="13"/>
        <v>0</v>
      </c>
      <c r="N142" s="119">
        <f t="shared" si="13"/>
        <v>0</v>
      </c>
      <c r="O142" s="119">
        <f t="shared" si="13"/>
        <v>0</v>
      </c>
      <c r="P142" s="119">
        <f t="shared" si="13"/>
        <v>0</v>
      </c>
      <c r="Q142" s="119">
        <f t="shared" si="13"/>
        <v>0</v>
      </c>
      <c r="R142" s="119">
        <f t="shared" si="13"/>
        <v>0</v>
      </c>
      <c r="S142" s="119">
        <f t="shared" si="13"/>
        <v>0</v>
      </c>
      <c r="T142" s="119">
        <f t="shared" si="13"/>
        <v>9726000</v>
      </c>
      <c r="U142" s="119">
        <f t="shared" si="13"/>
        <v>13286000</v>
      </c>
      <c r="V142" s="119">
        <f t="shared" si="13"/>
        <v>14161000</v>
      </c>
      <c r="W142" s="119">
        <f t="shared" si="13"/>
        <v>15464000</v>
      </c>
      <c r="X142" s="119">
        <f t="shared" si="13"/>
        <v>18583000</v>
      </c>
      <c r="Y142" s="119">
        <f t="shared" si="13"/>
        <v>18749000</v>
      </c>
      <c r="Z142" s="119">
        <f t="shared" si="13"/>
        <v>19352000</v>
      </c>
      <c r="AA142" s="119">
        <f t="shared" si="13"/>
        <v>17725000</v>
      </c>
      <c r="AB142" s="119">
        <f t="shared" si="13"/>
        <v>17400000</v>
      </c>
      <c r="AC142" s="119">
        <f t="shared" si="13"/>
        <v>16974000</v>
      </c>
      <c r="AD142" s="119">
        <f t="shared" si="13"/>
        <v>16932000</v>
      </c>
      <c r="AE142" s="119">
        <f t="shared" si="13"/>
        <v>17880000</v>
      </c>
      <c r="AF142" s="119">
        <f t="shared" si="13"/>
        <v>18933000</v>
      </c>
      <c r="AG142" s="119">
        <f t="shared" si="13"/>
        <v>20418000</v>
      </c>
      <c r="AH142" s="119">
        <f t="shared" si="13"/>
        <v>19072000</v>
      </c>
      <c r="AI142" s="119">
        <f t="shared" si="13"/>
        <v>16814000</v>
      </c>
      <c r="AJ142" s="119">
        <f t="shared" si="13"/>
        <v>17806000</v>
      </c>
      <c r="AK142" s="119">
        <f t="shared" si="13"/>
        <v>16887000</v>
      </c>
      <c r="AL142" s="119">
        <f t="shared" si="13"/>
        <v>16670000</v>
      </c>
    </row>
    <row r="143" spans="1:38" outlineLevel="3">
      <c r="A143" s="22" t="str">
        <f>B141</f>
        <v>Cash Programs for Aid to the Disadvantaged</v>
      </c>
      <c r="B143" s="49" t="s">
        <v>494</v>
      </c>
      <c r="C143" s="119">
        <f>C141-C142</f>
        <v>377539</v>
      </c>
      <c r="D143" s="119">
        <f t="shared" ref="D143:AL143" si="14">D141-D142</f>
        <v>685805</v>
      </c>
      <c r="E143" s="119">
        <f t="shared" si="14"/>
        <v>897511</v>
      </c>
      <c r="F143" s="119">
        <f t="shared" si="14"/>
        <v>516822</v>
      </c>
      <c r="G143" s="119">
        <f t="shared" si="14"/>
        <v>592979</v>
      </c>
      <c r="H143" s="119">
        <f t="shared" si="14"/>
        <v>420057</v>
      </c>
      <c r="I143" s="119">
        <f t="shared" si="14"/>
        <v>422197</v>
      </c>
      <c r="J143" s="119">
        <f t="shared" si="14"/>
        <v>373808</v>
      </c>
      <c r="K143" s="119">
        <f t="shared" si="14"/>
        <v>311787</v>
      </c>
      <c r="L143" s="119">
        <f t="shared" si="14"/>
        <v>370255</v>
      </c>
      <c r="M143" s="119">
        <f t="shared" si="14"/>
        <v>391089</v>
      </c>
      <c r="N143" s="119">
        <f t="shared" si="14"/>
        <v>228336</v>
      </c>
      <c r="O143" s="119">
        <f t="shared" si="14"/>
        <v>304098</v>
      </c>
      <c r="P143" s="119">
        <f t="shared" si="14"/>
        <v>326585</v>
      </c>
      <c r="Q143" s="119">
        <f t="shared" si="14"/>
        <v>332552</v>
      </c>
      <c r="R143" s="119">
        <f t="shared" si="14"/>
        <v>346000</v>
      </c>
      <c r="S143" s="119">
        <f t="shared" si="14"/>
        <v>319000</v>
      </c>
      <c r="T143" s="119">
        <f t="shared" si="14"/>
        <v>277000</v>
      </c>
      <c r="U143" s="119">
        <f t="shared" si="14"/>
        <v>294000</v>
      </c>
      <c r="V143" s="119">
        <f t="shared" si="14"/>
        <v>236000</v>
      </c>
      <c r="W143" s="119">
        <f t="shared" si="14"/>
        <v>280000</v>
      </c>
      <c r="X143" s="119">
        <f t="shared" si="14"/>
        <v>345000</v>
      </c>
      <c r="Y143" s="119">
        <f t="shared" si="14"/>
        <v>362000</v>
      </c>
      <c r="Z143" s="119">
        <f t="shared" si="14"/>
        <v>352000</v>
      </c>
      <c r="AA143" s="119">
        <f t="shared" si="14"/>
        <v>428000</v>
      </c>
      <c r="AB143" s="119">
        <f t="shared" si="14"/>
        <v>419000</v>
      </c>
      <c r="AC143" s="119">
        <f t="shared" si="14"/>
        <v>425000</v>
      </c>
      <c r="AD143" s="119">
        <f t="shared" si="14"/>
        <v>389000</v>
      </c>
      <c r="AE143" s="119">
        <f t="shared" si="14"/>
        <v>1884000</v>
      </c>
      <c r="AF143" s="119">
        <f t="shared" si="14"/>
        <v>544000</v>
      </c>
      <c r="AG143" s="119">
        <f t="shared" si="14"/>
        <v>571000</v>
      </c>
      <c r="AH143" s="119">
        <f t="shared" si="14"/>
        <v>632000</v>
      </c>
      <c r="AI143" s="119">
        <f t="shared" si="14"/>
        <v>633000</v>
      </c>
      <c r="AJ143" s="119">
        <f t="shared" si="14"/>
        <v>288000</v>
      </c>
      <c r="AK143" s="119">
        <f t="shared" si="14"/>
        <v>672000</v>
      </c>
      <c r="AL143" s="119">
        <f t="shared" si="14"/>
        <v>812000</v>
      </c>
    </row>
    <row r="144" spans="1:38" outlineLevel="2">
      <c r="A144" s="22" t="str">
        <f>B137</f>
        <v>Grants to State and Local Governments and Territories</v>
      </c>
      <c r="B144" s="80" t="str">
        <f>B164</f>
        <v>Non-Cash Programs for Aid to the Disadvantaged</v>
      </c>
      <c r="C144" s="119">
        <f t="shared" ref="C144:AL144" si="15">C164</f>
        <v>23741906</v>
      </c>
      <c r="D144" s="119">
        <f t="shared" si="15"/>
        <v>27789013</v>
      </c>
      <c r="E144" s="119">
        <f t="shared" si="15"/>
        <v>29110479</v>
      </c>
      <c r="F144" s="119">
        <f t="shared" si="15"/>
        <v>33224996</v>
      </c>
      <c r="G144" s="119">
        <f t="shared" si="15"/>
        <v>34912481</v>
      </c>
      <c r="H144" s="119">
        <f t="shared" si="15"/>
        <v>38767907</v>
      </c>
      <c r="I144" s="119">
        <f t="shared" si="15"/>
        <v>42328497</v>
      </c>
      <c r="J144" s="119">
        <f t="shared" si="15"/>
        <v>45046443</v>
      </c>
      <c r="K144" s="119">
        <f t="shared" si="15"/>
        <v>49512977</v>
      </c>
      <c r="L144" s="119">
        <f t="shared" si="15"/>
        <v>54105608</v>
      </c>
      <c r="M144" s="119">
        <f t="shared" si="15"/>
        <v>62153907</v>
      </c>
      <c r="N144" s="119">
        <f t="shared" si="15"/>
        <v>75922702</v>
      </c>
      <c r="O144" s="119">
        <f t="shared" si="15"/>
        <v>93655799</v>
      </c>
      <c r="P144" s="119">
        <f t="shared" si="15"/>
        <v>104527955</v>
      </c>
      <c r="Q144" s="119">
        <f t="shared" si="15"/>
        <v>114652431</v>
      </c>
      <c r="R144" s="119">
        <f t="shared" si="15"/>
        <v>124479000</v>
      </c>
      <c r="S144" s="119">
        <f t="shared" si="15"/>
        <v>126157000</v>
      </c>
      <c r="T144" s="119">
        <f t="shared" si="15"/>
        <v>132919000</v>
      </c>
      <c r="U144" s="119">
        <f t="shared" si="15"/>
        <v>142081000</v>
      </c>
      <c r="V144" s="119">
        <f t="shared" si="15"/>
        <v>153159000</v>
      </c>
      <c r="W144" s="119">
        <f t="shared" si="15"/>
        <v>161356000</v>
      </c>
      <c r="X144" s="119">
        <f t="shared" si="15"/>
        <v>178534000</v>
      </c>
      <c r="Y144" s="119">
        <f t="shared" si="15"/>
        <v>201114000</v>
      </c>
      <c r="Z144" s="119">
        <f t="shared" si="15"/>
        <v>219476000</v>
      </c>
      <c r="AA144" s="119">
        <f t="shared" si="15"/>
        <v>235976000</v>
      </c>
      <c r="AB144" s="119">
        <f t="shared" si="15"/>
        <v>246452000</v>
      </c>
      <c r="AC144" s="119">
        <f t="shared" si="15"/>
        <v>246808000</v>
      </c>
      <c r="AD144" s="119">
        <f t="shared" si="15"/>
        <v>258279000</v>
      </c>
      <c r="AE144" s="119">
        <f t="shared" si="15"/>
        <v>271575000</v>
      </c>
      <c r="AF144" s="119">
        <f t="shared" si="15"/>
        <v>327595000</v>
      </c>
      <c r="AG144" s="119">
        <f t="shared" si="15"/>
        <v>359201000</v>
      </c>
      <c r="AH144" s="119">
        <f t="shared" si="15"/>
        <v>361724000</v>
      </c>
      <c r="AI144" s="119">
        <f t="shared" si="15"/>
        <v>331889000</v>
      </c>
      <c r="AJ144" s="119">
        <f t="shared" si="15"/>
        <v>344922000</v>
      </c>
      <c r="AK144" s="119">
        <f t="shared" si="15"/>
        <v>380659000</v>
      </c>
      <c r="AL144" s="119">
        <f t="shared" si="15"/>
        <v>430229000</v>
      </c>
    </row>
    <row r="145" spans="1:38" outlineLevel="3">
      <c r="A145" s="22" t="str">
        <f>B144</f>
        <v>Non-Cash Programs for Aid to the Disadvantaged</v>
      </c>
      <c r="B145" s="49" t="str">
        <f>B165</f>
        <v>Child Care Assistance</v>
      </c>
      <c r="C145" s="119">
        <f t="shared" ref="C145:AL145" si="16">C165</f>
        <v>0</v>
      </c>
      <c r="D145" s="119">
        <f t="shared" si="16"/>
        <v>0</v>
      </c>
      <c r="E145" s="119">
        <f t="shared" si="16"/>
        <v>0</v>
      </c>
      <c r="F145" s="119">
        <f t="shared" si="16"/>
        <v>0</v>
      </c>
      <c r="G145" s="119">
        <f t="shared" si="16"/>
        <v>0</v>
      </c>
      <c r="H145" s="119">
        <f t="shared" si="16"/>
        <v>0</v>
      </c>
      <c r="I145" s="119">
        <f t="shared" si="16"/>
        <v>0</v>
      </c>
      <c r="J145" s="119">
        <f t="shared" si="16"/>
        <v>0</v>
      </c>
      <c r="K145" s="119">
        <f t="shared" si="16"/>
        <v>0</v>
      </c>
      <c r="L145" s="119">
        <f t="shared" si="16"/>
        <v>0</v>
      </c>
      <c r="M145" s="119">
        <f t="shared" si="16"/>
        <v>0</v>
      </c>
      <c r="N145" s="119">
        <f t="shared" si="16"/>
        <v>0</v>
      </c>
      <c r="O145" s="119">
        <f t="shared" si="16"/>
        <v>0</v>
      </c>
      <c r="P145" s="119">
        <f t="shared" si="16"/>
        <v>410841</v>
      </c>
      <c r="Q145" s="119">
        <f t="shared" si="16"/>
        <v>786421</v>
      </c>
      <c r="R145" s="119">
        <f t="shared" si="16"/>
        <v>933000</v>
      </c>
      <c r="S145" s="119">
        <f t="shared" si="16"/>
        <v>933000</v>
      </c>
      <c r="T145" s="119">
        <f t="shared" si="16"/>
        <v>2307000</v>
      </c>
      <c r="U145" s="119">
        <f t="shared" si="16"/>
        <v>3120000</v>
      </c>
      <c r="V145" s="119">
        <f t="shared" si="16"/>
        <v>3283000</v>
      </c>
      <c r="W145" s="119">
        <f t="shared" si="16"/>
        <v>3302000</v>
      </c>
      <c r="X145" s="119">
        <f t="shared" si="16"/>
        <v>3705000</v>
      </c>
      <c r="Y145" s="119">
        <f t="shared" si="16"/>
        <v>4525000</v>
      </c>
      <c r="Z145" s="119">
        <f t="shared" si="16"/>
        <v>5189000</v>
      </c>
      <c r="AA145" s="119">
        <f t="shared" si="16"/>
        <v>4826000</v>
      </c>
      <c r="AB145" s="119">
        <f t="shared" si="16"/>
        <v>4894000</v>
      </c>
      <c r="AC145" s="119">
        <f t="shared" si="16"/>
        <v>5245000</v>
      </c>
      <c r="AD145" s="119">
        <f t="shared" si="16"/>
        <v>5122000</v>
      </c>
      <c r="AE145" s="119">
        <f t="shared" si="16"/>
        <v>4977000</v>
      </c>
      <c r="AF145" s="119">
        <f t="shared" si="16"/>
        <v>5298000</v>
      </c>
      <c r="AG145" s="119">
        <f t="shared" si="16"/>
        <v>5852000</v>
      </c>
      <c r="AH145" s="119">
        <f t="shared" si="16"/>
        <v>6075000</v>
      </c>
      <c r="AI145" s="119">
        <f t="shared" si="16"/>
        <v>5019000</v>
      </c>
      <c r="AJ145" s="119">
        <f t="shared" si="16"/>
        <v>5040000</v>
      </c>
      <c r="AK145" s="119">
        <f t="shared" si="16"/>
        <v>5055000</v>
      </c>
      <c r="AL145" s="119">
        <f t="shared" si="16"/>
        <v>5122000</v>
      </c>
    </row>
    <row r="146" spans="1:38" outlineLevel="3">
      <c r="A146" s="22" t="str">
        <f>B144</f>
        <v>Non-Cash Programs for Aid to the Disadvantaged</v>
      </c>
      <c r="B146" s="49" t="str">
        <f>B166</f>
        <v>Medicaid and CHIP</v>
      </c>
      <c r="C146" s="119">
        <f t="shared" ref="C146:AL146" si="17">C166</f>
        <v>13956700</v>
      </c>
      <c r="D146" s="119">
        <f t="shared" si="17"/>
        <v>16833344</v>
      </c>
      <c r="E146" s="119">
        <f t="shared" si="17"/>
        <v>17390734</v>
      </c>
      <c r="F146" s="119">
        <f t="shared" si="17"/>
        <v>18985244</v>
      </c>
      <c r="G146" s="119">
        <f t="shared" si="17"/>
        <v>20060943</v>
      </c>
      <c r="H146" s="119">
        <f t="shared" si="17"/>
        <v>22654604</v>
      </c>
      <c r="I146" s="119">
        <f t="shared" si="17"/>
        <v>24995451</v>
      </c>
      <c r="J146" s="119">
        <f t="shared" si="17"/>
        <v>27435204</v>
      </c>
      <c r="K146" s="119">
        <f t="shared" si="17"/>
        <v>30461630</v>
      </c>
      <c r="L146" s="119">
        <f t="shared" si="17"/>
        <v>34603976</v>
      </c>
      <c r="M146" s="119">
        <f t="shared" si="17"/>
        <v>41103202</v>
      </c>
      <c r="N146" s="119">
        <f t="shared" si="17"/>
        <v>52532714</v>
      </c>
      <c r="O146" s="119">
        <f t="shared" si="17"/>
        <v>67827253</v>
      </c>
      <c r="P146" s="119">
        <f t="shared" si="17"/>
        <v>75774060</v>
      </c>
      <c r="Q146" s="119">
        <f t="shared" si="17"/>
        <v>82033658</v>
      </c>
      <c r="R146" s="119">
        <f t="shared" si="17"/>
        <v>89070000</v>
      </c>
      <c r="S146" s="119">
        <f t="shared" si="17"/>
        <v>91990000</v>
      </c>
      <c r="T146" s="119">
        <f t="shared" si="17"/>
        <v>95552000</v>
      </c>
      <c r="U146" s="119">
        <f t="shared" si="17"/>
        <v>101239000</v>
      </c>
      <c r="V146" s="119">
        <f t="shared" si="17"/>
        <v>108607000</v>
      </c>
      <c r="W146" s="119">
        <f t="shared" si="17"/>
        <v>119141000</v>
      </c>
      <c r="X146" s="119">
        <f t="shared" si="17"/>
        <v>133135000</v>
      </c>
      <c r="Y146" s="119">
        <f t="shared" si="17"/>
        <v>151342000</v>
      </c>
      <c r="Z146" s="119">
        <f t="shared" si="17"/>
        <v>165175000</v>
      </c>
      <c r="AA146" s="119">
        <f t="shared" si="17"/>
        <v>180886000</v>
      </c>
      <c r="AB146" s="119">
        <f t="shared" si="17"/>
        <v>186933000</v>
      </c>
      <c r="AC146" s="119">
        <f t="shared" si="17"/>
        <v>187345000</v>
      </c>
      <c r="AD146" s="119">
        <f t="shared" si="17"/>
        <v>197899000</v>
      </c>
      <c r="AE146" s="119">
        <f t="shared" si="17"/>
        <v>208753000</v>
      </c>
      <c r="AF146" s="119">
        <f t="shared" si="17"/>
        <v>258969000</v>
      </c>
      <c r="AG146" s="119">
        <f t="shared" si="17"/>
        <v>281189000</v>
      </c>
      <c r="AH146" s="119">
        <f t="shared" si="17"/>
        <v>284159000</v>
      </c>
      <c r="AI146" s="119">
        <f t="shared" si="17"/>
        <v>260076000</v>
      </c>
      <c r="AJ146" s="119">
        <f t="shared" si="17"/>
        <v>275392000</v>
      </c>
      <c r="AK146" s="119">
        <f t="shared" si="17"/>
        <v>311297000</v>
      </c>
      <c r="AL146" s="119">
        <f t="shared" si="17"/>
        <v>359572000</v>
      </c>
    </row>
    <row r="147" spans="1:38" outlineLevel="3">
      <c r="A147" s="22" t="str">
        <f>B144</f>
        <v>Non-Cash Programs for Aid to the Disadvantaged</v>
      </c>
      <c r="B147" s="49" t="str">
        <f>B167</f>
        <v>Housing Assistance</v>
      </c>
      <c r="C147" s="119">
        <f t="shared" ref="C147:AL147" si="18">C167</f>
        <v>3452878</v>
      </c>
      <c r="D147" s="119">
        <f t="shared" si="18"/>
        <v>4058580</v>
      </c>
      <c r="E147" s="119">
        <f t="shared" si="18"/>
        <v>4921918</v>
      </c>
      <c r="F147" s="119">
        <f t="shared" si="18"/>
        <v>5718110</v>
      </c>
      <c r="G147" s="119">
        <f t="shared" si="18"/>
        <v>5768935</v>
      </c>
      <c r="H147" s="119">
        <f t="shared" si="18"/>
        <v>6417011</v>
      </c>
      <c r="I147" s="119">
        <f t="shared" si="18"/>
        <v>7442787</v>
      </c>
      <c r="J147" s="119">
        <f t="shared" si="18"/>
        <v>7400093</v>
      </c>
      <c r="K147" s="119">
        <f t="shared" si="18"/>
        <v>8650829</v>
      </c>
      <c r="L147" s="119">
        <f t="shared" si="18"/>
        <v>8553124</v>
      </c>
      <c r="M147" s="119">
        <f t="shared" si="18"/>
        <v>9552419</v>
      </c>
      <c r="N147" s="119">
        <f t="shared" si="18"/>
        <v>10466473</v>
      </c>
      <c r="O147" s="119">
        <f t="shared" si="18"/>
        <v>12289667</v>
      </c>
      <c r="P147" s="119">
        <f t="shared" si="18"/>
        <v>14125598</v>
      </c>
      <c r="Q147" s="119">
        <f t="shared" si="18"/>
        <v>15809694</v>
      </c>
      <c r="R147" s="119">
        <f t="shared" si="18"/>
        <v>18434000</v>
      </c>
      <c r="S147" s="119">
        <f t="shared" si="18"/>
        <v>16789000</v>
      </c>
      <c r="T147" s="119">
        <f t="shared" si="18"/>
        <v>17717000</v>
      </c>
      <c r="U147" s="119">
        <f t="shared" si="18"/>
        <v>19668000</v>
      </c>
      <c r="V147" s="119">
        <f t="shared" si="18"/>
        <v>22830000</v>
      </c>
      <c r="W147" s="119">
        <f t="shared" si="18"/>
        <v>19974000</v>
      </c>
      <c r="X147" s="119">
        <f t="shared" si="18"/>
        <v>21139000</v>
      </c>
      <c r="Y147" s="119">
        <f t="shared" si="18"/>
        <v>23661000</v>
      </c>
      <c r="Z147" s="119">
        <f t="shared" si="18"/>
        <v>25975000</v>
      </c>
      <c r="AA147" s="119">
        <f t="shared" si="18"/>
        <v>27038000</v>
      </c>
      <c r="AB147" s="119">
        <f t="shared" si="18"/>
        <v>30203000</v>
      </c>
      <c r="AC147" s="119">
        <f t="shared" si="18"/>
        <v>27957000</v>
      </c>
      <c r="AD147" s="119">
        <f t="shared" si="18"/>
        <v>28883000</v>
      </c>
      <c r="AE147" s="119">
        <f t="shared" si="18"/>
        <v>29184000</v>
      </c>
      <c r="AF147" s="119">
        <f t="shared" si="18"/>
        <v>29965000</v>
      </c>
      <c r="AG147" s="119">
        <f t="shared" si="18"/>
        <v>37505000</v>
      </c>
      <c r="AH147" s="119">
        <f t="shared" si="18"/>
        <v>35850000</v>
      </c>
      <c r="AI147" s="119">
        <f t="shared" si="18"/>
        <v>29875000</v>
      </c>
      <c r="AJ147" s="119">
        <f t="shared" si="18"/>
        <v>27941000</v>
      </c>
      <c r="AK147" s="119">
        <f t="shared" si="18"/>
        <v>28474000</v>
      </c>
      <c r="AL147" s="119">
        <f t="shared" si="18"/>
        <v>28561000</v>
      </c>
    </row>
    <row r="148" spans="1:38" outlineLevel="3">
      <c r="A148" s="22" t="str">
        <f>B144</f>
        <v>Non-Cash Programs for Aid to the Disadvantaged</v>
      </c>
      <c r="B148" s="49" t="s">
        <v>492</v>
      </c>
      <c r="C148" s="119">
        <f>C144-C145-C146-C147</f>
        <v>6332328</v>
      </c>
      <c r="D148" s="119">
        <f t="shared" ref="D148:AL148" si="19">D144-D145-D146-D147</f>
        <v>6897089</v>
      </c>
      <c r="E148" s="119">
        <f t="shared" si="19"/>
        <v>6797827</v>
      </c>
      <c r="F148" s="119">
        <f t="shared" si="19"/>
        <v>8521642</v>
      </c>
      <c r="G148" s="119">
        <f t="shared" si="19"/>
        <v>9082603</v>
      </c>
      <c r="H148" s="119">
        <f t="shared" si="19"/>
        <v>9696292</v>
      </c>
      <c r="I148" s="119">
        <f t="shared" si="19"/>
        <v>9890259</v>
      </c>
      <c r="J148" s="119">
        <f t="shared" si="19"/>
        <v>10211146</v>
      </c>
      <c r="K148" s="119">
        <f t="shared" si="19"/>
        <v>10400518</v>
      </c>
      <c r="L148" s="119">
        <f t="shared" si="19"/>
        <v>10948508</v>
      </c>
      <c r="M148" s="119">
        <f t="shared" si="19"/>
        <v>11498286</v>
      </c>
      <c r="N148" s="119">
        <f t="shared" si="19"/>
        <v>12923515</v>
      </c>
      <c r="O148" s="119">
        <f t="shared" si="19"/>
        <v>13538879</v>
      </c>
      <c r="P148" s="119">
        <f t="shared" si="19"/>
        <v>14217456</v>
      </c>
      <c r="Q148" s="119">
        <f t="shared" si="19"/>
        <v>16022658</v>
      </c>
      <c r="R148" s="119">
        <f t="shared" si="19"/>
        <v>16042000</v>
      </c>
      <c r="S148" s="119">
        <f t="shared" si="19"/>
        <v>16445000</v>
      </c>
      <c r="T148" s="119">
        <f t="shared" si="19"/>
        <v>17343000</v>
      </c>
      <c r="U148" s="119">
        <f t="shared" si="19"/>
        <v>18054000</v>
      </c>
      <c r="V148" s="119">
        <f t="shared" si="19"/>
        <v>18439000</v>
      </c>
      <c r="W148" s="119">
        <f t="shared" si="19"/>
        <v>18939000</v>
      </c>
      <c r="X148" s="119">
        <f t="shared" si="19"/>
        <v>20555000</v>
      </c>
      <c r="Y148" s="119">
        <f t="shared" si="19"/>
        <v>21586000</v>
      </c>
      <c r="Z148" s="119">
        <f t="shared" si="19"/>
        <v>23137000</v>
      </c>
      <c r="AA148" s="119">
        <f t="shared" si="19"/>
        <v>23226000</v>
      </c>
      <c r="AB148" s="119">
        <f t="shared" si="19"/>
        <v>24422000</v>
      </c>
      <c r="AC148" s="119">
        <f t="shared" si="19"/>
        <v>26261000</v>
      </c>
      <c r="AD148" s="119">
        <f t="shared" si="19"/>
        <v>26375000</v>
      </c>
      <c r="AE148" s="119">
        <f t="shared" si="19"/>
        <v>28661000</v>
      </c>
      <c r="AF148" s="119">
        <f t="shared" si="19"/>
        <v>33363000</v>
      </c>
      <c r="AG148" s="119">
        <f t="shared" si="19"/>
        <v>34655000</v>
      </c>
      <c r="AH148" s="119">
        <f t="shared" si="19"/>
        <v>35640000</v>
      </c>
      <c r="AI148" s="119">
        <f t="shared" si="19"/>
        <v>36919000</v>
      </c>
      <c r="AJ148" s="119">
        <f t="shared" si="19"/>
        <v>36549000</v>
      </c>
      <c r="AK148" s="119">
        <f t="shared" si="19"/>
        <v>35833000</v>
      </c>
      <c r="AL148" s="119">
        <f t="shared" si="19"/>
        <v>36974000</v>
      </c>
    </row>
    <row r="149" spans="1:38" outlineLevel="2">
      <c r="A149" s="22" t="str">
        <f>B137</f>
        <v>Grants to State and Local Governments and Territories</v>
      </c>
      <c r="B149" s="80" t="str">
        <f>B168</f>
        <v>Elementary and Secondary Education</v>
      </c>
      <c r="C149" s="119">
        <f t="shared" ref="C149:AL149" si="20">C168</f>
        <v>5591633</v>
      </c>
      <c r="D149" s="119">
        <f t="shared" si="20"/>
        <v>5909697</v>
      </c>
      <c r="E149" s="119">
        <f t="shared" si="20"/>
        <v>5447226</v>
      </c>
      <c r="F149" s="119">
        <f t="shared" si="20"/>
        <v>4994838</v>
      </c>
      <c r="G149" s="119">
        <f t="shared" si="20"/>
        <v>5182428</v>
      </c>
      <c r="H149" s="119">
        <f t="shared" si="20"/>
        <v>6426913</v>
      </c>
      <c r="I149" s="119">
        <f t="shared" si="20"/>
        <v>6423797</v>
      </c>
      <c r="J149" s="119">
        <f t="shared" si="20"/>
        <v>6007311</v>
      </c>
      <c r="K149" s="119">
        <f t="shared" si="20"/>
        <v>6600524</v>
      </c>
      <c r="L149" s="119">
        <f t="shared" si="20"/>
        <v>7722918</v>
      </c>
      <c r="M149" s="119">
        <f t="shared" si="20"/>
        <v>8031494</v>
      </c>
      <c r="N149" s="119">
        <f t="shared" si="20"/>
        <v>9415196</v>
      </c>
      <c r="O149" s="119">
        <f t="shared" si="20"/>
        <v>10624501</v>
      </c>
      <c r="P149" s="119">
        <f t="shared" si="20"/>
        <v>11568137</v>
      </c>
      <c r="Q149" s="119">
        <f t="shared" si="20"/>
        <v>12074714</v>
      </c>
      <c r="R149" s="119">
        <f t="shared" si="20"/>
        <v>12233000</v>
      </c>
      <c r="S149" s="119">
        <f t="shared" si="20"/>
        <v>12684000</v>
      </c>
      <c r="T149" s="119">
        <f t="shared" si="20"/>
        <v>12838000</v>
      </c>
      <c r="U149" s="119">
        <f t="shared" si="20"/>
        <v>14296000</v>
      </c>
      <c r="V149" s="119">
        <f t="shared" si="20"/>
        <v>15350000</v>
      </c>
      <c r="W149" s="119">
        <f t="shared" si="20"/>
        <v>17912000</v>
      </c>
      <c r="X149" s="119">
        <f t="shared" si="20"/>
        <v>19682000</v>
      </c>
      <c r="Y149" s="119">
        <f t="shared" si="20"/>
        <v>21935000</v>
      </c>
      <c r="Z149" s="119">
        <f t="shared" si="20"/>
        <v>27669000</v>
      </c>
      <c r="AA149" s="119">
        <f t="shared" si="20"/>
        <v>30691000</v>
      </c>
      <c r="AB149" s="119">
        <f t="shared" si="20"/>
        <v>34557000</v>
      </c>
      <c r="AC149" s="119">
        <f t="shared" si="20"/>
        <v>36075000</v>
      </c>
      <c r="AD149" s="119">
        <f t="shared" si="20"/>
        <v>35016000</v>
      </c>
      <c r="AE149" s="119">
        <f t="shared" si="20"/>
        <v>35591000</v>
      </c>
      <c r="AF149" s="119">
        <f t="shared" si="20"/>
        <v>49645000</v>
      </c>
      <c r="AG149" s="119">
        <f t="shared" si="20"/>
        <v>69746000</v>
      </c>
      <c r="AH149" s="119">
        <f t="shared" si="20"/>
        <v>62618000</v>
      </c>
      <c r="AI149" s="119">
        <f t="shared" si="20"/>
        <v>43661000</v>
      </c>
      <c r="AJ149" s="119">
        <f t="shared" si="20"/>
        <v>38498000</v>
      </c>
      <c r="AK149" s="119">
        <f t="shared" si="20"/>
        <v>37261000</v>
      </c>
      <c r="AL149" s="119">
        <f t="shared" si="20"/>
        <v>36395000</v>
      </c>
    </row>
    <row r="150" spans="1:38" outlineLevel="2">
      <c r="A150" s="22" t="str">
        <f>B137</f>
        <v>Grants to State and Local Governments and Territories</v>
      </c>
      <c r="B150" s="80" t="str">
        <f>B169</f>
        <v>Vocational Education</v>
      </c>
      <c r="C150" s="119">
        <f t="shared" ref="C150:AL150" si="21">C169</f>
        <v>854115</v>
      </c>
      <c r="D150" s="119">
        <f t="shared" si="21"/>
        <v>722908</v>
      </c>
      <c r="E150" s="119">
        <f t="shared" si="21"/>
        <v>801905</v>
      </c>
      <c r="F150" s="119">
        <f t="shared" si="21"/>
        <v>705018</v>
      </c>
      <c r="G150" s="119">
        <f t="shared" si="21"/>
        <v>718696</v>
      </c>
      <c r="H150" s="119">
        <f t="shared" si="21"/>
        <v>633144</v>
      </c>
      <c r="I150" s="119">
        <f t="shared" si="21"/>
        <v>1007771</v>
      </c>
      <c r="J150" s="119">
        <f t="shared" si="21"/>
        <v>1224966</v>
      </c>
      <c r="K150" s="119">
        <f t="shared" si="21"/>
        <v>1261076</v>
      </c>
      <c r="L150" s="119">
        <f t="shared" si="21"/>
        <v>824083</v>
      </c>
      <c r="M150" s="119">
        <f t="shared" si="21"/>
        <v>1287089</v>
      </c>
      <c r="N150" s="119">
        <f t="shared" si="21"/>
        <v>1037506</v>
      </c>
      <c r="O150" s="119">
        <f t="shared" si="21"/>
        <v>1019814</v>
      </c>
      <c r="P150" s="119">
        <f t="shared" si="21"/>
        <v>1133120</v>
      </c>
      <c r="Q150" s="119">
        <f t="shared" si="21"/>
        <v>1292212</v>
      </c>
      <c r="R150" s="119">
        <f t="shared" si="21"/>
        <v>1449000</v>
      </c>
      <c r="S150" s="119">
        <f t="shared" si="21"/>
        <v>1323000</v>
      </c>
      <c r="T150" s="119">
        <f t="shared" si="21"/>
        <v>1382000</v>
      </c>
      <c r="U150" s="119">
        <f t="shared" si="21"/>
        <v>1425000</v>
      </c>
      <c r="V150" s="119">
        <f t="shared" si="21"/>
        <v>1338000</v>
      </c>
      <c r="W150" s="119">
        <f t="shared" si="21"/>
        <v>1448000</v>
      </c>
      <c r="X150" s="119">
        <f t="shared" si="21"/>
        <v>1651000</v>
      </c>
      <c r="Y150" s="119">
        <f t="shared" si="21"/>
        <v>1742000</v>
      </c>
      <c r="Z150" s="119">
        <f t="shared" si="21"/>
        <v>1908000</v>
      </c>
      <c r="AA150" s="119">
        <f t="shared" si="21"/>
        <v>1909000</v>
      </c>
      <c r="AB150" s="119">
        <f t="shared" si="21"/>
        <v>1930000</v>
      </c>
      <c r="AC150" s="119">
        <f t="shared" si="21"/>
        <v>1958000</v>
      </c>
      <c r="AD150" s="119">
        <f t="shared" si="21"/>
        <v>1927000</v>
      </c>
      <c r="AE150" s="119">
        <f t="shared" si="21"/>
        <v>1871000</v>
      </c>
      <c r="AF150" s="119">
        <f t="shared" si="21"/>
        <v>2005000</v>
      </c>
      <c r="AG150" s="119">
        <f t="shared" si="21"/>
        <v>1989000</v>
      </c>
      <c r="AH150" s="119">
        <f t="shared" si="21"/>
        <v>1946000</v>
      </c>
      <c r="AI150" s="119">
        <f t="shared" si="21"/>
        <v>1846000</v>
      </c>
      <c r="AJ150" s="119">
        <f t="shared" si="21"/>
        <v>1768000</v>
      </c>
      <c r="AK150" s="119">
        <f t="shared" si="21"/>
        <v>1665000</v>
      </c>
      <c r="AL150" s="119">
        <f t="shared" si="21"/>
        <v>1637000</v>
      </c>
    </row>
    <row r="151" spans="1:38" outlineLevel="2">
      <c r="A151" s="22" t="str">
        <f>B137</f>
        <v>Grants to State and Local Governments and Territories</v>
      </c>
      <c r="B151" s="80" t="s">
        <v>175</v>
      </c>
      <c r="C151" s="119">
        <f>C137-C138-C139-C140-C141-C144-C149-C150</f>
        <v>28605780</v>
      </c>
      <c r="D151" s="119">
        <f t="shared" ref="D151:AL151" si="22">D137-D138-D139-D140-D141-D144-D149-D150</f>
        <v>25711574</v>
      </c>
      <c r="E151" s="119">
        <f t="shared" si="22"/>
        <v>20902888</v>
      </c>
      <c r="F151" s="119">
        <f t="shared" si="22"/>
        <v>20915458</v>
      </c>
      <c r="G151" s="119">
        <f t="shared" si="22"/>
        <v>20621895</v>
      </c>
      <c r="H151" s="119">
        <f t="shared" si="22"/>
        <v>21992849</v>
      </c>
      <c r="I151" s="119">
        <f t="shared" si="22"/>
        <v>22550063</v>
      </c>
      <c r="J151" s="119">
        <f t="shared" si="22"/>
        <v>17420290</v>
      </c>
      <c r="K151" s="119">
        <f t="shared" si="22"/>
        <v>17276749</v>
      </c>
      <c r="L151" s="119">
        <f t="shared" si="22"/>
        <v>16849204</v>
      </c>
      <c r="M151" s="119">
        <f t="shared" si="22"/>
        <v>19149160</v>
      </c>
      <c r="N151" s="119">
        <f t="shared" si="22"/>
        <v>19932471</v>
      </c>
      <c r="O151" s="119">
        <f t="shared" si="22"/>
        <v>21278996</v>
      </c>
      <c r="P151" s="119">
        <f t="shared" si="22"/>
        <v>22543509</v>
      </c>
      <c r="Q151" s="119">
        <f t="shared" si="22"/>
        <v>24147854</v>
      </c>
      <c r="R151" s="119">
        <f t="shared" si="22"/>
        <v>23950000</v>
      </c>
      <c r="S151" s="119">
        <f t="shared" si="22"/>
        <v>24723000</v>
      </c>
      <c r="T151" s="119">
        <f t="shared" si="22"/>
        <v>23831000</v>
      </c>
      <c r="U151" s="119">
        <f t="shared" si="22"/>
        <v>25087000</v>
      </c>
      <c r="V151" s="119">
        <f t="shared" si="22"/>
        <v>29840000</v>
      </c>
      <c r="W151" s="119">
        <f t="shared" si="22"/>
        <v>30970000</v>
      </c>
      <c r="X151" s="119">
        <f t="shared" si="22"/>
        <v>34718000</v>
      </c>
      <c r="Y151" s="119">
        <f t="shared" si="22"/>
        <v>37256000</v>
      </c>
      <c r="Z151" s="119">
        <f t="shared" si="22"/>
        <v>47140000</v>
      </c>
      <c r="AA151" s="119">
        <f t="shared" si="22"/>
        <v>47324000</v>
      </c>
      <c r="AB151" s="119">
        <f t="shared" si="22"/>
        <v>51740000</v>
      </c>
      <c r="AC151" s="119">
        <f t="shared" si="22"/>
        <v>52938000</v>
      </c>
      <c r="AD151" s="119">
        <f t="shared" si="22"/>
        <v>44621000</v>
      </c>
      <c r="AE151" s="119">
        <f t="shared" si="22"/>
        <v>44057000</v>
      </c>
      <c r="AF151" s="119">
        <f t="shared" si="22"/>
        <v>48484000</v>
      </c>
      <c r="AG151" s="119">
        <f t="shared" si="22"/>
        <v>55831000</v>
      </c>
      <c r="AH151" s="119">
        <f t="shared" si="22"/>
        <v>60856000</v>
      </c>
      <c r="AI151" s="119">
        <f t="shared" si="22"/>
        <v>51538000</v>
      </c>
      <c r="AJ151" s="119">
        <f t="shared" si="22"/>
        <v>45770000</v>
      </c>
      <c r="AK151" s="119">
        <f t="shared" si="22"/>
        <v>42122000</v>
      </c>
      <c r="AL151" s="119">
        <f t="shared" si="22"/>
        <v>40929000</v>
      </c>
    </row>
    <row r="152" spans="1:38" outlineLevel="1">
      <c r="B152" s="30"/>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row>
    <row r="153" spans="1:38">
      <c r="B153" s="21" t="s">
        <v>320</v>
      </c>
      <c r="C153" s="111">
        <f t="shared" ref="C153:AL153" si="23">C5-C29</f>
        <v>-73829724</v>
      </c>
      <c r="D153" s="111">
        <f t="shared" si="23"/>
        <v>-78968132</v>
      </c>
      <c r="E153" s="111">
        <f t="shared" si="23"/>
        <v>-127976890</v>
      </c>
      <c r="F153" s="111">
        <f t="shared" si="23"/>
        <v>-207802139</v>
      </c>
      <c r="G153" s="111">
        <f t="shared" si="23"/>
        <v>-185367340</v>
      </c>
      <c r="H153" s="111">
        <f t="shared" si="23"/>
        <v>-212307591</v>
      </c>
      <c r="I153" s="111">
        <f t="shared" si="23"/>
        <v>-221226843</v>
      </c>
      <c r="J153" s="111">
        <f t="shared" si="23"/>
        <v>-149729512</v>
      </c>
      <c r="K153" s="111">
        <f t="shared" si="23"/>
        <v>-155177954</v>
      </c>
      <c r="L153" s="111">
        <f t="shared" si="23"/>
        <v>-152638954</v>
      </c>
      <c r="M153" s="111">
        <f t="shared" si="23"/>
        <v>-221035714</v>
      </c>
      <c r="N153" s="111">
        <f t="shared" si="23"/>
        <v>-269237741</v>
      </c>
      <c r="O153" s="111">
        <f t="shared" si="23"/>
        <v>-290320643</v>
      </c>
      <c r="P153" s="111">
        <f t="shared" si="23"/>
        <v>-255051017</v>
      </c>
      <c r="Q153" s="111">
        <f t="shared" si="23"/>
        <v>-203186218</v>
      </c>
      <c r="R153" s="111">
        <f t="shared" si="23"/>
        <v>-163952000</v>
      </c>
      <c r="S153" s="111">
        <f t="shared" si="23"/>
        <v>-107431000</v>
      </c>
      <c r="T153" s="111">
        <f t="shared" si="23"/>
        <v>-21884000</v>
      </c>
      <c r="U153" s="111">
        <f t="shared" si="23"/>
        <v>69270000</v>
      </c>
      <c r="V153" s="111">
        <f t="shared" si="23"/>
        <v>125610000</v>
      </c>
      <c r="W153" s="111">
        <f t="shared" si="23"/>
        <v>236241000</v>
      </c>
      <c r="X153" s="111">
        <f t="shared" si="23"/>
        <v>128236000</v>
      </c>
      <c r="Y153" s="111">
        <f t="shared" si="23"/>
        <v>-157758000</v>
      </c>
      <c r="Z153" s="111">
        <f t="shared" si="23"/>
        <v>-377585000</v>
      </c>
      <c r="AA153" s="111">
        <f t="shared" si="23"/>
        <v>-412727000</v>
      </c>
      <c r="AB153" s="111">
        <f t="shared" si="23"/>
        <v>-318346000</v>
      </c>
      <c r="AC153" s="111">
        <f t="shared" si="23"/>
        <v>-248181000</v>
      </c>
      <c r="AD153" s="111">
        <f t="shared" si="23"/>
        <v>-160701000</v>
      </c>
      <c r="AE153" s="111">
        <f t="shared" si="23"/>
        <v>-458553000</v>
      </c>
      <c r="AF153" s="111">
        <f t="shared" si="23"/>
        <v>-1412688000</v>
      </c>
      <c r="AG153" s="111">
        <f t="shared" si="23"/>
        <v>-1294373000</v>
      </c>
      <c r="AH153" s="111">
        <f t="shared" si="23"/>
        <v>-1299590000</v>
      </c>
      <c r="AI153" s="111">
        <f t="shared" si="23"/>
        <v>-1086963000</v>
      </c>
      <c r="AJ153" s="111">
        <f t="shared" si="23"/>
        <v>-679544000</v>
      </c>
      <c r="AK153" s="111">
        <f t="shared" si="23"/>
        <v>-484627000</v>
      </c>
      <c r="AL153" s="111">
        <f t="shared" si="23"/>
        <v>-438406000</v>
      </c>
    </row>
    <row r="154" spans="1:38">
      <c r="B154" s="30"/>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row>
    <row r="155" spans="1:38">
      <c r="B155" s="30"/>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row>
    <row r="156" spans="1:38">
      <c r="B156" s="33" t="s">
        <v>135</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row>
    <row r="157" spans="1:38">
      <c r="B157" s="30"/>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row>
    <row r="158" spans="1:38">
      <c r="B158" s="30" t="s">
        <v>136</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row>
    <row r="159" spans="1:38">
      <c r="A159" s="22" t="str">
        <f>B158</f>
        <v>Grants to State and Local Governments and Territories by Key Area:</v>
      </c>
      <c r="B159" s="27" t="s">
        <v>34</v>
      </c>
      <c r="C159" s="113">
        <f>SUMIFS('Federal Data'!M2:M501,'Federal Data'!$F2:$F501,"Child and Social Services",'Federal Data'!$D2:$D501,"Grant")</f>
        <v>13087060</v>
      </c>
      <c r="D159" s="113">
        <f>SUMIFS('Federal Data'!N2:N501,'Federal Data'!$F2:$F501,"Child and Social Services",'Federal Data'!$D2:$D501,"Grant")</f>
        <v>14625185</v>
      </c>
      <c r="E159" s="113">
        <f>SUMIFS('Federal Data'!O2:O501,'Federal Data'!$F2:$F501,"Child and Social Services",'Federal Data'!$D2:$D501,"Grant")</f>
        <v>13598580</v>
      </c>
      <c r="F159" s="113">
        <f>SUMIFS('Federal Data'!P2:P501,'Federal Data'!$F2:$F501,"Child and Social Services",'Federal Data'!$D2:$D501,"Grant")</f>
        <v>14114632</v>
      </c>
      <c r="G159" s="113">
        <f>SUMIFS('Federal Data'!Q2:Q501,'Federal Data'!$F2:$F501,"Child and Social Services",'Federal Data'!$D2:$D501,"Grant")</f>
        <v>15595614</v>
      </c>
      <c r="H159" s="113">
        <f>SUMIFS('Federal Data'!R2:R501,'Federal Data'!$F2:$F501,"Child and Social Services",'Federal Data'!$D2:$D501,"Grant")</f>
        <v>15560181</v>
      </c>
      <c r="I159" s="113">
        <f>SUMIFS('Federal Data'!S2:S501,'Federal Data'!$F2:$F501,"Child and Social Services",'Federal Data'!$D2:$D501,"Grant")</f>
        <v>16718591</v>
      </c>
      <c r="J159" s="113">
        <f>SUMIFS('Federal Data'!T2:T501,'Federal Data'!$F2:$F501,"Child and Social Services",'Federal Data'!$D2:$D501,"Grant")</f>
        <v>17420891</v>
      </c>
      <c r="K159" s="113">
        <f>SUMIFS('Federal Data'!U2:U501,'Federal Data'!$F2:$F501,"Child and Social Services",'Federal Data'!$D2:$D501,"Grant")</f>
        <v>18242320</v>
      </c>
      <c r="L159" s="113">
        <f>SUMIFS('Federal Data'!V2:V501,'Federal Data'!$F2:$F501,"Child and Social Services",'Federal Data'!$D2:$D501,"Grant")</f>
        <v>19938495</v>
      </c>
      <c r="M159" s="113">
        <f>SUMIFS('Federal Data'!W2:W501,'Federal Data'!$F2:$F501,"Child and Social Services",'Federal Data'!$D2:$D501,"Grant")</f>
        <v>21358154</v>
      </c>
      <c r="N159" s="113">
        <f>SUMIFS('Federal Data'!X2:X501,'Federal Data'!$F2:$F501,"Child and Social Services",'Federal Data'!$D2:$D501,"Grant")</f>
        <v>24379447</v>
      </c>
      <c r="O159" s="113">
        <f>SUMIFS('Federal Data'!Y2:Y501,'Federal Data'!$F2:$F501,"Child and Social Services",'Federal Data'!$D2:$D501,"Grant")</f>
        <v>26715740</v>
      </c>
      <c r="P159" s="113">
        <f>SUMIFS('Federal Data'!Z2:Z501,'Federal Data'!$F2:$F501,"Child and Social Services",'Federal Data'!$D2:$D501,"Grant")</f>
        <v>27393067</v>
      </c>
      <c r="Q159" s="113">
        <f>SUMIFS('Federal Data'!AA2:AA501,'Federal Data'!$F2:$F501,"Child and Social Services",'Federal Data'!$D2:$D501,"Grant")</f>
        <v>29872214</v>
      </c>
      <c r="R159" s="113">
        <f>SUMIFS('Federal Data'!AB2:AB501,'Federal Data'!$F2:$F501,"Child and Social Services",'Federal Data'!$D2:$D501,"Grant")</f>
        <v>31289000</v>
      </c>
      <c r="S159" s="113">
        <f>SUMIFS('Federal Data'!AC2:AC501,'Federal Data'!$F2:$F501,"Child and Social Services",'Federal Data'!$D2:$D501,"Grant")</f>
        <v>30695000</v>
      </c>
      <c r="T159" s="113">
        <f>SUMIFS('Federal Data'!AD2:AD501,'Federal Data'!$F2:$F501,"Child and Social Services",'Federal Data'!$D2:$D501,"Grant")</f>
        <v>20329000</v>
      </c>
      <c r="U159" s="113">
        <f>SUMIFS('Federal Data'!AE2:AE501,'Federal Data'!$F2:$F501,"Child and Social Services",'Federal Data'!$D2:$D501,"Grant")</f>
        <v>17611000</v>
      </c>
      <c r="V159" s="113">
        <f>SUMIFS('Federal Data'!AF2:AF501,'Federal Data'!$F2:$F501,"Child and Social Services",'Federal Data'!$D2:$D501,"Grant")</f>
        <v>18831000</v>
      </c>
      <c r="W159" s="113">
        <f>SUMIFS('Federal Data'!AG2:AG501,'Federal Data'!$F2:$F501,"Child and Social Services",'Federal Data'!$D2:$D501,"Grant")</f>
        <v>19996000</v>
      </c>
      <c r="X159" s="113">
        <f>SUMIFS('Federal Data'!AH2:AH501,'Federal Data'!$F2:$F501,"Child and Social Services",'Federal Data'!$D2:$D501,"Grant")</f>
        <v>21907000</v>
      </c>
      <c r="Y159" s="113">
        <f>SUMIFS('Federal Data'!AI2:AI501,'Federal Data'!$F2:$F501,"Child and Social Services",'Federal Data'!$D2:$D501,"Grant")</f>
        <v>23695000</v>
      </c>
      <c r="Z159" s="113">
        <f>SUMIFS('Federal Data'!AJ2:AJ501,'Federal Data'!$F2:$F501,"Child and Social Services",'Federal Data'!$D2:$D501,"Grant")</f>
        <v>24398000</v>
      </c>
      <c r="AA159" s="113">
        <f>SUMIFS('Federal Data'!AK2:AK501,'Federal Data'!$F2:$F501,"Child and Social Services",'Federal Data'!$D2:$D501,"Grant")</f>
        <v>24874000</v>
      </c>
      <c r="AB159" s="113">
        <f>SUMIFS('Federal Data'!AL2:AL501,'Federal Data'!$F2:$F501,"Child and Social Services",'Federal Data'!$D2:$D501,"Grant")</f>
        <v>25524000</v>
      </c>
      <c r="AC159" s="113">
        <f>SUMIFS('Federal Data'!AM2:AM501,'Federal Data'!$F2:$F501,"Child and Social Services",'Federal Data'!$D2:$D501,"Grant")</f>
        <v>25684000</v>
      </c>
      <c r="AD159" s="113">
        <f>SUMIFS('Federal Data'!AN2:AN501,'Federal Data'!$F2:$F501,"Child and Social Services",'Federal Data'!$D2:$D501,"Grant")</f>
        <v>26302000</v>
      </c>
      <c r="AE159" s="113">
        <f>SUMIFS('Federal Data'!AO2:AO501,'Federal Data'!$F2:$F501,"Child and Social Services",'Federal Data'!$D2:$D501,"Grant")</f>
        <v>26652000</v>
      </c>
      <c r="AF159" s="113">
        <f>SUMIFS('Federal Data'!AP2:AP501,'Federal Data'!$F2:$F501,"Child and Social Services",'Federal Data'!$D2:$D501,"Grant")</f>
        <v>27047000</v>
      </c>
      <c r="AG159" s="113">
        <f>SUMIFS('Federal Data'!AQ2:AQ501,'Federal Data'!$F2:$F501,"Child and Social Services",'Federal Data'!$D2:$D501,"Grant")</f>
        <v>29228000</v>
      </c>
      <c r="AH159" s="113">
        <f>SUMIFS('Federal Data'!AR2:AR501,'Federal Data'!$F2:$F501,"Child and Social Services",'Federal Data'!$D2:$D501,"Grant")</f>
        <v>28453000</v>
      </c>
      <c r="AI159" s="113">
        <f>SUMIFS('Federal Data'!AS2:AS501,'Federal Data'!$F2:$F501,"Child and Social Services",'Federal Data'!$D2:$D501,"Grant")</f>
        <v>27387000</v>
      </c>
      <c r="AJ159" s="113">
        <f>SUMIFS('Federal Data'!AT2:AT501,'Federal Data'!$F2:$F501,"Child and Social Services",'Federal Data'!$D2:$D501,"Grant")</f>
        <v>27618000</v>
      </c>
      <c r="AK159" s="113">
        <f>SUMIFS('Federal Data'!AU2:AU501,'Federal Data'!$F2:$F501,"Child and Social Services",'Federal Data'!$D2:$D501,"Grant")</f>
        <v>26968000</v>
      </c>
      <c r="AL159" s="113">
        <f>SUMIFS('Federal Data'!AV2:AV501,'Federal Data'!$F2:$F501,"Child and Social Services",'Federal Data'!$D2:$D501,"Grant")</f>
        <v>28418000</v>
      </c>
    </row>
    <row r="160" spans="1:38">
      <c r="A160" s="22" t="str">
        <f>B158</f>
        <v>Grants to State and Local Governments and Territories by Key Area:</v>
      </c>
      <c r="B160" s="27" t="s">
        <v>64</v>
      </c>
      <c r="C160" s="113">
        <f>SUMIFS('Federal Data'!M2:M501,'Federal Data'!$G2:$G501,"Transportation",'Federal Data'!$D2:$D501,"Grant")</f>
        <v>13021518</v>
      </c>
      <c r="D160" s="113">
        <f>SUMIFS('Federal Data'!N2:N501,'Federal Data'!$G2:$G501,"Transportation",'Federal Data'!$D2:$D501,"Grant")</f>
        <v>13403866</v>
      </c>
      <c r="E160" s="113">
        <f>SUMIFS('Federal Data'!O2:O501,'Federal Data'!$G2:$G501,"Transportation",'Federal Data'!$D2:$D501,"Grant")</f>
        <v>12110064</v>
      </c>
      <c r="F160" s="113">
        <f>SUMIFS('Federal Data'!P2:P501,'Federal Data'!$G2:$G501,"Transportation",'Federal Data'!$D2:$D501,"Grant")</f>
        <v>13199897</v>
      </c>
      <c r="G160" s="113">
        <f>SUMIFS('Federal Data'!Q2:Q501,'Federal Data'!$G2:$G501,"Transportation",'Federal Data'!$D2:$D501,"Grant")</f>
        <v>14987859</v>
      </c>
      <c r="H160" s="113">
        <f>SUMIFS('Federal Data'!R2:R501,'Federal Data'!$G2:$G501,"Transportation",'Federal Data'!$D2:$D501,"Grant")</f>
        <v>17009438</v>
      </c>
      <c r="I160" s="113">
        <f>SUMIFS('Federal Data'!S2:S501,'Federal Data'!$G2:$G501,"Transportation",'Federal Data'!$D2:$D501,"Grant")</f>
        <v>18317521</v>
      </c>
      <c r="J160" s="113">
        <f>SUMIFS('Federal Data'!T2:T501,'Federal Data'!$G2:$G501,"Transportation",'Federal Data'!$D2:$D501,"Grant")</f>
        <v>16872872</v>
      </c>
      <c r="K160" s="113">
        <f>SUMIFS('Federal Data'!U2:U501,'Federal Data'!$G2:$G501,"Transportation",'Federal Data'!$D2:$D501,"Grant")</f>
        <v>18042648</v>
      </c>
      <c r="L160" s="113">
        <f>SUMIFS('Federal Data'!V2:V501,'Federal Data'!$G2:$G501,"Transportation",'Federal Data'!$D2:$D501,"Grant")</f>
        <v>18176317</v>
      </c>
      <c r="M160" s="113">
        <f>SUMIFS('Federal Data'!W2:W501,'Federal Data'!$G2:$G501,"Transportation",'Federal Data'!$D2:$D501,"Grant")</f>
        <v>19173829</v>
      </c>
      <c r="N160" s="113">
        <f>SUMIFS('Federal Data'!X2:X501,'Federal Data'!$G2:$G501,"Transportation",'Federal Data'!$D2:$D501,"Grant")</f>
        <v>19825945</v>
      </c>
      <c r="O160" s="113">
        <f>SUMIFS('Federal Data'!Y2:Y501,'Federal Data'!$G2:$G501,"Transportation",'Federal Data'!$D2:$D501,"Grant")</f>
        <v>20556224</v>
      </c>
      <c r="P160" s="113">
        <f>SUMIFS('Federal Data'!Z2:Z501,'Federal Data'!$G2:$G501,"Transportation",'Federal Data'!$D2:$D501,"Grant")</f>
        <v>22291611</v>
      </c>
      <c r="Q160" s="113">
        <f>SUMIFS('Federal Data'!AA2:AA501,'Federal Data'!$G2:$G501,"Transportation",'Federal Data'!$D2:$D501,"Grant")</f>
        <v>23633409</v>
      </c>
      <c r="R160" s="113">
        <f>SUMIFS('Federal Data'!AB2:AB501,'Federal Data'!$G2:$G501,"Transportation",'Federal Data'!$D2:$D501,"Grant")</f>
        <v>25787000</v>
      </c>
      <c r="S160" s="113">
        <f>SUMIFS('Federal Data'!AC2:AC501,'Federal Data'!$G2:$G501,"Transportation",'Federal Data'!$D2:$D501,"Grant")</f>
        <v>25957000</v>
      </c>
      <c r="T160" s="113">
        <f>SUMIFS('Federal Data'!AD2:AD501,'Federal Data'!$G2:$G501,"Transportation",'Federal Data'!$D2:$D501,"Grant")</f>
        <v>26846000</v>
      </c>
      <c r="U160" s="113">
        <f>SUMIFS('Federal Data'!AE2:AE501,'Federal Data'!$G2:$G501,"Transportation",'Federal Data'!$D2:$D501,"Grant")</f>
        <v>26144000</v>
      </c>
      <c r="V160" s="113">
        <f>SUMIFS('Federal Data'!AF2:AF501,'Federal Data'!$G2:$G501,"Transportation",'Federal Data'!$D2:$D501,"Grant")</f>
        <v>28904000</v>
      </c>
      <c r="W160" s="113">
        <f>SUMIFS('Federal Data'!AG2:AG501,'Federal Data'!$G2:$G501,"Transportation",'Federal Data'!$D2:$D501,"Grant")</f>
        <v>32222000</v>
      </c>
      <c r="X160" s="113">
        <f>SUMIFS('Federal Data'!AH2:AH501,'Federal Data'!$G2:$G501,"Transportation",'Federal Data'!$D2:$D501,"Grant")</f>
        <v>36647000</v>
      </c>
      <c r="Y160" s="113">
        <f>SUMIFS('Federal Data'!AI2:AI501,'Federal Data'!$G2:$G501,"Transportation",'Federal Data'!$D2:$D501,"Grant")</f>
        <v>40997000</v>
      </c>
      <c r="Z160" s="113">
        <f>SUMIFS('Federal Data'!AJ2:AJ501,'Federal Data'!$G2:$G501,"Transportation",'Federal Data'!$D2:$D501,"Grant")</f>
        <v>41026000</v>
      </c>
      <c r="AA160" s="113">
        <f>SUMIFS('Federal Data'!AK2:AK501,'Federal Data'!$G2:$G501,"Transportation",'Federal Data'!$D2:$D501,"Grant")</f>
        <v>41471000</v>
      </c>
      <c r="AB160" s="113">
        <f>SUMIFS('Federal Data'!AL2:AL501,'Federal Data'!$G2:$G501,"Transportation",'Federal Data'!$D2:$D501,"Grant")</f>
        <v>43370000</v>
      </c>
      <c r="AC160" s="113">
        <f>SUMIFS('Federal Data'!AM2:AM501,'Federal Data'!$G2:$G501,"Transportation",'Federal Data'!$D2:$D501,"Grant")</f>
        <v>46683000</v>
      </c>
      <c r="AD160" s="113">
        <f>SUMIFS('Federal Data'!AN2:AN501,'Federal Data'!$G2:$G501,"Transportation",'Federal Data'!$D2:$D501,"Grant")</f>
        <v>47945000</v>
      </c>
      <c r="AE160" s="113">
        <f>SUMIFS('Federal Data'!AO2:AO501,'Federal Data'!$G2:$G501,"Transportation",'Federal Data'!$D2:$D501,"Grant")</f>
        <v>51216000</v>
      </c>
      <c r="AF160" s="113">
        <f>SUMIFS('Federal Data'!AP2:AP501,'Federal Data'!$G2:$G501,"Transportation",'Federal Data'!$D2:$D501,"Grant")</f>
        <v>55438000</v>
      </c>
      <c r="AG160" s="113">
        <f>SUMIFS('Federal Data'!AQ2:AQ501,'Federal Data'!$G2:$G501,"Transportation",'Federal Data'!$D2:$D501,"Grant")</f>
        <v>60981000</v>
      </c>
      <c r="AH160" s="113">
        <f>SUMIFS('Federal Data'!AR2:AR501,'Federal Data'!$G2:$G501,"Transportation",'Federal Data'!$D2:$D501,"Grant")</f>
        <v>60986000</v>
      </c>
      <c r="AI160" s="113">
        <f>SUMIFS('Federal Data'!AS2:AS501,'Federal Data'!$G2:$G501,"Transportation",'Federal Data'!$D2:$D501,"Grant")</f>
        <v>60749000</v>
      </c>
      <c r="AJ160" s="113">
        <f>SUMIFS('Federal Data'!AT2:AT501,'Federal Data'!$G2:$G501,"Transportation",'Federal Data'!$D2:$D501,"Grant")</f>
        <v>60518000</v>
      </c>
      <c r="AK160" s="113">
        <f>SUMIFS('Federal Data'!AU2:AU501,'Federal Data'!$G2:$G501,"Transportation",'Federal Data'!$D2:$D501,"Grant")</f>
        <v>62260000</v>
      </c>
      <c r="AL160" s="113">
        <f>SUMIFS('Federal Data'!AV2:AV501,'Federal Data'!$G2:$G501,"Transportation",'Federal Data'!$D2:$D501,"Grant")</f>
        <v>60831000</v>
      </c>
    </row>
    <row r="161" spans="1:38">
      <c r="A161" s="22" t="str">
        <f>B158</f>
        <v>Grants to State and Local Governments and Territories by Key Area:</v>
      </c>
      <c r="B161" s="27" t="s">
        <v>70</v>
      </c>
      <c r="C161" s="113">
        <f>SUMIFS('Federal Data'!M2:M501,'Federal Data'!$G2:$G501,"Community and Regional Development",'Federal Data'!$D2:$D501,"Grant")</f>
        <v>6105652</v>
      </c>
      <c r="D161" s="113">
        <f>SUMIFS('Federal Data'!N2:N501,'Federal Data'!$G2:$G501,"Community and Regional Development",'Federal Data'!$D2:$D501,"Grant")</f>
        <v>5855635</v>
      </c>
      <c r="E161" s="113">
        <f>SUMIFS('Federal Data'!O2:O501,'Federal Data'!$G2:$G501,"Community and Regional Development",'Federal Data'!$D2:$D501,"Grant")</f>
        <v>5265722</v>
      </c>
      <c r="F161" s="113">
        <f>SUMIFS('Federal Data'!P2:P501,'Federal Data'!$G2:$G501,"Community and Regional Development",'Federal Data'!$D2:$D501,"Grant")</f>
        <v>4775988</v>
      </c>
      <c r="G161" s="113">
        <f>SUMIFS('Federal Data'!Q2:Q501,'Federal Data'!$G2:$G501,"Community and Regional Development",'Federal Data'!$D2:$D501,"Grant")</f>
        <v>4940586</v>
      </c>
      <c r="H161" s="113">
        <f>SUMIFS('Federal Data'!R2:R501,'Federal Data'!$G2:$G501,"Community and Regional Development",'Federal Data'!$D2:$D501,"Grant")</f>
        <v>5041418</v>
      </c>
      <c r="I161" s="113">
        <f>SUMIFS('Federal Data'!S2:S501,'Federal Data'!$G2:$G501,"Community and Regional Development",'Federal Data'!$D2:$D501,"Grant")</f>
        <v>4562493</v>
      </c>
      <c r="J161" s="113">
        <f>SUMIFS('Federal Data'!T2:T501,'Federal Data'!$G2:$G501,"Community and Regional Development",'Federal Data'!$D2:$D501,"Grant")</f>
        <v>4033246</v>
      </c>
      <c r="K161" s="113">
        <f>SUMIFS('Federal Data'!U2:U501,'Federal Data'!$G2:$G501,"Community and Regional Development",'Federal Data'!$D2:$D501,"Grant")</f>
        <v>4093463</v>
      </c>
      <c r="L161" s="113">
        <f>SUMIFS('Federal Data'!V2:V501,'Federal Data'!$G2:$G501,"Community and Regional Development",'Federal Data'!$D2:$D501,"Grant")</f>
        <v>3941357</v>
      </c>
      <c r="M161" s="113">
        <f>SUMIFS('Federal Data'!W2:W501,'Federal Data'!$G2:$G501,"Community and Regional Development",'Federal Data'!$D2:$D501,"Grant")</f>
        <v>3780221</v>
      </c>
      <c r="N161" s="113">
        <f>SUMIFS('Federal Data'!X2:X501,'Federal Data'!$G2:$G501,"Community and Regional Development",'Federal Data'!$D2:$D501,"Grant")</f>
        <v>3777043</v>
      </c>
      <c r="O161" s="113">
        <f>SUMIFS('Federal Data'!Y2:Y501,'Federal Data'!$G2:$G501,"Community and Regional Development",'Federal Data'!$D2:$D501,"Grant")</f>
        <v>3910250</v>
      </c>
      <c r="P161" s="113">
        <f>SUMIFS('Federal Data'!Z2:Z501,'Federal Data'!$G2:$G501,"Community and Regional Development",'Federal Data'!$D2:$D501,"Grant")</f>
        <v>3828125</v>
      </c>
      <c r="Q161" s="113">
        <f>SUMIFS('Federal Data'!AA2:AA501,'Federal Data'!$G2:$G501,"Community and Regional Development",'Federal Data'!$D2:$D501,"Grant")</f>
        <v>4590796</v>
      </c>
      <c r="R161" s="113">
        <f>SUMIFS('Federal Data'!AB2:AB501,'Federal Data'!$G2:$G501,"Community and Regional Development",'Federal Data'!$D2:$D501,"Grant")</f>
        <v>5458000</v>
      </c>
      <c r="S161" s="113">
        <f>SUMIFS('Federal Data'!AC2:AC501,'Federal Data'!$G2:$G501,"Community and Regional Development",'Federal Data'!$D2:$D501,"Grant")</f>
        <v>5953000</v>
      </c>
      <c r="T161" s="113">
        <f>SUMIFS('Federal Data'!AD2:AD501,'Federal Data'!$G2:$G501,"Community and Regional Development",'Federal Data'!$D2:$D501,"Grant")</f>
        <v>6012000</v>
      </c>
      <c r="U161" s="113">
        <f>SUMIFS('Federal Data'!AE2:AE501,'Federal Data'!$G2:$G501,"Community and Regional Development",'Federal Data'!$D2:$D501,"Grant")</f>
        <v>5904000</v>
      </c>
      <c r="V161" s="113">
        <f>SUMIFS('Federal Data'!AF2:AF501,'Federal Data'!$G2:$G501,"Community and Regional Development",'Federal Data'!$D2:$D501,"Grant")</f>
        <v>6067000</v>
      </c>
      <c r="W161" s="113">
        <f>SUMIFS('Federal Data'!AG2:AG501,'Federal Data'!$G2:$G501,"Community and Regional Development",'Federal Data'!$D2:$D501,"Grant")</f>
        <v>6226000</v>
      </c>
      <c r="X161" s="113">
        <f>SUMIFS('Federal Data'!AH2:AH501,'Federal Data'!$G2:$G501,"Community and Regional Development",'Federal Data'!$D2:$D501,"Grant")</f>
        <v>6475000</v>
      </c>
      <c r="Y161" s="113">
        <f>SUMIFS('Federal Data'!AI2:AI501,'Federal Data'!$G2:$G501,"Community and Regional Development",'Federal Data'!$D2:$D501,"Grant")</f>
        <v>7045000</v>
      </c>
      <c r="Z161" s="113">
        <f>SUMIFS('Federal Data'!AJ2:AJ501,'Federal Data'!$G2:$G501,"Community and Regional Development",'Federal Data'!$D2:$D501,"Grant")</f>
        <v>7221000</v>
      </c>
      <c r="AA161" s="113">
        <f>SUMIFS('Federal Data'!AK2:AK501,'Federal Data'!$G2:$G501,"Community and Regional Development",'Federal Data'!$D2:$D501,"Grant")</f>
        <v>7114000</v>
      </c>
      <c r="AB161" s="113">
        <f>SUMIFS('Federal Data'!AL2:AL501,'Federal Data'!$G2:$G501,"Community and Regional Development",'Federal Data'!$D2:$D501,"Grant")</f>
        <v>6626000</v>
      </c>
      <c r="AC161" s="113">
        <f>SUMIFS('Federal Data'!AM2:AM501,'Federal Data'!$G2:$G501,"Community and Regional Development",'Federal Data'!$D2:$D501,"Grant")</f>
        <v>6554000</v>
      </c>
      <c r="AD161" s="113">
        <f>SUMIFS('Federal Data'!AN2:AN501,'Federal Data'!$G2:$G501,"Community and Regional Development",'Federal Data'!$D2:$D501,"Grant")</f>
        <v>12386000</v>
      </c>
      <c r="AE161" s="113">
        <f>SUMIFS('Federal Data'!AO2:AO501,'Federal Data'!$G2:$G501,"Community and Regional Development",'Federal Data'!$D2:$D501,"Grant")</f>
        <v>10591000</v>
      </c>
      <c r="AF161" s="113">
        <f>SUMIFS('Federal Data'!AP2:AP501,'Federal Data'!$G2:$G501,"Community and Regional Development",'Federal Data'!$D2:$D501,"Grant")</f>
        <v>8300000</v>
      </c>
      <c r="AG161" s="113">
        <f>SUMIFS('Federal Data'!AQ2:AQ501,'Federal Data'!$G2:$G501,"Community and Regional Development",'Federal Data'!$D2:$D501,"Grant")</f>
        <v>10425000</v>
      </c>
      <c r="AH161" s="113">
        <f>SUMIFS('Federal Data'!AR2:AR501,'Federal Data'!$G2:$G501,"Community and Regional Development",'Federal Data'!$D2:$D501,"Grant")</f>
        <v>10479000</v>
      </c>
      <c r="AI161" s="113">
        <f>SUMIFS('Federal Data'!AS2:AS501,'Federal Data'!$G2:$G501,"Community and Regional Development",'Federal Data'!$D2:$D501,"Grant")</f>
        <v>10052000</v>
      </c>
      <c r="AJ161" s="113">
        <f>SUMIFS('Federal Data'!AT2:AT501,'Federal Data'!$G2:$G501,"Community and Regional Development",'Federal Data'!$D2:$D501,"Grant")</f>
        <v>8983000</v>
      </c>
      <c r="AK161" s="113">
        <f>SUMIFS('Federal Data'!AU2:AU501,'Federal Data'!$G2:$G501,"Community and Regional Development",'Federal Data'!$D2:$D501,"Grant")</f>
        <v>8473000</v>
      </c>
      <c r="AL161" s="113">
        <f>SUMIFS('Federal Data'!AV2:AV501,'Federal Data'!$G2:$G501,"Community and Regional Development",'Federal Data'!$D2:$D501,"Grant")</f>
        <v>8433000</v>
      </c>
    </row>
    <row r="162" spans="1:38">
      <c r="A162" s="22" t="str">
        <f>B158</f>
        <v>Grants to State and Local Governments and Territories by Key Area:</v>
      </c>
      <c r="B162" s="27" t="s">
        <v>60</v>
      </c>
      <c r="C162" s="113">
        <f>SUMIFS('Federal Data'!M2:M501,'Federal Data'!$G2:$G501,"Cash Programs",'Federal Data'!$D2:$D501,"Grant")</f>
        <v>377539</v>
      </c>
      <c r="D162" s="113">
        <f>SUMIFS('Federal Data'!N2:N501,'Federal Data'!$G2:$G501,"Cash Programs",'Federal Data'!$D2:$D501,"Grant")</f>
        <v>685805</v>
      </c>
      <c r="E162" s="113">
        <f>SUMIFS('Federal Data'!O2:O501,'Federal Data'!$G2:$G501,"Cash Programs",'Federal Data'!$D2:$D501,"Grant")</f>
        <v>897511</v>
      </c>
      <c r="F162" s="113">
        <f>SUMIFS('Federal Data'!P2:P501,'Federal Data'!$G2:$G501,"Cash Programs",'Federal Data'!$D2:$D501,"Grant")</f>
        <v>516822</v>
      </c>
      <c r="G162" s="113">
        <f>SUMIFS('Federal Data'!Q2:Q501,'Federal Data'!$G2:$G501,"Cash Programs",'Federal Data'!$D2:$D501,"Grant")</f>
        <v>592979</v>
      </c>
      <c r="H162" s="113">
        <f>SUMIFS('Federal Data'!R2:R501,'Federal Data'!$G2:$G501,"Cash Programs",'Federal Data'!$D2:$D501,"Grant")</f>
        <v>420057</v>
      </c>
      <c r="I162" s="113">
        <f>SUMIFS('Federal Data'!S2:S501,'Federal Data'!$G2:$G501,"Cash Programs",'Federal Data'!$D2:$D501,"Grant")</f>
        <v>422197</v>
      </c>
      <c r="J162" s="113">
        <f>SUMIFS('Federal Data'!T2:T501,'Federal Data'!$G2:$G501,"Cash Programs",'Federal Data'!$D2:$D501,"Grant")</f>
        <v>373808</v>
      </c>
      <c r="K162" s="113">
        <f>SUMIFS('Federal Data'!U2:U501,'Federal Data'!$G2:$G501,"Cash Programs",'Federal Data'!$D2:$D501,"Grant")</f>
        <v>311787</v>
      </c>
      <c r="L162" s="113">
        <f>SUMIFS('Federal Data'!V2:V501,'Federal Data'!$G2:$G501,"Cash Programs",'Federal Data'!$D2:$D501,"Grant")</f>
        <v>370255</v>
      </c>
      <c r="M162" s="113">
        <f>SUMIFS('Federal Data'!W2:W501,'Federal Data'!$G2:$G501,"Cash Programs",'Federal Data'!$D2:$D501,"Grant")</f>
        <v>391089</v>
      </c>
      <c r="N162" s="113">
        <f>SUMIFS('Federal Data'!X2:X501,'Federal Data'!$G2:$G501,"Cash Programs",'Federal Data'!$D2:$D501,"Grant")</f>
        <v>228336</v>
      </c>
      <c r="O162" s="113">
        <f>SUMIFS('Federal Data'!Y2:Y501,'Federal Data'!$G2:$G501,"Cash Programs",'Federal Data'!$D2:$D501,"Grant")</f>
        <v>304098</v>
      </c>
      <c r="P162" s="113">
        <f>SUMIFS('Federal Data'!Z2:Z501,'Federal Data'!$G2:$G501,"Cash Programs",'Federal Data'!$D2:$D501,"Grant")</f>
        <v>326585</v>
      </c>
      <c r="Q162" s="113">
        <f>SUMIFS('Federal Data'!AA2:AA501,'Federal Data'!$G2:$G501,"Cash Programs",'Federal Data'!$D2:$D501,"Grant")</f>
        <v>332552</v>
      </c>
      <c r="R162" s="113">
        <f>SUMIFS('Federal Data'!AB2:AB501,'Federal Data'!$G2:$G501,"Cash Programs",'Federal Data'!$D2:$D501,"Grant")</f>
        <v>346000</v>
      </c>
      <c r="S162" s="113">
        <f>SUMIFS('Federal Data'!AC2:AC501,'Federal Data'!$G2:$G501,"Cash Programs",'Federal Data'!$D2:$D501,"Grant")</f>
        <v>319000</v>
      </c>
      <c r="T162" s="113">
        <f>SUMIFS('Federal Data'!AD2:AD501,'Federal Data'!$G2:$G501,"Cash Programs",'Federal Data'!$D2:$D501,"Grant")</f>
        <v>10003000</v>
      </c>
      <c r="U162" s="113">
        <f>SUMIFS('Federal Data'!AE2:AE501,'Federal Data'!$G2:$G501,"Cash Programs",'Federal Data'!$D2:$D501,"Grant")</f>
        <v>13580000</v>
      </c>
      <c r="V162" s="113">
        <f>SUMIFS('Federal Data'!AF2:AF501,'Federal Data'!$G2:$G501,"Cash Programs",'Federal Data'!$D2:$D501,"Grant")</f>
        <v>14397000</v>
      </c>
      <c r="W162" s="113">
        <f>SUMIFS('Federal Data'!AG2:AG501,'Federal Data'!$G2:$G501,"Cash Programs",'Federal Data'!$D2:$D501,"Grant")</f>
        <v>15744000</v>
      </c>
      <c r="X162" s="113">
        <f>SUMIFS('Federal Data'!AH2:AH501,'Federal Data'!$G2:$G501,"Cash Programs",'Federal Data'!$D2:$D501,"Grant")</f>
        <v>18928000</v>
      </c>
      <c r="Y162" s="113">
        <f>SUMIFS('Federal Data'!AI2:AI501,'Federal Data'!$G2:$G501,"Cash Programs",'Federal Data'!$D2:$D501,"Grant")</f>
        <v>19111000</v>
      </c>
      <c r="Z162" s="113">
        <f>SUMIFS('Federal Data'!AJ2:AJ501,'Federal Data'!$G2:$G501,"Cash Programs",'Federal Data'!$D2:$D501,"Grant")</f>
        <v>19704000</v>
      </c>
      <c r="AA162" s="113">
        <f>SUMIFS('Federal Data'!AK2:AK501,'Federal Data'!$G2:$G501,"Cash Programs",'Federal Data'!$D2:$D501,"Grant")</f>
        <v>18153000</v>
      </c>
      <c r="AB162" s="113">
        <f>SUMIFS('Federal Data'!AL2:AL501,'Federal Data'!$G2:$G501,"Cash Programs",'Federal Data'!$D2:$D501,"Grant")</f>
        <v>17819000</v>
      </c>
      <c r="AC162" s="113">
        <f>SUMIFS('Federal Data'!AM2:AM501,'Federal Data'!$G2:$G501,"Cash Programs",'Federal Data'!$D2:$D501,"Grant")</f>
        <v>17399000</v>
      </c>
      <c r="AD162" s="113">
        <f>SUMIFS('Federal Data'!AN2:AN501,'Federal Data'!$G2:$G501,"Cash Programs",'Federal Data'!$D2:$D501,"Grant")</f>
        <v>17321000</v>
      </c>
      <c r="AE162" s="113">
        <f>SUMIFS('Federal Data'!AO2:AO501,'Federal Data'!$G2:$G501,"Cash Programs",'Federal Data'!$D2:$D501,"Grant")</f>
        <v>19764000</v>
      </c>
      <c r="AF162" s="113">
        <f>SUMIFS('Federal Data'!AP2:AP501,'Federal Data'!$G2:$G501,"Cash Programs",'Federal Data'!$D2:$D501,"Grant")</f>
        <v>19477000</v>
      </c>
      <c r="AG162" s="113">
        <f>SUMIFS('Federal Data'!AQ2:AQ501,'Federal Data'!$G2:$G501,"Cash Programs",'Federal Data'!$D2:$D501,"Grant")</f>
        <v>20989000</v>
      </c>
      <c r="AH162" s="113">
        <f>SUMIFS('Federal Data'!AR2:AR501,'Federal Data'!$G2:$G501,"Cash Programs",'Federal Data'!$D2:$D501,"Grant")</f>
        <v>19704000</v>
      </c>
      <c r="AI162" s="113">
        <f>SUMIFS('Federal Data'!AS2:AS501,'Federal Data'!$G2:$G501,"Cash Programs",'Federal Data'!$D2:$D501,"Grant")</f>
        <v>17447000</v>
      </c>
      <c r="AJ162" s="113">
        <f>SUMIFS('Federal Data'!AT2:AT501,'Federal Data'!$G2:$G501,"Cash Programs",'Federal Data'!$D2:$D501,"Grant")</f>
        <v>18094000</v>
      </c>
      <c r="AK162" s="113">
        <f>SUMIFS('Federal Data'!AU2:AU501,'Federal Data'!$G2:$G501,"Cash Programs",'Federal Data'!$D2:$D501,"Grant")</f>
        <v>17559000</v>
      </c>
      <c r="AL162" s="113">
        <f>SUMIFS('Federal Data'!AV2:AV501,'Federal Data'!$G2:$G501,"Cash Programs",'Federal Data'!$D2:$D501,"Grant")</f>
        <v>17482000</v>
      </c>
    </row>
    <row r="163" spans="1:38">
      <c r="A163" s="22" t="str">
        <f>B162</f>
        <v>Cash Programs for Aid to the Disadvantaged</v>
      </c>
      <c r="B163" s="28" t="s">
        <v>104</v>
      </c>
      <c r="C163" s="113">
        <f>SUMIFS('Federal Data'!M2:M501,'Federal Data'!$H2:$H501,"TANF",'Federal Data'!$D2:$D501,"Grant")</f>
        <v>0</v>
      </c>
      <c r="D163" s="113">
        <f>SUMIFS('Federal Data'!N2:N501,'Federal Data'!$H2:$H501,"TANF",'Federal Data'!$D2:$D501,"Grant")</f>
        <v>0</v>
      </c>
      <c r="E163" s="113">
        <f>SUMIFS('Federal Data'!O2:O501,'Federal Data'!$H2:$H501,"TANF",'Federal Data'!$D2:$D501,"Grant")</f>
        <v>0</v>
      </c>
      <c r="F163" s="113">
        <f>SUMIFS('Federal Data'!P2:P501,'Federal Data'!$H2:$H501,"TANF",'Federal Data'!$D2:$D501,"Grant")</f>
        <v>0</v>
      </c>
      <c r="G163" s="113">
        <f>SUMIFS('Federal Data'!Q2:Q501,'Federal Data'!$H2:$H501,"TANF",'Federal Data'!$D2:$D501,"Grant")</f>
        <v>0</v>
      </c>
      <c r="H163" s="113">
        <f>SUMIFS('Federal Data'!R2:R501,'Federal Data'!$H2:$H501,"TANF",'Federal Data'!$D2:$D501,"Grant")</f>
        <v>0</v>
      </c>
      <c r="I163" s="113">
        <f>SUMIFS('Federal Data'!S2:S501,'Federal Data'!$H2:$H501,"TANF",'Federal Data'!$D2:$D501,"Grant")</f>
        <v>0</v>
      </c>
      <c r="J163" s="113">
        <f>SUMIFS('Federal Data'!T2:T501,'Federal Data'!$H2:$H501,"TANF",'Federal Data'!$D2:$D501,"Grant")</f>
        <v>0</v>
      </c>
      <c r="K163" s="113">
        <f>SUMIFS('Federal Data'!U2:U501,'Federal Data'!$H2:$H501,"TANF",'Federal Data'!$D2:$D501,"Grant")</f>
        <v>0</v>
      </c>
      <c r="L163" s="113">
        <f>SUMIFS('Federal Data'!V2:V501,'Federal Data'!$H2:$H501,"TANF",'Federal Data'!$D2:$D501,"Grant")</f>
        <v>0</v>
      </c>
      <c r="M163" s="113">
        <f>SUMIFS('Federal Data'!W2:W501,'Federal Data'!$H2:$H501,"TANF",'Federal Data'!$D2:$D501,"Grant")</f>
        <v>0</v>
      </c>
      <c r="N163" s="113">
        <f>SUMIFS('Federal Data'!X2:X501,'Federal Data'!$H2:$H501,"TANF",'Federal Data'!$D2:$D501,"Grant")</f>
        <v>0</v>
      </c>
      <c r="O163" s="113">
        <f>SUMIFS('Federal Data'!Y2:Y501,'Federal Data'!$H2:$H501,"TANF",'Federal Data'!$D2:$D501,"Grant")</f>
        <v>0</v>
      </c>
      <c r="P163" s="113">
        <f>SUMIFS('Federal Data'!Z2:Z501,'Federal Data'!$H2:$H501,"TANF",'Federal Data'!$D2:$D501,"Grant")</f>
        <v>0</v>
      </c>
      <c r="Q163" s="113">
        <f>SUMIFS('Federal Data'!AA2:AA501,'Federal Data'!$H2:$H501,"TANF",'Federal Data'!$D2:$D501,"Grant")</f>
        <v>0</v>
      </c>
      <c r="R163" s="113">
        <f>SUMIFS('Federal Data'!AB2:AB501,'Federal Data'!$H2:$H501,"TANF",'Federal Data'!$D2:$D501,"Grant")</f>
        <v>0</v>
      </c>
      <c r="S163" s="113">
        <f>SUMIFS('Federal Data'!AC2:AC501,'Federal Data'!$H2:$H501,"TANF",'Federal Data'!$D2:$D501,"Grant")</f>
        <v>0</v>
      </c>
      <c r="T163" s="113">
        <f>SUMIFS('Federal Data'!AD2:AD501,'Federal Data'!$H2:$H501,"TANF",'Federal Data'!$D2:$D501,"Grant")</f>
        <v>9726000</v>
      </c>
      <c r="U163" s="113">
        <f>SUMIFS('Federal Data'!AE2:AE501,'Federal Data'!$H2:$H501,"TANF",'Federal Data'!$D2:$D501,"Grant")</f>
        <v>13286000</v>
      </c>
      <c r="V163" s="113">
        <f>SUMIFS('Federal Data'!AF2:AF501,'Federal Data'!$H2:$H501,"TANF",'Federal Data'!$D2:$D501,"Grant")</f>
        <v>14161000</v>
      </c>
      <c r="W163" s="113">
        <f>SUMIFS('Federal Data'!AG2:AG501,'Federal Data'!$H2:$H501,"TANF",'Federal Data'!$D2:$D501,"Grant")</f>
        <v>15464000</v>
      </c>
      <c r="X163" s="113">
        <f>SUMIFS('Federal Data'!AH2:AH501,'Federal Data'!$H2:$H501,"TANF",'Federal Data'!$D2:$D501,"Grant")</f>
        <v>18583000</v>
      </c>
      <c r="Y163" s="113">
        <f>SUMIFS('Federal Data'!AI2:AI501,'Federal Data'!$H2:$H501,"TANF",'Federal Data'!$D2:$D501,"Grant")</f>
        <v>18749000</v>
      </c>
      <c r="Z163" s="113">
        <f>SUMIFS('Federal Data'!AJ2:AJ501,'Federal Data'!$H2:$H501,"TANF",'Federal Data'!$D2:$D501,"Grant")</f>
        <v>19352000</v>
      </c>
      <c r="AA163" s="113">
        <f>SUMIFS('Federal Data'!AK2:AK501,'Federal Data'!$H2:$H501,"TANF",'Federal Data'!$D2:$D501,"Grant")</f>
        <v>17725000</v>
      </c>
      <c r="AB163" s="113">
        <f>SUMIFS('Federal Data'!AL2:AL501,'Federal Data'!$H2:$H501,"TANF",'Federal Data'!$D2:$D501,"Grant")</f>
        <v>17400000</v>
      </c>
      <c r="AC163" s="113">
        <f>SUMIFS('Federal Data'!AM2:AM501,'Federal Data'!$H2:$H501,"TANF",'Federal Data'!$D2:$D501,"Grant")</f>
        <v>16974000</v>
      </c>
      <c r="AD163" s="113">
        <f>SUMIFS('Federal Data'!AN2:AN501,'Federal Data'!$H2:$H501,"TANF",'Federal Data'!$D2:$D501,"Grant")</f>
        <v>16932000</v>
      </c>
      <c r="AE163" s="113">
        <f>SUMIFS('Federal Data'!AO2:AO501,'Federal Data'!$H2:$H501,"TANF",'Federal Data'!$D2:$D501,"Grant")</f>
        <v>17880000</v>
      </c>
      <c r="AF163" s="113">
        <f>SUMIFS('Federal Data'!AP2:AP501,'Federal Data'!$H2:$H501,"TANF",'Federal Data'!$D2:$D501,"Grant")</f>
        <v>18933000</v>
      </c>
      <c r="AG163" s="113">
        <f>SUMIFS('Federal Data'!AQ2:AQ501,'Federal Data'!$H2:$H501,"TANF",'Federal Data'!$D2:$D501,"Grant")</f>
        <v>20418000</v>
      </c>
      <c r="AH163" s="113">
        <f>SUMIFS('Federal Data'!AR2:AR501,'Federal Data'!$H2:$H501,"TANF",'Federal Data'!$D2:$D501,"Grant")</f>
        <v>19072000</v>
      </c>
      <c r="AI163" s="113">
        <f>SUMIFS('Federal Data'!AS2:AS501,'Federal Data'!$H2:$H501,"TANF",'Federal Data'!$D2:$D501,"Grant")</f>
        <v>16814000</v>
      </c>
      <c r="AJ163" s="113">
        <f>SUMIFS('Federal Data'!AT2:AT501,'Federal Data'!$H2:$H501,"TANF",'Federal Data'!$D2:$D501,"Grant")</f>
        <v>17806000</v>
      </c>
      <c r="AK163" s="113">
        <f>SUMIFS('Federal Data'!AU2:AU501,'Federal Data'!$H2:$H501,"TANF",'Federal Data'!$D2:$D501,"Grant")</f>
        <v>16887000</v>
      </c>
      <c r="AL163" s="113">
        <f>SUMIFS('Federal Data'!AV2:AV501,'Federal Data'!$H2:$H501,"TANF",'Federal Data'!$D2:$D501,"Grant")</f>
        <v>16670000</v>
      </c>
    </row>
    <row r="164" spans="1:38">
      <c r="A164" s="22" t="str">
        <f>B158</f>
        <v>Grants to State and Local Governments and Territories by Key Area:</v>
      </c>
      <c r="B164" s="27" t="s">
        <v>61</v>
      </c>
      <c r="C164" s="113">
        <f>SUMIFS('Federal Data'!M2:M501,'Federal Data'!$G2:$G501,"Non-Cash Programs",'Federal Data'!$D2:$D501,"Grant")</f>
        <v>23741906</v>
      </c>
      <c r="D164" s="113">
        <f>SUMIFS('Federal Data'!N2:N501,'Federal Data'!$G2:$G501,"Non-Cash Programs",'Federal Data'!$D2:$D501,"Grant")</f>
        <v>27789013</v>
      </c>
      <c r="E164" s="113">
        <f>SUMIFS('Federal Data'!O2:O501,'Federal Data'!$G2:$G501,"Non-Cash Programs",'Federal Data'!$D2:$D501,"Grant")</f>
        <v>29110479</v>
      </c>
      <c r="F164" s="113">
        <f>SUMIFS('Federal Data'!P2:P501,'Federal Data'!$G2:$G501,"Non-Cash Programs",'Federal Data'!$D2:$D501,"Grant")</f>
        <v>33224996</v>
      </c>
      <c r="G164" s="113">
        <f>SUMIFS('Federal Data'!Q2:Q501,'Federal Data'!$G2:$G501,"Non-Cash Programs",'Federal Data'!$D2:$D501,"Grant")</f>
        <v>34912481</v>
      </c>
      <c r="H164" s="113">
        <f>SUMIFS('Federal Data'!R2:R501,'Federal Data'!$G2:$G501,"Non-Cash Programs",'Federal Data'!$D2:$D501,"Grant")</f>
        <v>38767907</v>
      </c>
      <c r="I164" s="113">
        <f>SUMIFS('Federal Data'!S2:S501,'Federal Data'!$G2:$G501,"Non-Cash Programs",'Federal Data'!$D2:$D501,"Grant")</f>
        <v>42328497</v>
      </c>
      <c r="J164" s="113">
        <f>SUMIFS('Federal Data'!T2:T501,'Federal Data'!$G2:$G501,"Non-Cash Programs",'Federal Data'!$D2:$D501,"Grant")</f>
        <v>45046443</v>
      </c>
      <c r="K164" s="113">
        <f>SUMIFS('Federal Data'!U2:U501,'Federal Data'!$G2:$G501,"Non-Cash Programs",'Federal Data'!$D2:$D501,"Grant")</f>
        <v>49512977</v>
      </c>
      <c r="L164" s="113">
        <f>SUMIFS('Federal Data'!V2:V501,'Federal Data'!$G2:$G501,"Non-Cash Programs",'Federal Data'!$D2:$D501,"Grant")</f>
        <v>54105608</v>
      </c>
      <c r="M164" s="113">
        <f>SUMIFS('Federal Data'!W2:W501,'Federal Data'!$G2:$G501,"Non-Cash Programs",'Federal Data'!$D2:$D501,"Grant")</f>
        <v>62153907</v>
      </c>
      <c r="N164" s="113">
        <f>SUMIFS('Federal Data'!X2:X501,'Federal Data'!$G2:$G501,"Non-Cash Programs",'Federal Data'!$D2:$D501,"Grant")</f>
        <v>75922702</v>
      </c>
      <c r="O164" s="113">
        <f>SUMIFS('Federal Data'!Y2:Y501,'Federal Data'!$G2:$G501,"Non-Cash Programs",'Federal Data'!$D2:$D501,"Grant")</f>
        <v>93655799</v>
      </c>
      <c r="P164" s="113">
        <f>SUMIFS('Federal Data'!Z2:Z501,'Federal Data'!$G2:$G501,"Non-Cash Programs",'Federal Data'!$D2:$D501,"Grant")</f>
        <v>104527955</v>
      </c>
      <c r="Q164" s="113">
        <f>SUMIFS('Federal Data'!AA2:AA501,'Federal Data'!$G2:$G501,"Non-Cash Programs",'Federal Data'!$D2:$D501,"Grant")</f>
        <v>114652431</v>
      </c>
      <c r="R164" s="113">
        <f>SUMIFS('Federal Data'!AB2:AB501,'Federal Data'!$G2:$G501,"Non-Cash Programs",'Federal Data'!$D2:$D501,"Grant")</f>
        <v>124479000</v>
      </c>
      <c r="S164" s="113">
        <f>SUMIFS('Federal Data'!AC2:AC501,'Federal Data'!$G2:$G501,"Non-Cash Programs",'Federal Data'!$D2:$D501,"Grant")</f>
        <v>126157000</v>
      </c>
      <c r="T164" s="113">
        <f>SUMIFS('Federal Data'!AD2:AD501,'Federal Data'!$G2:$G501,"Non-Cash Programs",'Federal Data'!$D2:$D501,"Grant")</f>
        <v>132919000</v>
      </c>
      <c r="U164" s="113">
        <f>SUMIFS('Federal Data'!AE2:AE501,'Federal Data'!$G2:$G501,"Non-Cash Programs",'Federal Data'!$D2:$D501,"Grant")</f>
        <v>142081000</v>
      </c>
      <c r="V164" s="113">
        <f>SUMIFS('Federal Data'!AF2:AF501,'Federal Data'!$G2:$G501,"Non-Cash Programs",'Federal Data'!$D2:$D501,"Grant")</f>
        <v>153159000</v>
      </c>
      <c r="W164" s="113">
        <f>SUMIFS('Federal Data'!AG2:AG501,'Federal Data'!$G2:$G501,"Non-Cash Programs",'Federal Data'!$D2:$D501,"Grant")</f>
        <v>161356000</v>
      </c>
      <c r="X164" s="113">
        <f>SUMIFS('Federal Data'!AH2:AH501,'Federal Data'!$G2:$G501,"Non-Cash Programs",'Federal Data'!$D2:$D501,"Grant")</f>
        <v>178534000</v>
      </c>
      <c r="Y164" s="113">
        <f>SUMIFS('Federal Data'!AI2:AI501,'Federal Data'!$G2:$G501,"Non-Cash Programs",'Federal Data'!$D2:$D501,"Grant")</f>
        <v>201114000</v>
      </c>
      <c r="Z164" s="113">
        <f>SUMIFS('Federal Data'!AJ2:AJ501,'Federal Data'!$G2:$G501,"Non-Cash Programs",'Federal Data'!$D2:$D501,"Grant")</f>
        <v>219476000</v>
      </c>
      <c r="AA164" s="113">
        <f>SUMIFS('Federal Data'!AK2:AK501,'Federal Data'!$G2:$G501,"Non-Cash Programs",'Federal Data'!$D2:$D501,"Grant")</f>
        <v>235976000</v>
      </c>
      <c r="AB164" s="113">
        <f>SUMIFS('Federal Data'!AL2:AL501,'Federal Data'!$G2:$G501,"Non-Cash Programs",'Federal Data'!$D2:$D501,"Grant")</f>
        <v>246452000</v>
      </c>
      <c r="AC164" s="113">
        <f>SUMIFS('Federal Data'!AM2:AM501,'Federal Data'!$G2:$G501,"Non-Cash Programs",'Federal Data'!$D2:$D501,"Grant")</f>
        <v>246808000</v>
      </c>
      <c r="AD164" s="113">
        <f>SUMIFS('Federal Data'!AN2:AN501,'Federal Data'!$G2:$G501,"Non-Cash Programs",'Federal Data'!$D2:$D501,"Grant")</f>
        <v>258279000</v>
      </c>
      <c r="AE164" s="113">
        <f>SUMIFS('Federal Data'!AO2:AO501,'Federal Data'!$G2:$G501,"Non-Cash Programs",'Federal Data'!$D2:$D501,"Grant")</f>
        <v>271575000</v>
      </c>
      <c r="AF164" s="113">
        <f>SUMIFS('Federal Data'!AP2:AP501,'Federal Data'!$G2:$G501,"Non-Cash Programs",'Federal Data'!$D2:$D501,"Grant")</f>
        <v>327595000</v>
      </c>
      <c r="AG164" s="113">
        <f>SUMIFS('Federal Data'!AQ2:AQ501,'Federal Data'!$G2:$G501,"Non-Cash Programs",'Federal Data'!$D2:$D501,"Grant")</f>
        <v>359201000</v>
      </c>
      <c r="AH164" s="113">
        <f>SUMIFS('Federal Data'!AR2:AR501,'Federal Data'!$G2:$G501,"Non-Cash Programs",'Federal Data'!$D2:$D501,"Grant")</f>
        <v>361724000</v>
      </c>
      <c r="AI164" s="113">
        <f>SUMIFS('Federal Data'!AS2:AS501,'Federal Data'!$G2:$G501,"Non-Cash Programs",'Federal Data'!$D2:$D501,"Grant")</f>
        <v>331889000</v>
      </c>
      <c r="AJ164" s="113">
        <f>SUMIFS('Federal Data'!AT2:AT501,'Federal Data'!$G2:$G501,"Non-Cash Programs",'Federal Data'!$D2:$D501,"Grant")</f>
        <v>344922000</v>
      </c>
      <c r="AK164" s="113">
        <f>SUMIFS('Federal Data'!AU2:AU501,'Federal Data'!$G2:$G501,"Non-Cash Programs",'Federal Data'!$D2:$D501,"Grant")</f>
        <v>380659000</v>
      </c>
      <c r="AL164" s="113">
        <f>SUMIFS('Federal Data'!AV2:AV501,'Federal Data'!$G2:$G501,"Non-Cash Programs",'Federal Data'!$D2:$D501,"Grant")</f>
        <v>430229000</v>
      </c>
    </row>
    <row r="165" spans="1:38">
      <c r="A165" s="22" t="str">
        <f>B164</f>
        <v>Non-Cash Programs for Aid to the Disadvantaged</v>
      </c>
      <c r="B165" s="28" t="s">
        <v>110</v>
      </c>
      <c r="C165" s="113">
        <f>SUMIFS('Federal Data'!M2:M501,'Federal Data'!$H2:$H501,"Child Care Assistance",'Federal Data'!$D2:$D501,"Grant")</f>
        <v>0</v>
      </c>
      <c r="D165" s="113">
        <f>SUMIFS('Federal Data'!N2:N501,'Federal Data'!$H2:$H501,"Child Care Assistance",'Federal Data'!$D2:$D501,"Grant")</f>
        <v>0</v>
      </c>
      <c r="E165" s="113">
        <f>SUMIFS('Federal Data'!O2:O501,'Federal Data'!$H2:$H501,"Child Care Assistance",'Federal Data'!$D2:$D501,"Grant")</f>
        <v>0</v>
      </c>
      <c r="F165" s="113">
        <f>SUMIFS('Federal Data'!P2:P501,'Federal Data'!$H2:$H501,"Child Care Assistance",'Federal Data'!$D2:$D501,"Grant")</f>
        <v>0</v>
      </c>
      <c r="G165" s="113">
        <f>SUMIFS('Federal Data'!Q2:Q501,'Federal Data'!$H2:$H501,"Child Care Assistance",'Federal Data'!$D2:$D501,"Grant")</f>
        <v>0</v>
      </c>
      <c r="H165" s="113">
        <f>SUMIFS('Federal Data'!R2:R501,'Federal Data'!$H2:$H501,"Child Care Assistance",'Federal Data'!$D2:$D501,"Grant")</f>
        <v>0</v>
      </c>
      <c r="I165" s="113">
        <f>SUMIFS('Federal Data'!S2:S501,'Federal Data'!$H2:$H501,"Child Care Assistance",'Federal Data'!$D2:$D501,"Grant")</f>
        <v>0</v>
      </c>
      <c r="J165" s="113">
        <f>SUMIFS('Federal Data'!T2:T501,'Federal Data'!$H2:$H501,"Child Care Assistance",'Federal Data'!$D2:$D501,"Grant")</f>
        <v>0</v>
      </c>
      <c r="K165" s="113">
        <f>SUMIFS('Federal Data'!U2:U501,'Federal Data'!$H2:$H501,"Child Care Assistance",'Federal Data'!$D2:$D501,"Grant")</f>
        <v>0</v>
      </c>
      <c r="L165" s="113">
        <f>SUMIFS('Federal Data'!V2:V501,'Federal Data'!$H2:$H501,"Child Care Assistance",'Federal Data'!$D2:$D501,"Grant")</f>
        <v>0</v>
      </c>
      <c r="M165" s="113">
        <f>SUMIFS('Federal Data'!W2:W501,'Federal Data'!$H2:$H501,"Child Care Assistance",'Federal Data'!$D2:$D501,"Grant")</f>
        <v>0</v>
      </c>
      <c r="N165" s="113">
        <f>SUMIFS('Federal Data'!X2:X501,'Federal Data'!$H2:$H501,"Child Care Assistance",'Federal Data'!$D2:$D501,"Grant")</f>
        <v>0</v>
      </c>
      <c r="O165" s="113">
        <f>SUMIFS('Federal Data'!Y2:Y501,'Federal Data'!$H2:$H501,"Child Care Assistance",'Federal Data'!$D2:$D501,"Grant")</f>
        <v>0</v>
      </c>
      <c r="P165" s="113">
        <f>SUMIFS('Federal Data'!Z2:Z501,'Federal Data'!$H2:$H501,"Child Care Assistance",'Federal Data'!$D2:$D501,"Grant")</f>
        <v>410841</v>
      </c>
      <c r="Q165" s="113">
        <f>SUMIFS('Federal Data'!AA2:AA501,'Federal Data'!$H2:$H501,"Child Care Assistance",'Federal Data'!$D2:$D501,"Grant")</f>
        <v>786421</v>
      </c>
      <c r="R165" s="113">
        <f>SUMIFS('Federal Data'!AB2:AB501,'Federal Data'!$H2:$H501,"Child Care Assistance",'Federal Data'!$D2:$D501,"Grant")</f>
        <v>933000</v>
      </c>
      <c r="S165" s="113">
        <f>SUMIFS('Federal Data'!AC2:AC501,'Federal Data'!$H2:$H501,"Child Care Assistance",'Federal Data'!$D2:$D501,"Grant")</f>
        <v>933000</v>
      </c>
      <c r="T165" s="113">
        <f>SUMIFS('Federal Data'!AD2:AD501,'Federal Data'!$H2:$H501,"Child Care Assistance",'Federal Data'!$D2:$D501,"Grant")</f>
        <v>2307000</v>
      </c>
      <c r="U165" s="113">
        <f>SUMIFS('Federal Data'!AE2:AE501,'Federal Data'!$H2:$H501,"Child Care Assistance",'Federal Data'!$D2:$D501,"Grant")</f>
        <v>3120000</v>
      </c>
      <c r="V165" s="113">
        <f>SUMIFS('Federal Data'!AF2:AF501,'Federal Data'!$H2:$H501,"Child Care Assistance",'Federal Data'!$D2:$D501,"Grant")</f>
        <v>3283000</v>
      </c>
      <c r="W165" s="113">
        <f>SUMIFS('Federal Data'!AG2:AG501,'Federal Data'!$H2:$H501,"Child Care Assistance",'Federal Data'!$D2:$D501,"Grant")</f>
        <v>3302000</v>
      </c>
      <c r="X165" s="113">
        <f>SUMIFS('Federal Data'!AH2:AH501,'Federal Data'!$H2:$H501,"Child Care Assistance",'Federal Data'!$D2:$D501,"Grant")</f>
        <v>3705000</v>
      </c>
      <c r="Y165" s="113">
        <f>SUMIFS('Federal Data'!AI2:AI501,'Federal Data'!$H2:$H501,"Child Care Assistance",'Federal Data'!$D2:$D501,"Grant")</f>
        <v>4525000</v>
      </c>
      <c r="Z165" s="113">
        <f>SUMIFS('Federal Data'!AJ2:AJ501,'Federal Data'!$H2:$H501,"Child Care Assistance",'Federal Data'!$D2:$D501,"Grant")</f>
        <v>5189000</v>
      </c>
      <c r="AA165" s="113">
        <f>SUMIFS('Federal Data'!AK2:AK501,'Federal Data'!$H2:$H501,"Child Care Assistance",'Federal Data'!$D2:$D501,"Grant")</f>
        <v>4826000</v>
      </c>
      <c r="AB165" s="113">
        <f>SUMIFS('Federal Data'!AL2:AL501,'Federal Data'!$H2:$H501,"Child Care Assistance",'Federal Data'!$D2:$D501,"Grant")</f>
        <v>4894000</v>
      </c>
      <c r="AC165" s="113">
        <f>SUMIFS('Federal Data'!AM2:AM501,'Federal Data'!$H2:$H501,"Child Care Assistance",'Federal Data'!$D2:$D501,"Grant")</f>
        <v>5245000</v>
      </c>
      <c r="AD165" s="113">
        <f>SUMIFS('Federal Data'!AN2:AN501,'Federal Data'!$H2:$H501,"Child Care Assistance",'Federal Data'!$D2:$D501,"Grant")</f>
        <v>5122000</v>
      </c>
      <c r="AE165" s="113">
        <f>SUMIFS('Federal Data'!AO2:AO501,'Federal Data'!$H2:$H501,"Child Care Assistance",'Federal Data'!$D2:$D501,"Grant")</f>
        <v>4977000</v>
      </c>
      <c r="AF165" s="113">
        <f>SUMIFS('Federal Data'!AP2:AP501,'Federal Data'!$H2:$H501,"Child Care Assistance",'Federal Data'!$D2:$D501,"Grant")</f>
        <v>5298000</v>
      </c>
      <c r="AG165" s="113">
        <f>SUMIFS('Federal Data'!AQ2:AQ501,'Federal Data'!$H2:$H501,"Child Care Assistance",'Federal Data'!$D2:$D501,"Grant")</f>
        <v>5852000</v>
      </c>
      <c r="AH165" s="113">
        <f>SUMIFS('Federal Data'!AR2:AR501,'Federal Data'!$H2:$H501,"Child Care Assistance",'Federal Data'!$D2:$D501,"Grant")</f>
        <v>6075000</v>
      </c>
      <c r="AI165" s="113">
        <f>SUMIFS('Federal Data'!AS2:AS501,'Federal Data'!$H2:$H501,"Child Care Assistance",'Federal Data'!$D2:$D501,"Grant")</f>
        <v>5019000</v>
      </c>
      <c r="AJ165" s="113">
        <f>SUMIFS('Federal Data'!AT2:AT501,'Federal Data'!$H2:$H501,"Child Care Assistance",'Federal Data'!$D2:$D501,"Grant")</f>
        <v>5040000</v>
      </c>
      <c r="AK165" s="113">
        <f>SUMIFS('Federal Data'!AU2:AU501,'Federal Data'!$H2:$H501,"Child Care Assistance",'Federal Data'!$D2:$D501,"Grant")</f>
        <v>5055000</v>
      </c>
      <c r="AL165" s="113">
        <f>SUMIFS('Federal Data'!AV2:AV501,'Federal Data'!$H2:$H501,"Child Care Assistance",'Federal Data'!$D2:$D501,"Grant")</f>
        <v>5122000</v>
      </c>
    </row>
    <row r="166" spans="1:38">
      <c r="A166" s="22" t="str">
        <f>B164</f>
        <v>Non-Cash Programs for Aid to the Disadvantaged</v>
      </c>
      <c r="B166" s="28" t="s">
        <v>112</v>
      </c>
      <c r="C166" s="113">
        <f>SUMIFS('Federal Data'!M2:M501,'Federal Data'!$H2:$H501,"Medicaid and CHIP",'Federal Data'!$D2:$D501,"Grant")</f>
        <v>13956700</v>
      </c>
      <c r="D166" s="113">
        <f>SUMIFS('Federal Data'!N2:N501,'Federal Data'!$H2:$H501,"Medicaid and CHIP",'Federal Data'!$D2:$D501,"Grant")</f>
        <v>16833344</v>
      </c>
      <c r="E166" s="113">
        <f>SUMIFS('Federal Data'!O2:O501,'Federal Data'!$H2:$H501,"Medicaid and CHIP",'Federal Data'!$D2:$D501,"Grant")</f>
        <v>17390734</v>
      </c>
      <c r="F166" s="113">
        <f>SUMIFS('Federal Data'!P2:P501,'Federal Data'!$H2:$H501,"Medicaid and CHIP",'Federal Data'!$D2:$D501,"Grant")</f>
        <v>18985244</v>
      </c>
      <c r="G166" s="113">
        <f>SUMIFS('Federal Data'!Q2:Q501,'Federal Data'!$H2:$H501,"Medicaid and CHIP",'Federal Data'!$D2:$D501,"Grant")</f>
        <v>20060943</v>
      </c>
      <c r="H166" s="113">
        <f>SUMIFS('Federal Data'!R2:R501,'Federal Data'!$H2:$H501,"Medicaid and CHIP",'Federal Data'!$D2:$D501,"Grant")</f>
        <v>22654604</v>
      </c>
      <c r="I166" s="113">
        <f>SUMIFS('Federal Data'!S2:S501,'Federal Data'!$H2:$H501,"Medicaid and CHIP",'Federal Data'!$D2:$D501,"Grant")</f>
        <v>24995451</v>
      </c>
      <c r="J166" s="113">
        <f>SUMIFS('Federal Data'!T2:T501,'Federal Data'!$H2:$H501,"Medicaid and CHIP",'Federal Data'!$D2:$D501,"Grant")</f>
        <v>27435204</v>
      </c>
      <c r="K166" s="113">
        <f>SUMIFS('Federal Data'!U2:U501,'Federal Data'!$H2:$H501,"Medicaid and CHIP",'Federal Data'!$D2:$D501,"Grant")</f>
        <v>30461630</v>
      </c>
      <c r="L166" s="113">
        <f>SUMIFS('Federal Data'!V2:V501,'Federal Data'!$H2:$H501,"Medicaid and CHIP",'Federal Data'!$D2:$D501,"Grant")</f>
        <v>34603976</v>
      </c>
      <c r="M166" s="113">
        <f>SUMIFS('Federal Data'!W2:W501,'Federal Data'!$H2:$H501,"Medicaid and CHIP",'Federal Data'!$D2:$D501,"Grant")</f>
        <v>41103202</v>
      </c>
      <c r="N166" s="113">
        <f>SUMIFS('Federal Data'!X2:X501,'Federal Data'!$H2:$H501,"Medicaid and CHIP",'Federal Data'!$D2:$D501,"Grant")</f>
        <v>52532714</v>
      </c>
      <c r="O166" s="113">
        <f>SUMIFS('Federal Data'!Y2:Y501,'Federal Data'!$H2:$H501,"Medicaid and CHIP",'Federal Data'!$D2:$D501,"Grant")</f>
        <v>67827253</v>
      </c>
      <c r="P166" s="113">
        <f>SUMIFS('Federal Data'!Z2:Z501,'Federal Data'!$H2:$H501,"Medicaid and CHIP",'Federal Data'!$D2:$D501,"Grant")</f>
        <v>75774060</v>
      </c>
      <c r="Q166" s="113">
        <f>SUMIFS('Federal Data'!AA2:AA501,'Federal Data'!$H2:$H501,"Medicaid and CHIP",'Federal Data'!$D2:$D501,"Grant")</f>
        <v>82033658</v>
      </c>
      <c r="R166" s="113">
        <f>SUMIFS('Federal Data'!AB2:AB501,'Federal Data'!$H2:$H501,"Medicaid and CHIP",'Federal Data'!$D2:$D501,"Grant")</f>
        <v>89070000</v>
      </c>
      <c r="S166" s="113">
        <f>SUMIFS('Federal Data'!AC2:AC501,'Federal Data'!$H2:$H501,"Medicaid and CHIP",'Federal Data'!$D2:$D501,"Grant")</f>
        <v>91990000</v>
      </c>
      <c r="T166" s="113">
        <f>SUMIFS('Federal Data'!AD2:AD501,'Federal Data'!$H2:$H501,"Medicaid and CHIP",'Federal Data'!$D2:$D501,"Grant")</f>
        <v>95552000</v>
      </c>
      <c r="U166" s="113">
        <f>SUMIFS('Federal Data'!AE2:AE501,'Federal Data'!$H2:$H501,"Medicaid and CHIP",'Federal Data'!$D2:$D501,"Grant")</f>
        <v>101239000</v>
      </c>
      <c r="V166" s="113">
        <f>SUMIFS('Federal Data'!AF2:AF501,'Federal Data'!$H2:$H501,"Medicaid and CHIP",'Federal Data'!$D2:$D501,"Grant")</f>
        <v>108607000</v>
      </c>
      <c r="W166" s="113">
        <f>SUMIFS('Federal Data'!AG2:AG501,'Federal Data'!$H2:$H501,"Medicaid and CHIP",'Federal Data'!$D2:$D501,"Grant")</f>
        <v>119141000</v>
      </c>
      <c r="X166" s="113">
        <f>SUMIFS('Federal Data'!AH2:AH501,'Federal Data'!$H2:$H501,"Medicaid and CHIP",'Federal Data'!$D2:$D501,"Grant")</f>
        <v>133135000</v>
      </c>
      <c r="Y166" s="113">
        <f>SUMIFS('Federal Data'!AI2:AI501,'Federal Data'!$H2:$H501,"Medicaid and CHIP",'Federal Data'!$D2:$D501,"Grant")</f>
        <v>151342000</v>
      </c>
      <c r="Z166" s="113">
        <f>SUMIFS('Federal Data'!AJ2:AJ501,'Federal Data'!$H2:$H501,"Medicaid and CHIP",'Federal Data'!$D2:$D501,"Grant")</f>
        <v>165175000</v>
      </c>
      <c r="AA166" s="113">
        <f>SUMIFS('Federal Data'!AK2:AK501,'Federal Data'!$H2:$H501,"Medicaid and CHIP",'Federal Data'!$D2:$D501,"Grant")</f>
        <v>180886000</v>
      </c>
      <c r="AB166" s="113">
        <f>SUMIFS('Federal Data'!AL2:AL501,'Federal Data'!$H2:$H501,"Medicaid and CHIP",'Federal Data'!$D2:$D501,"Grant")</f>
        <v>186933000</v>
      </c>
      <c r="AC166" s="113">
        <f>SUMIFS('Federal Data'!AM2:AM501,'Federal Data'!$H2:$H501,"Medicaid and CHIP",'Federal Data'!$D2:$D501,"Grant")</f>
        <v>187345000</v>
      </c>
      <c r="AD166" s="113">
        <f>SUMIFS('Federal Data'!AN2:AN501,'Federal Data'!$H2:$H501,"Medicaid and CHIP",'Federal Data'!$D2:$D501,"Grant")</f>
        <v>197899000</v>
      </c>
      <c r="AE166" s="113">
        <f>SUMIFS('Federal Data'!AO2:AO501,'Federal Data'!$H2:$H501,"Medicaid and CHIP",'Federal Data'!$D2:$D501,"Grant")</f>
        <v>208753000</v>
      </c>
      <c r="AF166" s="113">
        <f>SUMIFS('Federal Data'!AP2:AP501,'Federal Data'!$H2:$H501,"Medicaid and CHIP",'Federal Data'!$D2:$D501,"Grant")</f>
        <v>258969000</v>
      </c>
      <c r="AG166" s="113">
        <f>SUMIFS('Federal Data'!AQ2:AQ501,'Federal Data'!$H2:$H501,"Medicaid and CHIP",'Federal Data'!$D2:$D501,"Grant")</f>
        <v>281189000</v>
      </c>
      <c r="AH166" s="113">
        <f>SUMIFS('Federal Data'!AR2:AR501,'Federal Data'!$H2:$H501,"Medicaid and CHIP",'Federal Data'!$D2:$D501,"Grant")</f>
        <v>284159000</v>
      </c>
      <c r="AI166" s="113">
        <f>SUMIFS('Federal Data'!AS2:AS501,'Federal Data'!$H2:$H501,"Medicaid and CHIP",'Federal Data'!$D2:$D501,"Grant")</f>
        <v>260076000</v>
      </c>
      <c r="AJ166" s="113">
        <f>SUMIFS('Federal Data'!AT2:AT501,'Federal Data'!$H2:$H501,"Medicaid and CHIP",'Federal Data'!$D2:$D501,"Grant")</f>
        <v>275392000</v>
      </c>
      <c r="AK166" s="113">
        <f>SUMIFS('Federal Data'!AU2:AU501,'Federal Data'!$H2:$H501,"Medicaid and CHIP",'Federal Data'!$D2:$D501,"Grant")</f>
        <v>311297000</v>
      </c>
      <c r="AL166" s="113">
        <f>SUMIFS('Federal Data'!AV2:AV501,'Federal Data'!$H2:$H501,"Medicaid and CHIP",'Federal Data'!$D2:$D501,"Grant")</f>
        <v>359572000</v>
      </c>
    </row>
    <row r="167" spans="1:38">
      <c r="A167" s="22" t="str">
        <f>B164</f>
        <v>Non-Cash Programs for Aid to the Disadvantaged</v>
      </c>
      <c r="B167" s="28" t="s">
        <v>111</v>
      </c>
      <c r="C167" s="113">
        <f>SUMIFS('Federal Data'!M2:M501,'Federal Data'!$H2:$H501,"Housing Assistance",'Federal Data'!$D2:$D501,"Grant")</f>
        <v>3452878</v>
      </c>
      <c r="D167" s="113">
        <f>SUMIFS('Federal Data'!N2:N501,'Federal Data'!$H2:$H501,"Housing Assistance",'Federal Data'!$D2:$D501,"Grant")</f>
        <v>4058580</v>
      </c>
      <c r="E167" s="113">
        <f>SUMIFS('Federal Data'!O2:O501,'Federal Data'!$H2:$H501,"Housing Assistance",'Federal Data'!$D2:$D501,"Grant")</f>
        <v>4921918</v>
      </c>
      <c r="F167" s="113">
        <f>SUMIFS('Federal Data'!P2:P501,'Federal Data'!$H2:$H501,"Housing Assistance",'Federal Data'!$D2:$D501,"Grant")</f>
        <v>5718110</v>
      </c>
      <c r="G167" s="113">
        <f>SUMIFS('Federal Data'!Q2:Q501,'Federal Data'!$H2:$H501,"Housing Assistance",'Federal Data'!$D2:$D501,"Grant")</f>
        <v>5768935</v>
      </c>
      <c r="H167" s="113">
        <f>SUMIFS('Federal Data'!R2:R501,'Federal Data'!$H2:$H501,"Housing Assistance",'Federal Data'!$D2:$D501,"Grant")</f>
        <v>6417011</v>
      </c>
      <c r="I167" s="113">
        <f>SUMIFS('Federal Data'!S2:S501,'Federal Data'!$H2:$H501,"Housing Assistance",'Federal Data'!$D2:$D501,"Grant")</f>
        <v>7442787</v>
      </c>
      <c r="J167" s="113">
        <f>SUMIFS('Federal Data'!T2:T501,'Federal Data'!$H2:$H501,"Housing Assistance",'Federal Data'!$D2:$D501,"Grant")</f>
        <v>7400093</v>
      </c>
      <c r="K167" s="113">
        <f>SUMIFS('Federal Data'!U2:U501,'Federal Data'!$H2:$H501,"Housing Assistance",'Federal Data'!$D2:$D501,"Grant")</f>
        <v>8650829</v>
      </c>
      <c r="L167" s="113">
        <f>SUMIFS('Federal Data'!V2:V501,'Federal Data'!$H2:$H501,"Housing Assistance",'Federal Data'!$D2:$D501,"Grant")</f>
        <v>8553124</v>
      </c>
      <c r="M167" s="113">
        <f>SUMIFS('Federal Data'!W2:W501,'Federal Data'!$H2:$H501,"Housing Assistance",'Federal Data'!$D2:$D501,"Grant")</f>
        <v>9552419</v>
      </c>
      <c r="N167" s="113">
        <f>SUMIFS('Federal Data'!X2:X501,'Federal Data'!$H2:$H501,"Housing Assistance",'Federal Data'!$D2:$D501,"Grant")</f>
        <v>10466473</v>
      </c>
      <c r="O167" s="113">
        <f>SUMIFS('Federal Data'!Y2:Y501,'Federal Data'!$H2:$H501,"Housing Assistance",'Federal Data'!$D2:$D501,"Grant")</f>
        <v>12289667</v>
      </c>
      <c r="P167" s="113">
        <f>SUMIFS('Federal Data'!Z2:Z501,'Federal Data'!$H2:$H501,"Housing Assistance",'Federal Data'!$D2:$D501,"Grant")</f>
        <v>14125598</v>
      </c>
      <c r="Q167" s="113">
        <f>SUMIFS('Federal Data'!AA2:AA501,'Federal Data'!$H2:$H501,"Housing Assistance",'Federal Data'!$D2:$D501,"Grant")</f>
        <v>15809694</v>
      </c>
      <c r="R167" s="113">
        <f>SUMIFS('Federal Data'!AB2:AB501,'Federal Data'!$H2:$H501,"Housing Assistance",'Federal Data'!$D2:$D501,"Grant")</f>
        <v>18434000</v>
      </c>
      <c r="S167" s="113">
        <f>SUMIFS('Federal Data'!AC2:AC501,'Federal Data'!$H2:$H501,"Housing Assistance",'Federal Data'!$D2:$D501,"Grant")</f>
        <v>16789000</v>
      </c>
      <c r="T167" s="113">
        <f>SUMIFS('Federal Data'!AD2:AD501,'Federal Data'!$H2:$H501,"Housing Assistance",'Federal Data'!$D2:$D501,"Grant")</f>
        <v>17717000</v>
      </c>
      <c r="U167" s="113">
        <f>SUMIFS('Federal Data'!AE2:AE501,'Federal Data'!$H2:$H501,"Housing Assistance",'Federal Data'!$D2:$D501,"Grant")</f>
        <v>19668000</v>
      </c>
      <c r="V167" s="113">
        <f>SUMIFS('Federal Data'!AF2:AF501,'Federal Data'!$H2:$H501,"Housing Assistance",'Federal Data'!$D2:$D501,"Grant")</f>
        <v>22830000</v>
      </c>
      <c r="W167" s="113">
        <f>SUMIFS('Federal Data'!AG2:AG501,'Federal Data'!$H2:$H501,"Housing Assistance",'Federal Data'!$D2:$D501,"Grant")</f>
        <v>19974000</v>
      </c>
      <c r="X167" s="113">
        <f>SUMIFS('Federal Data'!AH2:AH501,'Federal Data'!$H2:$H501,"Housing Assistance",'Federal Data'!$D2:$D501,"Grant")</f>
        <v>21139000</v>
      </c>
      <c r="Y167" s="113">
        <f>SUMIFS('Federal Data'!AI2:AI501,'Federal Data'!$H2:$H501,"Housing Assistance",'Federal Data'!$D2:$D501,"Grant")</f>
        <v>23661000</v>
      </c>
      <c r="Z167" s="113">
        <f>SUMIFS('Federal Data'!AJ2:AJ501,'Federal Data'!$H2:$H501,"Housing Assistance",'Federal Data'!$D2:$D501,"Grant")</f>
        <v>25975000</v>
      </c>
      <c r="AA167" s="113">
        <f>SUMIFS('Federal Data'!AK2:AK501,'Federal Data'!$H2:$H501,"Housing Assistance",'Federal Data'!$D2:$D501,"Grant")</f>
        <v>27038000</v>
      </c>
      <c r="AB167" s="113">
        <f>SUMIFS('Federal Data'!AL2:AL501,'Federal Data'!$H2:$H501,"Housing Assistance",'Federal Data'!$D2:$D501,"Grant")</f>
        <v>30203000</v>
      </c>
      <c r="AC167" s="113">
        <f>SUMIFS('Federal Data'!AM2:AM501,'Federal Data'!$H2:$H501,"Housing Assistance",'Federal Data'!$D2:$D501,"Grant")</f>
        <v>27957000</v>
      </c>
      <c r="AD167" s="113">
        <f>SUMIFS('Federal Data'!AN2:AN501,'Federal Data'!$H2:$H501,"Housing Assistance",'Federal Data'!$D2:$D501,"Grant")</f>
        <v>28883000</v>
      </c>
      <c r="AE167" s="113">
        <f>SUMIFS('Federal Data'!AO2:AO501,'Federal Data'!$H2:$H501,"Housing Assistance",'Federal Data'!$D2:$D501,"Grant")</f>
        <v>29184000</v>
      </c>
      <c r="AF167" s="113">
        <f>SUMIFS('Federal Data'!AP2:AP501,'Federal Data'!$H2:$H501,"Housing Assistance",'Federal Data'!$D2:$D501,"Grant")</f>
        <v>29965000</v>
      </c>
      <c r="AG167" s="113">
        <f>SUMIFS('Federal Data'!AQ2:AQ501,'Federal Data'!$H2:$H501,"Housing Assistance",'Federal Data'!$D2:$D501,"Grant")</f>
        <v>37505000</v>
      </c>
      <c r="AH167" s="113">
        <f>SUMIFS('Federal Data'!AR2:AR501,'Federal Data'!$H2:$H501,"Housing Assistance",'Federal Data'!$D2:$D501,"Grant")</f>
        <v>35850000</v>
      </c>
      <c r="AI167" s="113">
        <f>SUMIFS('Federal Data'!AS2:AS501,'Federal Data'!$H2:$H501,"Housing Assistance",'Federal Data'!$D2:$D501,"Grant")</f>
        <v>29875000</v>
      </c>
      <c r="AJ167" s="113">
        <f>SUMIFS('Federal Data'!AT2:AT501,'Federal Data'!$H2:$H501,"Housing Assistance",'Federal Data'!$D2:$D501,"Grant")</f>
        <v>27941000</v>
      </c>
      <c r="AK167" s="113">
        <f>SUMIFS('Federal Data'!AU2:AU501,'Federal Data'!$H2:$H501,"Housing Assistance",'Federal Data'!$D2:$D501,"Grant")</f>
        <v>28474000</v>
      </c>
      <c r="AL167" s="113">
        <f>SUMIFS('Federal Data'!AV2:AV501,'Federal Data'!$H2:$H501,"Housing Assistance",'Federal Data'!$D2:$D501,"Grant")</f>
        <v>28561000</v>
      </c>
    </row>
    <row r="168" spans="1:38">
      <c r="A168" s="22" t="str">
        <f>B158</f>
        <v>Grants to State and Local Governments and Territories by Key Area:</v>
      </c>
      <c r="B168" s="27" t="s">
        <v>45</v>
      </c>
      <c r="C168" s="113">
        <f>SUMIFS('Federal Data'!M2:M501,'Federal Data'!$G2:$G501,"Elementary and Secondary Education",'Federal Data'!$D2:$D501,"Grant")</f>
        <v>5591633</v>
      </c>
      <c r="D168" s="113">
        <f>SUMIFS('Federal Data'!N2:N501,'Federal Data'!$G2:$G501,"Elementary and Secondary Education",'Federal Data'!$D2:$D501,"Grant")</f>
        <v>5909697</v>
      </c>
      <c r="E168" s="113">
        <f>SUMIFS('Federal Data'!O2:O501,'Federal Data'!$G2:$G501,"Elementary and Secondary Education",'Federal Data'!$D2:$D501,"Grant")</f>
        <v>5447226</v>
      </c>
      <c r="F168" s="113">
        <f>SUMIFS('Federal Data'!P2:P501,'Federal Data'!$G2:$G501,"Elementary and Secondary Education",'Federal Data'!$D2:$D501,"Grant")</f>
        <v>4994838</v>
      </c>
      <c r="G168" s="113">
        <f>SUMIFS('Federal Data'!Q2:Q501,'Federal Data'!$G2:$G501,"Elementary and Secondary Education",'Federal Data'!$D2:$D501,"Grant")</f>
        <v>5182428</v>
      </c>
      <c r="H168" s="113">
        <f>SUMIFS('Federal Data'!R2:R501,'Federal Data'!$G2:$G501,"Elementary and Secondary Education",'Federal Data'!$D2:$D501,"Grant")</f>
        <v>6426913</v>
      </c>
      <c r="I168" s="113">
        <f>SUMIFS('Federal Data'!S2:S501,'Federal Data'!$G2:$G501,"Elementary and Secondary Education",'Federal Data'!$D2:$D501,"Grant")</f>
        <v>6423797</v>
      </c>
      <c r="J168" s="113">
        <f>SUMIFS('Federal Data'!T2:T501,'Federal Data'!$G2:$G501,"Elementary and Secondary Education",'Federal Data'!$D2:$D501,"Grant")</f>
        <v>6007311</v>
      </c>
      <c r="K168" s="113">
        <f>SUMIFS('Federal Data'!U2:U501,'Federal Data'!$G2:$G501,"Elementary and Secondary Education",'Federal Data'!$D2:$D501,"Grant")</f>
        <v>6600524</v>
      </c>
      <c r="L168" s="113">
        <f>SUMIFS('Federal Data'!V2:V501,'Federal Data'!$G2:$G501,"Elementary and Secondary Education",'Federal Data'!$D2:$D501,"Grant")</f>
        <v>7722918</v>
      </c>
      <c r="M168" s="113">
        <f>SUMIFS('Federal Data'!W2:W501,'Federal Data'!$G2:$G501,"Elementary and Secondary Education",'Federal Data'!$D2:$D501,"Grant")</f>
        <v>8031494</v>
      </c>
      <c r="N168" s="113">
        <f>SUMIFS('Federal Data'!X2:X501,'Federal Data'!$G2:$G501,"Elementary and Secondary Education",'Federal Data'!$D2:$D501,"Grant")</f>
        <v>9415196</v>
      </c>
      <c r="O168" s="113">
        <f>SUMIFS('Federal Data'!Y2:Y501,'Federal Data'!$G2:$G501,"Elementary and Secondary Education",'Federal Data'!$D2:$D501,"Grant")</f>
        <v>10624501</v>
      </c>
      <c r="P168" s="113">
        <f>SUMIFS('Federal Data'!Z2:Z501,'Federal Data'!$G2:$G501,"Elementary and Secondary Education",'Federal Data'!$D2:$D501,"Grant")</f>
        <v>11568137</v>
      </c>
      <c r="Q168" s="113">
        <f>SUMIFS('Federal Data'!AA2:AA501,'Federal Data'!$G2:$G501,"Elementary and Secondary Education",'Federal Data'!$D2:$D501,"Grant")</f>
        <v>12074714</v>
      </c>
      <c r="R168" s="113">
        <f>SUMIFS('Federal Data'!AB2:AB501,'Federal Data'!$G2:$G501,"Elementary and Secondary Education",'Federal Data'!$D2:$D501,"Grant")</f>
        <v>12233000</v>
      </c>
      <c r="S168" s="113">
        <f>SUMIFS('Federal Data'!AC2:AC501,'Federal Data'!$G2:$G501,"Elementary and Secondary Education",'Federal Data'!$D2:$D501,"Grant")</f>
        <v>12684000</v>
      </c>
      <c r="T168" s="113">
        <f>SUMIFS('Federal Data'!AD2:AD501,'Federal Data'!$G2:$G501,"Elementary and Secondary Education",'Federal Data'!$D2:$D501,"Grant")</f>
        <v>12838000</v>
      </c>
      <c r="U168" s="113">
        <f>SUMIFS('Federal Data'!AE2:AE501,'Federal Data'!$G2:$G501,"Elementary and Secondary Education",'Federal Data'!$D2:$D501,"Grant")</f>
        <v>14296000</v>
      </c>
      <c r="V168" s="113">
        <f>SUMIFS('Federal Data'!AF2:AF501,'Federal Data'!$G2:$G501,"Elementary and Secondary Education",'Federal Data'!$D2:$D501,"Grant")</f>
        <v>15350000</v>
      </c>
      <c r="W168" s="113">
        <f>SUMIFS('Federal Data'!AG2:AG501,'Federal Data'!$G2:$G501,"Elementary and Secondary Education",'Federal Data'!$D2:$D501,"Grant")</f>
        <v>17912000</v>
      </c>
      <c r="X168" s="113">
        <f>SUMIFS('Federal Data'!AH2:AH501,'Federal Data'!$G2:$G501,"Elementary and Secondary Education",'Federal Data'!$D2:$D501,"Grant")</f>
        <v>19682000</v>
      </c>
      <c r="Y168" s="113">
        <f>SUMIFS('Federal Data'!AI2:AI501,'Federal Data'!$G2:$G501,"Elementary and Secondary Education",'Federal Data'!$D2:$D501,"Grant")</f>
        <v>21935000</v>
      </c>
      <c r="Z168" s="113">
        <f>SUMIFS('Federal Data'!AJ2:AJ501,'Federal Data'!$G2:$G501,"Elementary and Secondary Education",'Federal Data'!$D2:$D501,"Grant")</f>
        <v>27669000</v>
      </c>
      <c r="AA168" s="113">
        <f>SUMIFS('Federal Data'!AK2:AK501,'Federal Data'!$G2:$G501,"Elementary and Secondary Education",'Federal Data'!$D2:$D501,"Grant")</f>
        <v>30691000</v>
      </c>
      <c r="AB168" s="113">
        <f>SUMIFS('Federal Data'!AL2:AL501,'Federal Data'!$G2:$G501,"Elementary and Secondary Education",'Federal Data'!$D2:$D501,"Grant")</f>
        <v>34557000</v>
      </c>
      <c r="AC168" s="113">
        <f>SUMIFS('Federal Data'!AM2:AM501,'Federal Data'!$G2:$G501,"Elementary and Secondary Education",'Federal Data'!$D2:$D501,"Grant")</f>
        <v>36075000</v>
      </c>
      <c r="AD168" s="113">
        <f>SUMIFS('Federal Data'!AN2:AN501,'Federal Data'!$G2:$G501,"Elementary and Secondary Education",'Federal Data'!$D2:$D501,"Grant")</f>
        <v>35016000</v>
      </c>
      <c r="AE168" s="113">
        <f>SUMIFS('Federal Data'!AO2:AO501,'Federal Data'!$G2:$G501,"Elementary and Secondary Education",'Federal Data'!$D2:$D501,"Grant")</f>
        <v>35591000</v>
      </c>
      <c r="AF168" s="113">
        <f>SUMIFS('Federal Data'!AP2:AP501,'Federal Data'!$G2:$G501,"Elementary and Secondary Education",'Federal Data'!$D2:$D501,"Grant")</f>
        <v>49645000</v>
      </c>
      <c r="AG168" s="113">
        <f>SUMIFS('Federal Data'!AQ2:AQ501,'Federal Data'!$G2:$G501,"Elementary and Secondary Education",'Federal Data'!$D2:$D501,"Grant")</f>
        <v>69746000</v>
      </c>
      <c r="AH168" s="113">
        <f>SUMIFS('Federal Data'!AR2:AR501,'Federal Data'!$G2:$G501,"Elementary and Secondary Education",'Federal Data'!$D2:$D501,"Grant")</f>
        <v>62618000</v>
      </c>
      <c r="AI168" s="113">
        <f>SUMIFS('Federal Data'!AS2:AS501,'Federal Data'!$G2:$G501,"Elementary and Secondary Education",'Federal Data'!$D2:$D501,"Grant")</f>
        <v>43661000</v>
      </c>
      <c r="AJ168" s="113">
        <f>SUMIFS('Federal Data'!AT2:AT501,'Federal Data'!$G2:$G501,"Elementary and Secondary Education",'Federal Data'!$D2:$D501,"Grant")</f>
        <v>38498000</v>
      </c>
      <c r="AK168" s="113">
        <f>SUMIFS('Federal Data'!AU2:AU501,'Federal Data'!$G2:$G501,"Elementary and Secondary Education",'Federal Data'!$D2:$D501,"Grant")</f>
        <v>37261000</v>
      </c>
      <c r="AL168" s="113">
        <f>SUMIFS('Federal Data'!AV2:AV501,'Federal Data'!$G2:$G501,"Elementary and Secondary Education",'Federal Data'!$D2:$D501,"Grant")</f>
        <v>36395000</v>
      </c>
    </row>
    <row r="169" spans="1:38">
      <c r="A169" s="22" t="str">
        <f>B158</f>
        <v>Grants to State and Local Governments and Territories by Key Area:</v>
      </c>
      <c r="B169" s="27" t="s">
        <v>47</v>
      </c>
      <c r="C169" s="113">
        <f>SUMIFS('Federal Data'!M2:M501,'Federal Data'!$G2:$G501,"Vocational Education",'Federal Data'!$D2:$D501,"Grant")</f>
        <v>854115</v>
      </c>
      <c r="D169" s="113">
        <f>SUMIFS('Federal Data'!N2:N501,'Federal Data'!$G2:$G501,"Vocational Education",'Federal Data'!$D2:$D501,"Grant")</f>
        <v>722908</v>
      </c>
      <c r="E169" s="113">
        <f>SUMIFS('Federal Data'!O2:O501,'Federal Data'!$G2:$G501,"Vocational Education",'Federal Data'!$D2:$D501,"Grant")</f>
        <v>801905</v>
      </c>
      <c r="F169" s="113">
        <f>SUMIFS('Federal Data'!P2:P501,'Federal Data'!$G2:$G501,"Vocational Education",'Federal Data'!$D2:$D501,"Grant")</f>
        <v>705018</v>
      </c>
      <c r="G169" s="113">
        <f>SUMIFS('Federal Data'!Q2:Q501,'Federal Data'!$G2:$G501,"Vocational Education",'Federal Data'!$D2:$D501,"Grant")</f>
        <v>718696</v>
      </c>
      <c r="H169" s="113">
        <f>SUMIFS('Federal Data'!R2:R501,'Federal Data'!$G2:$G501,"Vocational Education",'Federal Data'!$D2:$D501,"Grant")</f>
        <v>633144</v>
      </c>
      <c r="I169" s="113">
        <f>SUMIFS('Federal Data'!S2:S501,'Federal Data'!$G2:$G501,"Vocational Education",'Federal Data'!$D2:$D501,"Grant")</f>
        <v>1007771</v>
      </c>
      <c r="J169" s="113">
        <f>SUMIFS('Federal Data'!T2:T501,'Federal Data'!$G2:$G501,"Vocational Education",'Federal Data'!$D2:$D501,"Grant")</f>
        <v>1224966</v>
      </c>
      <c r="K169" s="113">
        <f>SUMIFS('Federal Data'!U2:U501,'Federal Data'!$G2:$G501,"Vocational Education",'Federal Data'!$D2:$D501,"Grant")</f>
        <v>1261076</v>
      </c>
      <c r="L169" s="113">
        <f>SUMIFS('Federal Data'!V2:V501,'Federal Data'!$G2:$G501,"Vocational Education",'Federal Data'!$D2:$D501,"Grant")</f>
        <v>824083</v>
      </c>
      <c r="M169" s="113">
        <f>SUMIFS('Federal Data'!W2:W501,'Federal Data'!$G2:$G501,"Vocational Education",'Federal Data'!$D2:$D501,"Grant")</f>
        <v>1287089</v>
      </c>
      <c r="N169" s="113">
        <f>SUMIFS('Federal Data'!X2:X501,'Federal Data'!$G2:$G501,"Vocational Education",'Federal Data'!$D2:$D501,"Grant")</f>
        <v>1037506</v>
      </c>
      <c r="O169" s="113">
        <f>SUMIFS('Federal Data'!Y2:Y501,'Federal Data'!$G2:$G501,"Vocational Education",'Federal Data'!$D2:$D501,"Grant")</f>
        <v>1019814</v>
      </c>
      <c r="P169" s="113">
        <f>SUMIFS('Federal Data'!Z2:Z501,'Federal Data'!$G2:$G501,"Vocational Education",'Federal Data'!$D2:$D501,"Grant")</f>
        <v>1133120</v>
      </c>
      <c r="Q169" s="113">
        <f>SUMIFS('Federal Data'!AA2:AA501,'Federal Data'!$G2:$G501,"Vocational Education",'Federal Data'!$D2:$D501,"Grant")</f>
        <v>1292212</v>
      </c>
      <c r="R169" s="113">
        <f>SUMIFS('Federal Data'!AB2:AB501,'Federal Data'!$G2:$G501,"Vocational Education",'Federal Data'!$D2:$D501,"Grant")</f>
        <v>1449000</v>
      </c>
      <c r="S169" s="113">
        <f>SUMIFS('Federal Data'!AC2:AC501,'Federal Data'!$G2:$G501,"Vocational Education",'Federal Data'!$D2:$D501,"Grant")</f>
        <v>1323000</v>
      </c>
      <c r="T169" s="113">
        <f>SUMIFS('Federal Data'!AD2:AD501,'Federal Data'!$G2:$G501,"Vocational Education",'Federal Data'!$D2:$D501,"Grant")</f>
        <v>1382000</v>
      </c>
      <c r="U169" s="113">
        <f>SUMIFS('Federal Data'!AE2:AE501,'Federal Data'!$G2:$G501,"Vocational Education",'Federal Data'!$D2:$D501,"Grant")</f>
        <v>1425000</v>
      </c>
      <c r="V169" s="113">
        <f>SUMIFS('Federal Data'!AF2:AF501,'Federal Data'!$G2:$G501,"Vocational Education",'Federal Data'!$D2:$D501,"Grant")</f>
        <v>1338000</v>
      </c>
      <c r="W169" s="113">
        <f>SUMIFS('Federal Data'!AG2:AG501,'Federal Data'!$G2:$G501,"Vocational Education",'Federal Data'!$D2:$D501,"Grant")</f>
        <v>1448000</v>
      </c>
      <c r="X169" s="113">
        <f>SUMIFS('Federal Data'!AH2:AH501,'Federal Data'!$G2:$G501,"Vocational Education",'Federal Data'!$D2:$D501,"Grant")</f>
        <v>1651000</v>
      </c>
      <c r="Y169" s="113">
        <f>SUMIFS('Federal Data'!AI2:AI501,'Federal Data'!$G2:$G501,"Vocational Education",'Federal Data'!$D2:$D501,"Grant")</f>
        <v>1742000</v>
      </c>
      <c r="Z169" s="113">
        <f>SUMIFS('Federal Data'!AJ2:AJ501,'Federal Data'!$G2:$G501,"Vocational Education",'Federal Data'!$D2:$D501,"Grant")</f>
        <v>1908000</v>
      </c>
      <c r="AA169" s="113">
        <f>SUMIFS('Federal Data'!AK2:AK501,'Federal Data'!$G2:$G501,"Vocational Education",'Federal Data'!$D2:$D501,"Grant")</f>
        <v>1909000</v>
      </c>
      <c r="AB169" s="113">
        <f>SUMIFS('Federal Data'!AL2:AL501,'Federal Data'!$G2:$G501,"Vocational Education",'Federal Data'!$D2:$D501,"Grant")</f>
        <v>1930000</v>
      </c>
      <c r="AC169" s="113">
        <f>SUMIFS('Federal Data'!AM2:AM501,'Federal Data'!$G2:$G501,"Vocational Education",'Federal Data'!$D2:$D501,"Grant")</f>
        <v>1958000</v>
      </c>
      <c r="AD169" s="113">
        <f>SUMIFS('Federal Data'!AN2:AN501,'Federal Data'!$G2:$G501,"Vocational Education",'Federal Data'!$D2:$D501,"Grant")</f>
        <v>1927000</v>
      </c>
      <c r="AE169" s="113">
        <f>SUMIFS('Federal Data'!AO2:AO501,'Federal Data'!$G2:$G501,"Vocational Education",'Federal Data'!$D2:$D501,"Grant")</f>
        <v>1871000</v>
      </c>
      <c r="AF169" s="113">
        <f>SUMIFS('Federal Data'!AP2:AP501,'Federal Data'!$G2:$G501,"Vocational Education",'Federal Data'!$D2:$D501,"Grant")</f>
        <v>2005000</v>
      </c>
      <c r="AG169" s="113">
        <f>SUMIFS('Federal Data'!AQ2:AQ501,'Federal Data'!$G2:$G501,"Vocational Education",'Federal Data'!$D2:$D501,"Grant")</f>
        <v>1989000</v>
      </c>
      <c r="AH169" s="113">
        <f>SUMIFS('Federal Data'!AR2:AR501,'Federal Data'!$G2:$G501,"Vocational Education",'Federal Data'!$D2:$D501,"Grant")</f>
        <v>1946000</v>
      </c>
      <c r="AI169" s="113">
        <f>SUMIFS('Federal Data'!AS2:AS501,'Federal Data'!$G2:$G501,"Vocational Education",'Federal Data'!$D2:$D501,"Grant")</f>
        <v>1846000</v>
      </c>
      <c r="AJ169" s="113">
        <f>SUMIFS('Federal Data'!AT2:AT501,'Federal Data'!$G2:$G501,"Vocational Education",'Federal Data'!$D2:$D501,"Grant")</f>
        <v>1768000</v>
      </c>
      <c r="AK169" s="113">
        <f>SUMIFS('Federal Data'!AU2:AU501,'Federal Data'!$G2:$G501,"Vocational Education",'Federal Data'!$D2:$D501,"Grant")</f>
        <v>1665000</v>
      </c>
      <c r="AL169" s="113">
        <f>SUMIFS('Federal Data'!AV2:AV501,'Federal Data'!$G2:$G501,"Vocational Education",'Federal Data'!$D2:$D501,"Grant")</f>
        <v>1637000</v>
      </c>
    </row>
    <row r="170" spans="1:38">
      <c r="B170" s="27"/>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row>
    <row r="171" spans="1:38">
      <c r="B171" s="27"/>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row>
    <row r="172" spans="1:38">
      <c r="B172" s="34" t="s">
        <v>321</v>
      </c>
      <c r="C172" s="113">
        <f>SUM(C173:C175)</f>
        <v>537979</v>
      </c>
      <c r="D172" s="113">
        <f t="shared" ref="D172:AL172" si="24">SUM(D173:D175)</f>
        <v>431681</v>
      </c>
      <c r="E172" s="113">
        <f t="shared" si="24"/>
        <v>394369</v>
      </c>
      <c r="F172" s="113">
        <f t="shared" si="24"/>
        <v>409163</v>
      </c>
      <c r="G172" s="113">
        <f t="shared" si="24"/>
        <v>525761</v>
      </c>
      <c r="H172" s="113">
        <f t="shared" si="24"/>
        <v>416300</v>
      </c>
      <c r="I172" s="113">
        <f t="shared" si="24"/>
        <v>428984</v>
      </c>
      <c r="J172" s="113">
        <f t="shared" si="24"/>
        <v>442474</v>
      </c>
      <c r="K172" s="113">
        <f t="shared" si="24"/>
        <v>592384</v>
      </c>
      <c r="L172" s="113">
        <f t="shared" si="24"/>
        <v>459928</v>
      </c>
      <c r="M172" s="113">
        <f t="shared" si="24"/>
        <v>457800</v>
      </c>
      <c r="N172" s="113">
        <f t="shared" si="24"/>
        <v>527544</v>
      </c>
      <c r="O172" s="113">
        <f t="shared" si="24"/>
        <v>688709</v>
      </c>
      <c r="P172" s="113">
        <f t="shared" si="24"/>
        <v>579614</v>
      </c>
      <c r="Q172" s="113">
        <f t="shared" si="24"/>
        <v>664856</v>
      </c>
      <c r="R172" s="113">
        <f t="shared" si="24"/>
        <v>869000</v>
      </c>
      <c r="S172" s="113">
        <f t="shared" si="24"/>
        <v>1097000</v>
      </c>
      <c r="T172" s="113">
        <f t="shared" si="24"/>
        <v>954000</v>
      </c>
      <c r="U172" s="113">
        <f t="shared" si="24"/>
        <v>978000</v>
      </c>
      <c r="V172" s="113">
        <f t="shared" si="24"/>
        <v>1063000</v>
      </c>
      <c r="W172" s="113">
        <f t="shared" si="24"/>
        <v>1375000</v>
      </c>
      <c r="X172" s="113">
        <f t="shared" si="24"/>
        <v>1248000</v>
      </c>
      <c r="Y172" s="113">
        <f t="shared" si="24"/>
        <v>1327000</v>
      </c>
      <c r="Z172" s="113">
        <f t="shared" si="24"/>
        <v>2073000</v>
      </c>
      <c r="AA172" s="113">
        <f t="shared" si="24"/>
        <v>2797000</v>
      </c>
      <c r="AB172" s="113">
        <f t="shared" si="24"/>
        <v>2354000</v>
      </c>
      <c r="AC172" s="113">
        <f t="shared" si="24"/>
        <v>1488000</v>
      </c>
      <c r="AD172" s="113">
        <f t="shared" si="24"/>
        <v>1545000</v>
      </c>
      <c r="AE172" s="113">
        <f t="shared" si="24"/>
        <v>1689000</v>
      </c>
      <c r="AF172" s="113">
        <f t="shared" si="24"/>
        <v>1707000</v>
      </c>
      <c r="AG172" s="113">
        <f t="shared" si="24"/>
        <v>1861000</v>
      </c>
      <c r="AH172" s="113">
        <f t="shared" si="24"/>
        <v>1957000</v>
      </c>
      <c r="AI172" s="113">
        <f t="shared" si="24"/>
        <v>1762000</v>
      </c>
      <c r="AJ172" s="113">
        <f t="shared" si="24"/>
        <v>1737000</v>
      </c>
      <c r="AK172" s="113">
        <f t="shared" si="24"/>
        <v>1745000</v>
      </c>
      <c r="AL172" s="113">
        <f t="shared" si="24"/>
        <v>1733000</v>
      </c>
    </row>
    <row r="173" spans="1:38">
      <c r="A173" s="22" t="str">
        <f>B172</f>
        <v>For Posterity: The American Dream</v>
      </c>
      <c r="B173" s="28" t="s">
        <v>322</v>
      </c>
      <c r="C173" s="113">
        <v>242650</v>
      </c>
      <c r="D173" s="113">
        <v>240347</v>
      </c>
      <c r="E173" s="113">
        <v>243321</v>
      </c>
      <c r="F173" s="113">
        <v>261640</v>
      </c>
      <c r="G173" s="113">
        <v>264308</v>
      </c>
      <c r="H173" s="113">
        <v>272555</v>
      </c>
      <c r="I173" s="113">
        <v>261907</v>
      </c>
      <c r="J173" s="113">
        <v>253838</v>
      </c>
      <c r="K173" s="113">
        <v>268175</v>
      </c>
      <c r="L173" s="113">
        <v>278093</v>
      </c>
      <c r="M173" s="113">
        <v>273169</v>
      </c>
      <c r="N173" s="113">
        <v>293276</v>
      </c>
      <c r="O173" s="113">
        <v>320003</v>
      </c>
      <c r="P173" s="113">
        <v>329288</v>
      </c>
      <c r="Q173" s="113">
        <v>342820</v>
      </c>
      <c r="R173" s="113">
        <v>368000</v>
      </c>
      <c r="S173" s="113">
        <v>380000</v>
      </c>
      <c r="T173" s="113">
        <v>361000</v>
      </c>
      <c r="U173" s="113">
        <v>357000</v>
      </c>
      <c r="V173" s="113">
        <v>395000</v>
      </c>
      <c r="W173" s="113">
        <v>437000</v>
      </c>
      <c r="X173" s="113">
        <v>449000</v>
      </c>
      <c r="Y173" s="113">
        <v>492000</v>
      </c>
      <c r="Z173" s="113">
        <v>494000</v>
      </c>
      <c r="AA173" s="113">
        <v>518000</v>
      </c>
      <c r="AB173" s="113">
        <v>516000</v>
      </c>
      <c r="AC173" s="113">
        <v>521000</v>
      </c>
      <c r="AD173" s="113">
        <v>548000</v>
      </c>
      <c r="AE173" s="113">
        <v>618000</v>
      </c>
      <c r="AF173" s="113">
        <v>633000</v>
      </c>
      <c r="AG173" s="113">
        <v>659000</v>
      </c>
      <c r="AH173" s="113">
        <v>708000</v>
      </c>
      <c r="AI173" s="113">
        <v>708000</v>
      </c>
      <c r="AJ173" s="113">
        <v>682000</v>
      </c>
      <c r="AK173" s="113">
        <v>673000</v>
      </c>
      <c r="AL173" s="113">
        <v>699000</v>
      </c>
    </row>
    <row r="174" spans="1:38">
      <c r="A174" s="22" t="str">
        <f>B172</f>
        <v>For Posterity: The American Dream</v>
      </c>
      <c r="B174" s="28" t="s">
        <v>323</v>
      </c>
      <c r="C174" s="113">
        <v>106586</v>
      </c>
      <c r="D174" s="113">
        <v>13330</v>
      </c>
      <c r="E174" s="113">
        <v>9174</v>
      </c>
      <c r="F174" s="113">
        <v>21167</v>
      </c>
      <c r="G174" s="113">
        <v>128296</v>
      </c>
      <c r="H174" s="113">
        <v>14952</v>
      </c>
      <c r="I174" s="113">
        <v>12670</v>
      </c>
      <c r="J174" s="113">
        <v>30106</v>
      </c>
      <c r="K174" s="113">
        <v>170864</v>
      </c>
      <c r="L174" s="113">
        <v>18931</v>
      </c>
      <c r="M174" s="113">
        <v>15194</v>
      </c>
      <c r="N174" s="113">
        <v>37391</v>
      </c>
      <c r="O174" s="113">
        <v>167048</v>
      </c>
      <c r="P174" s="113">
        <v>26028</v>
      </c>
      <c r="Q174" s="113">
        <v>23661</v>
      </c>
      <c r="R174" s="113">
        <v>48000</v>
      </c>
      <c r="S174" s="113">
        <v>235000</v>
      </c>
      <c r="T174" s="113">
        <v>28000</v>
      </c>
      <c r="U174" s="113">
        <v>30000</v>
      </c>
      <c r="V174" s="113">
        <v>59000</v>
      </c>
      <c r="W174" s="113">
        <v>249000</v>
      </c>
      <c r="X174" s="113">
        <v>43000</v>
      </c>
      <c r="Y174" s="113">
        <v>43000</v>
      </c>
      <c r="Z174" s="113">
        <v>740000</v>
      </c>
      <c r="AA174" s="113">
        <v>1515000</v>
      </c>
      <c r="AB174" s="113">
        <v>1042000</v>
      </c>
      <c r="AC174" s="113">
        <v>124000</v>
      </c>
      <c r="AD174" s="113">
        <v>97000</v>
      </c>
      <c r="AE174" s="113">
        <v>180000</v>
      </c>
      <c r="AF174" s="113">
        <v>158000</v>
      </c>
      <c r="AG174" s="113">
        <v>169000</v>
      </c>
      <c r="AH174" s="113">
        <v>205000</v>
      </c>
      <c r="AI174" s="113">
        <v>80000</v>
      </c>
      <c r="AJ174" s="113">
        <v>80000</v>
      </c>
      <c r="AK174" s="113">
        <v>115000</v>
      </c>
      <c r="AL174" s="113">
        <v>74000</v>
      </c>
    </row>
    <row r="175" spans="1:38">
      <c r="A175" s="22" t="str">
        <f>B172</f>
        <v>For Posterity: The American Dream</v>
      </c>
      <c r="B175" s="28" t="s">
        <v>324</v>
      </c>
      <c r="C175" s="113">
        <v>188743</v>
      </c>
      <c r="D175" s="113">
        <v>178004</v>
      </c>
      <c r="E175" s="113">
        <v>141874</v>
      </c>
      <c r="F175" s="113">
        <v>126356</v>
      </c>
      <c r="G175" s="113">
        <v>133157</v>
      </c>
      <c r="H175" s="113">
        <v>128793</v>
      </c>
      <c r="I175" s="113">
        <v>154407</v>
      </c>
      <c r="J175" s="113">
        <v>158530</v>
      </c>
      <c r="K175" s="113">
        <v>153345</v>
      </c>
      <c r="L175" s="113">
        <v>162904</v>
      </c>
      <c r="M175" s="113">
        <v>169437</v>
      </c>
      <c r="N175" s="113">
        <v>196877</v>
      </c>
      <c r="O175" s="113">
        <v>201658</v>
      </c>
      <c r="P175" s="113">
        <v>224298</v>
      </c>
      <c r="Q175" s="113">
        <v>298375</v>
      </c>
      <c r="R175" s="113">
        <v>453000</v>
      </c>
      <c r="S175" s="113">
        <v>482000</v>
      </c>
      <c r="T175" s="113">
        <v>565000</v>
      </c>
      <c r="U175" s="113">
        <v>591000</v>
      </c>
      <c r="V175" s="113">
        <v>609000</v>
      </c>
      <c r="W175" s="113">
        <v>689000</v>
      </c>
      <c r="X175" s="113">
        <v>756000</v>
      </c>
      <c r="Y175" s="113">
        <v>792000</v>
      </c>
      <c r="Z175" s="113">
        <v>839000</v>
      </c>
      <c r="AA175" s="113">
        <v>764000</v>
      </c>
      <c r="AB175" s="113">
        <v>796000</v>
      </c>
      <c r="AC175" s="113">
        <v>843000</v>
      </c>
      <c r="AD175" s="113">
        <v>900000</v>
      </c>
      <c r="AE175" s="113">
        <v>891000</v>
      </c>
      <c r="AF175" s="113">
        <v>916000</v>
      </c>
      <c r="AG175" s="113">
        <v>1033000</v>
      </c>
      <c r="AH175" s="113">
        <v>1044000</v>
      </c>
      <c r="AI175" s="113">
        <v>974000</v>
      </c>
      <c r="AJ175" s="113">
        <v>975000</v>
      </c>
      <c r="AK175" s="113">
        <v>957000</v>
      </c>
      <c r="AL175" s="113">
        <v>960000</v>
      </c>
    </row>
    <row r="176" spans="1:38">
      <c r="B176" s="27"/>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row>
    <row r="177" spans="2:38">
      <c r="B177" s="27"/>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row>
    <row r="178" spans="2:38">
      <c r="B178" s="30" t="s">
        <v>137</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row>
    <row r="179" spans="2:38">
      <c r="B179" s="35" t="s">
        <v>330</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row>
    <row r="180" spans="2:38">
      <c r="B180" s="28" t="s">
        <v>496</v>
      </c>
      <c r="C180" s="113">
        <v>19473343.999999996</v>
      </c>
      <c r="D180" s="113">
        <v>21144682</v>
      </c>
      <c r="E180" s="113">
        <v>23908510</v>
      </c>
      <c r="F180" s="113">
        <v>24995003</v>
      </c>
      <c r="G180" s="113">
        <v>26749234</v>
      </c>
      <c r="H180" s="113">
        <v>29299427</v>
      </c>
      <c r="I180" s="113">
        <v>31311546.000000004</v>
      </c>
      <c r="J180" s="113">
        <v>32681183</v>
      </c>
      <c r="K180" s="113">
        <v>36170013</v>
      </c>
      <c r="L180" s="113">
        <v>39145534.999999993</v>
      </c>
      <c r="M180" s="113">
        <v>40347333.000000007</v>
      </c>
      <c r="N180" s="113">
        <v>44519038</v>
      </c>
      <c r="O180" s="113">
        <v>47419390.000000007</v>
      </c>
      <c r="P180" s="113">
        <v>48322025</v>
      </c>
      <c r="Q180" s="113">
        <v>49856134</v>
      </c>
      <c r="R180" s="113">
        <v>54812000</v>
      </c>
      <c r="S180" s="113">
        <v>56838000</v>
      </c>
      <c r="T180" s="113">
        <v>58655000</v>
      </c>
      <c r="U180" s="113">
        <v>60882000</v>
      </c>
      <c r="V180" s="113">
        <v>62943000</v>
      </c>
      <c r="W180" s="113">
        <v>64581000</v>
      </c>
      <c r="X180" s="113">
        <v>65869000</v>
      </c>
      <c r="Y180" s="113">
        <v>66688000</v>
      </c>
      <c r="Z180" s="113">
        <v>68764000</v>
      </c>
      <c r="AA180" s="113">
        <v>68852000</v>
      </c>
      <c r="AB180" s="113">
        <v>69948000</v>
      </c>
      <c r="AC180" s="113">
        <v>71438000</v>
      </c>
      <c r="AD180" s="113">
        <v>74973000</v>
      </c>
      <c r="AE180" s="113">
        <v>76136000</v>
      </c>
      <c r="AF180" s="113">
        <v>69942000</v>
      </c>
      <c r="AG180" s="113">
        <v>69185000</v>
      </c>
      <c r="AH180" s="113">
        <v>67591000</v>
      </c>
      <c r="AI180" s="113">
        <v>66321000</v>
      </c>
      <c r="AJ180" s="113">
        <v>73272000</v>
      </c>
      <c r="AK180" s="113">
        <v>72978000</v>
      </c>
      <c r="AL180" s="113">
        <v>74432000</v>
      </c>
    </row>
    <row r="181" spans="2:38">
      <c r="B181" s="28" t="s">
        <v>155</v>
      </c>
      <c r="C181" s="113">
        <v>20718894.999999996</v>
      </c>
      <c r="D181" s="113">
        <v>22576405</v>
      </c>
      <c r="E181" s="113">
        <v>24062656</v>
      </c>
      <c r="F181" s="113">
        <v>26106297</v>
      </c>
      <c r="G181" s="113">
        <v>27988062</v>
      </c>
      <c r="H181" s="113">
        <v>30650527</v>
      </c>
      <c r="I181" s="113">
        <v>32069631.000000004</v>
      </c>
      <c r="J181" s="113">
        <v>34273812</v>
      </c>
      <c r="K181" s="113">
        <v>38399478</v>
      </c>
      <c r="L181" s="113">
        <v>39272332.999999993</v>
      </c>
      <c r="M181" s="113">
        <v>42463009.000000007</v>
      </c>
      <c r="N181" s="113">
        <v>46347031</v>
      </c>
      <c r="O181" s="113">
        <v>48588666.000000007</v>
      </c>
      <c r="P181" s="113">
        <v>49923656</v>
      </c>
      <c r="Q181" s="113">
        <v>51089273</v>
      </c>
      <c r="R181" s="113">
        <v>52973000</v>
      </c>
      <c r="S181" s="113">
        <v>56780000</v>
      </c>
      <c r="T181" s="113">
        <v>58732000</v>
      </c>
      <c r="U181" s="113">
        <v>61185000</v>
      </c>
      <c r="V181" s="113">
        <v>63993000</v>
      </c>
      <c r="W181" s="113">
        <v>66710000</v>
      </c>
      <c r="X181" s="113">
        <v>68264000</v>
      </c>
      <c r="Y181" s="113">
        <v>66895000</v>
      </c>
      <c r="Z181" s="113">
        <v>63595000</v>
      </c>
      <c r="AA181" s="113">
        <v>64782000</v>
      </c>
      <c r="AB181" s="113">
        <v>68725000</v>
      </c>
      <c r="AC181" s="113">
        <v>70467000</v>
      </c>
      <c r="AD181" s="113">
        <v>80170000</v>
      </c>
      <c r="AE181" s="113">
        <v>78662000</v>
      </c>
      <c r="AF181" s="113">
        <v>70364000</v>
      </c>
      <c r="AG181" s="113">
        <v>74003000</v>
      </c>
      <c r="AH181" s="113">
        <v>68500000</v>
      </c>
      <c r="AI181" s="113">
        <v>69065000</v>
      </c>
      <c r="AJ181" s="113">
        <v>71433000</v>
      </c>
      <c r="AK181" s="113">
        <v>70525000</v>
      </c>
      <c r="AL181" s="113">
        <v>72822000</v>
      </c>
    </row>
    <row r="182" spans="2:38">
      <c r="B182" s="28" t="s">
        <v>156</v>
      </c>
      <c r="C182" s="113">
        <f>C181-C180</f>
        <v>1245551</v>
      </c>
      <c r="D182" s="113">
        <f t="shared" ref="D182" si="25">D181-D180</f>
        <v>1431723</v>
      </c>
      <c r="E182" s="113">
        <f t="shared" ref="E182" si="26">E181-E180</f>
        <v>154146</v>
      </c>
      <c r="F182" s="113">
        <f t="shared" ref="F182" si="27">F181-F180</f>
        <v>1111294</v>
      </c>
      <c r="G182" s="113">
        <f t="shared" ref="G182" si="28">G181-G180</f>
        <v>1238828</v>
      </c>
      <c r="H182" s="113">
        <f t="shared" ref="H182" si="29">H181-H180</f>
        <v>1351100</v>
      </c>
      <c r="I182" s="113">
        <f t="shared" ref="I182" si="30">I181-I180</f>
        <v>758085</v>
      </c>
      <c r="J182" s="113">
        <f t="shared" ref="J182" si="31">J181-J180</f>
        <v>1592629</v>
      </c>
      <c r="K182" s="113">
        <f t="shared" ref="K182" si="32">K181-K180</f>
        <v>2229465</v>
      </c>
      <c r="L182" s="113">
        <f t="shared" ref="L182" si="33">L181-L180</f>
        <v>126798</v>
      </c>
      <c r="M182" s="113">
        <f t="shared" ref="M182" si="34">M181-M180</f>
        <v>2115676</v>
      </c>
      <c r="N182" s="113">
        <f t="shared" ref="N182" si="35">N181-N180</f>
        <v>1827993</v>
      </c>
      <c r="O182" s="113">
        <f t="shared" ref="O182" si="36">O181-O180</f>
        <v>1169276</v>
      </c>
      <c r="P182" s="113">
        <f t="shared" ref="P182" si="37">P181-P180</f>
        <v>1601631</v>
      </c>
      <c r="Q182" s="113">
        <f t="shared" ref="Q182" si="38">Q181-Q180</f>
        <v>1233139</v>
      </c>
      <c r="R182" s="113">
        <f t="shared" ref="R182" si="39">R181-R180</f>
        <v>-1839000</v>
      </c>
      <c r="S182" s="113">
        <f t="shared" ref="S182" si="40">S181-S180</f>
        <v>-58000</v>
      </c>
      <c r="T182" s="113">
        <f t="shared" ref="T182" si="41">T181-T180</f>
        <v>77000</v>
      </c>
      <c r="U182" s="113">
        <f t="shared" ref="U182" si="42">U181-U180</f>
        <v>303000</v>
      </c>
      <c r="V182" s="113">
        <f t="shared" ref="V182" si="43">V181-V180</f>
        <v>1050000</v>
      </c>
      <c r="W182" s="113">
        <f t="shared" ref="W182" si="44">W181-W180</f>
        <v>2129000</v>
      </c>
      <c r="X182" s="113">
        <f t="shared" ref="X182" si="45">X181-X180</f>
        <v>2395000</v>
      </c>
      <c r="Y182" s="113">
        <f t="shared" ref="Y182" si="46">Y181-Y180</f>
        <v>207000</v>
      </c>
      <c r="Z182" s="113">
        <f t="shared" ref="Z182" si="47">Z181-Z180</f>
        <v>-5169000</v>
      </c>
      <c r="AA182" s="113">
        <f t="shared" ref="AA182" si="48">AA181-AA180</f>
        <v>-4070000</v>
      </c>
      <c r="AB182" s="113">
        <f t="shared" ref="AB182" si="49">AB181-AB180</f>
        <v>-1223000</v>
      </c>
      <c r="AC182" s="113">
        <f t="shared" ref="AC182" si="50">AC181-AC180</f>
        <v>-971000</v>
      </c>
      <c r="AD182" s="113">
        <f t="shared" ref="AD182" si="51">AD181-AD180</f>
        <v>5197000</v>
      </c>
      <c r="AE182" s="113">
        <f t="shared" ref="AE182" si="52">AE181-AE180</f>
        <v>2526000</v>
      </c>
      <c r="AF182" s="113">
        <f t="shared" ref="AF182" si="53">AF181-AF180</f>
        <v>422000</v>
      </c>
      <c r="AG182" s="113">
        <f t="shared" ref="AG182" si="54">AG181-AG180</f>
        <v>4818000</v>
      </c>
      <c r="AH182" s="113">
        <f t="shared" ref="AH182" si="55">AH181-AH180</f>
        <v>909000</v>
      </c>
      <c r="AI182" s="113">
        <f t="shared" ref="AI182" si="56">AI181-AI180</f>
        <v>2744000</v>
      </c>
      <c r="AJ182" s="113">
        <f t="shared" ref="AJ182" si="57">AJ181-AJ180</f>
        <v>-1839000</v>
      </c>
      <c r="AK182" s="113">
        <f t="shared" ref="AK182" si="58">AK181-AK180</f>
        <v>-2453000</v>
      </c>
      <c r="AL182" s="113">
        <f t="shared" ref="AL182" si="59">AL181-AL180</f>
        <v>-1610000</v>
      </c>
    </row>
    <row r="183" spans="2:38">
      <c r="B183" s="35" t="s">
        <v>331</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row>
    <row r="184" spans="2:38">
      <c r="B184" s="28" t="s">
        <v>496</v>
      </c>
      <c r="C184" s="113">
        <v>3272224</v>
      </c>
      <c r="D184" s="113">
        <v>3843053</v>
      </c>
      <c r="E184" s="113">
        <v>4112282</v>
      </c>
      <c r="F184" s="113">
        <v>4339107</v>
      </c>
      <c r="G184" s="113">
        <v>4619056.0000000009</v>
      </c>
      <c r="H184" s="113">
        <v>4669375</v>
      </c>
      <c r="I184" s="113">
        <v>4857714</v>
      </c>
      <c r="J184" s="113">
        <v>5425069</v>
      </c>
      <c r="K184" s="113">
        <v>5645886</v>
      </c>
      <c r="L184" s="113">
        <v>5617299</v>
      </c>
      <c r="M184" s="113">
        <v>6140447</v>
      </c>
      <c r="N184" s="113">
        <v>5811780</v>
      </c>
      <c r="O184" s="113">
        <v>5760543.0000000009</v>
      </c>
      <c r="P184" s="113">
        <v>5784619</v>
      </c>
      <c r="Q184" s="113">
        <v>6057744</v>
      </c>
      <c r="R184" s="113">
        <v>5524000</v>
      </c>
      <c r="S184" s="113">
        <v>6224000</v>
      </c>
      <c r="T184" s="113">
        <v>5612000</v>
      </c>
      <c r="U184" s="113">
        <v>6718000</v>
      </c>
      <c r="V184" s="113">
        <v>6904000</v>
      </c>
      <c r="W184" s="113">
        <v>7008000</v>
      </c>
      <c r="X184" s="113">
        <v>7398000</v>
      </c>
      <c r="Y184" s="113">
        <v>7031000</v>
      </c>
      <c r="Z184" s="113">
        <v>7326000</v>
      </c>
      <c r="AA184" s="113">
        <v>7657000</v>
      </c>
      <c r="AB184" s="113">
        <v>7892000</v>
      </c>
      <c r="AC184" s="113">
        <v>9154000</v>
      </c>
      <c r="AD184" s="113">
        <v>9547000</v>
      </c>
      <c r="AE184" s="113">
        <v>10428000</v>
      </c>
      <c r="AF184" s="113">
        <v>11255000</v>
      </c>
      <c r="AG184" s="113">
        <v>30943000</v>
      </c>
      <c r="AH184" s="113">
        <v>36856000</v>
      </c>
      <c r="AI184" s="113">
        <v>44183000</v>
      </c>
      <c r="AJ184" s="113">
        <v>65280000</v>
      </c>
      <c r="AK184" s="113">
        <v>47809000</v>
      </c>
      <c r="AL184" s="113">
        <v>43531000</v>
      </c>
    </row>
    <row r="185" spans="2:38">
      <c r="B185" s="28" t="s">
        <v>155</v>
      </c>
      <c r="C185" s="113">
        <v>5826471</v>
      </c>
      <c r="D185" s="113">
        <v>6008022</v>
      </c>
      <c r="E185" s="113">
        <v>5925665</v>
      </c>
      <c r="F185" s="113">
        <v>5368687</v>
      </c>
      <c r="G185" s="113">
        <v>5107250.0000000009</v>
      </c>
      <c r="H185" s="113">
        <v>5679582</v>
      </c>
      <c r="I185" s="113">
        <v>5763299</v>
      </c>
      <c r="J185" s="113">
        <v>6516237</v>
      </c>
      <c r="K185" s="113">
        <v>6734544</v>
      </c>
      <c r="L185" s="113">
        <v>4969092</v>
      </c>
      <c r="M185" s="113">
        <v>6742265</v>
      </c>
      <c r="N185" s="113">
        <v>6564606</v>
      </c>
      <c r="O185" s="113">
        <v>7229472.0000000009</v>
      </c>
      <c r="P185" s="113">
        <v>7413967</v>
      </c>
      <c r="Q185" s="113">
        <v>7267774</v>
      </c>
      <c r="R185" s="113">
        <v>6838000</v>
      </c>
      <c r="S185" s="113">
        <v>6981000</v>
      </c>
      <c r="T185" s="113">
        <v>5275000</v>
      </c>
      <c r="U185" s="113">
        <v>5934000</v>
      </c>
      <c r="V185" s="113">
        <v>6906000</v>
      </c>
      <c r="W185" s="113">
        <v>7001000</v>
      </c>
      <c r="X185" s="113">
        <v>6707000</v>
      </c>
      <c r="Y185" s="113">
        <v>7148000</v>
      </c>
      <c r="Z185" s="113">
        <v>7593000</v>
      </c>
      <c r="AA185" s="113">
        <v>7244000</v>
      </c>
      <c r="AB185" s="113">
        <v>7687000</v>
      </c>
      <c r="AC185" s="113">
        <v>8774000</v>
      </c>
      <c r="AD185" s="113">
        <v>8988000</v>
      </c>
      <c r="AE185" s="113">
        <v>10739000</v>
      </c>
      <c r="AF185" s="113">
        <v>11325000</v>
      </c>
      <c r="AG185" s="113">
        <v>31349000</v>
      </c>
      <c r="AH185" s="113">
        <v>37887000</v>
      </c>
      <c r="AI185" s="113">
        <v>44406000</v>
      </c>
      <c r="AJ185" s="113">
        <v>65807000</v>
      </c>
      <c r="AK185" s="113">
        <v>46395000</v>
      </c>
      <c r="AL185" s="113">
        <v>43566000</v>
      </c>
    </row>
    <row r="186" spans="2:38">
      <c r="B186" s="28" t="s">
        <v>156</v>
      </c>
      <c r="C186" s="113">
        <f>C185-C184</f>
        <v>2554247</v>
      </c>
      <c r="D186" s="113">
        <f t="shared" ref="D186" si="60">D185-D184</f>
        <v>2164969</v>
      </c>
      <c r="E186" s="113">
        <f t="shared" ref="E186" si="61">E185-E184</f>
        <v>1813383</v>
      </c>
      <c r="F186" s="113">
        <f t="shared" ref="F186" si="62">F185-F184</f>
        <v>1029580</v>
      </c>
      <c r="G186" s="113">
        <f t="shared" ref="G186" si="63">G185-G184</f>
        <v>488194</v>
      </c>
      <c r="H186" s="113">
        <f t="shared" ref="H186" si="64">H185-H184</f>
        <v>1010207</v>
      </c>
      <c r="I186" s="113">
        <f t="shared" ref="I186" si="65">I185-I184</f>
        <v>905585</v>
      </c>
      <c r="J186" s="113">
        <f t="shared" ref="J186" si="66">J185-J184</f>
        <v>1091168</v>
      </c>
      <c r="K186" s="113">
        <f t="shared" ref="K186" si="67">K185-K184</f>
        <v>1088658</v>
      </c>
      <c r="L186" s="113">
        <f t="shared" ref="L186" si="68">L185-L184</f>
        <v>-648207</v>
      </c>
      <c r="M186" s="113">
        <f t="shared" ref="M186" si="69">M185-M184</f>
        <v>601818</v>
      </c>
      <c r="N186" s="113">
        <f t="shared" ref="N186" si="70">N185-N184</f>
        <v>752826</v>
      </c>
      <c r="O186" s="113">
        <f t="shared" ref="O186" si="71">O185-O184</f>
        <v>1468929</v>
      </c>
      <c r="P186" s="113">
        <f t="shared" ref="P186" si="72">P185-P184</f>
        <v>1629348</v>
      </c>
      <c r="Q186" s="113">
        <f t="shared" ref="Q186" si="73">Q185-Q184</f>
        <v>1210030</v>
      </c>
      <c r="R186" s="113">
        <f t="shared" ref="R186" si="74">R185-R184</f>
        <v>1314000</v>
      </c>
      <c r="S186" s="113">
        <f t="shared" ref="S186" si="75">S185-S184</f>
        <v>757000</v>
      </c>
      <c r="T186" s="113">
        <f t="shared" ref="T186" si="76">T185-T184</f>
        <v>-337000</v>
      </c>
      <c r="U186" s="113">
        <f t="shared" ref="U186" si="77">U185-U184</f>
        <v>-784000</v>
      </c>
      <c r="V186" s="113">
        <f t="shared" ref="V186" si="78">V185-V184</f>
        <v>2000</v>
      </c>
      <c r="W186" s="113">
        <f t="shared" ref="W186" si="79">W185-W184</f>
        <v>-7000</v>
      </c>
      <c r="X186" s="113">
        <f t="shared" ref="X186" si="80">X185-X184</f>
        <v>-691000</v>
      </c>
      <c r="Y186" s="113">
        <f t="shared" ref="Y186" si="81">Y185-Y184</f>
        <v>117000</v>
      </c>
      <c r="Z186" s="113">
        <f t="shared" ref="Z186" si="82">Z185-Z184</f>
        <v>267000</v>
      </c>
      <c r="AA186" s="113">
        <f t="shared" ref="AA186" si="83">AA185-AA184</f>
        <v>-413000</v>
      </c>
      <c r="AB186" s="113">
        <f t="shared" ref="AB186" si="84">AB185-AB184</f>
        <v>-205000</v>
      </c>
      <c r="AC186" s="113">
        <f t="shared" ref="AC186" si="85">AC185-AC184</f>
        <v>-380000</v>
      </c>
      <c r="AD186" s="113">
        <f t="shared" ref="AD186" si="86">AD185-AD184</f>
        <v>-559000</v>
      </c>
      <c r="AE186" s="113">
        <f t="shared" ref="AE186" si="87">AE185-AE184</f>
        <v>311000</v>
      </c>
      <c r="AF186" s="113">
        <f t="shared" ref="AF186" si="88">AF185-AF184</f>
        <v>70000</v>
      </c>
      <c r="AG186" s="113">
        <f t="shared" ref="AG186" si="89">AG185-AG184</f>
        <v>406000</v>
      </c>
      <c r="AH186" s="113">
        <f t="shared" ref="AH186" si="90">AH185-AH184</f>
        <v>1031000</v>
      </c>
      <c r="AI186" s="113">
        <f t="shared" ref="AI186" si="91">AI185-AI184</f>
        <v>223000</v>
      </c>
      <c r="AJ186" s="113">
        <f t="shared" ref="AJ186" si="92">AJ185-AJ184</f>
        <v>527000</v>
      </c>
      <c r="AK186" s="113">
        <f t="shared" ref="AK186" si="93">AK185-AK184</f>
        <v>-1414000</v>
      </c>
      <c r="AL186" s="113">
        <f t="shared" ref="AL186" si="94">AL185-AL184</f>
        <v>35000</v>
      </c>
    </row>
    <row r="187" spans="2:38">
      <c r="B187" s="35" t="s">
        <v>332</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row>
    <row r="188" spans="2:38">
      <c r="B188" s="28" t="s">
        <v>496</v>
      </c>
      <c r="C188" s="113">
        <v>1506561</v>
      </c>
      <c r="D188" s="113">
        <v>1807213</v>
      </c>
      <c r="E188" s="113">
        <v>3380329</v>
      </c>
      <c r="F188" s="113">
        <v>2898145</v>
      </c>
      <c r="G188" s="113">
        <v>7089683</v>
      </c>
      <c r="H188" s="113">
        <v>4484228</v>
      </c>
      <c r="I188" s="113">
        <v>5019788</v>
      </c>
      <c r="J188" s="113">
        <v>6578779</v>
      </c>
      <c r="K188" s="113">
        <v>6428927</v>
      </c>
      <c r="L188" s="113">
        <v>7732920</v>
      </c>
      <c r="M188" s="113">
        <v>9733296</v>
      </c>
      <c r="N188" s="113">
        <v>31944588</v>
      </c>
      <c r="O188" s="113">
        <v>18690074</v>
      </c>
      <c r="P188" s="113">
        <v>20069713</v>
      </c>
      <c r="Q188" s="113">
        <v>17644194</v>
      </c>
      <c r="R188" s="113">
        <v>12050000</v>
      </c>
      <c r="S188" s="113">
        <v>8708000</v>
      </c>
      <c r="T188" s="113">
        <v>16139000</v>
      </c>
      <c r="U188" s="113">
        <v>6009000</v>
      </c>
      <c r="V188" s="113">
        <v>7637000</v>
      </c>
      <c r="W188" s="113">
        <v>6143000</v>
      </c>
      <c r="X188" s="113">
        <v>5327000</v>
      </c>
      <c r="Y188" s="113">
        <v>4632000</v>
      </c>
      <c r="Z188" s="113">
        <v>4121000</v>
      </c>
      <c r="AA188" s="113">
        <v>2728000</v>
      </c>
      <c r="AB188" s="113">
        <v>5480000</v>
      </c>
      <c r="AC188" s="113">
        <v>2318000</v>
      </c>
      <c r="AD188" s="113">
        <v>2442000</v>
      </c>
      <c r="AE188" s="113">
        <v>7456000</v>
      </c>
      <c r="AF188" s="113">
        <v>34718000</v>
      </c>
      <c r="AG188" s="113">
        <v>61767000</v>
      </c>
      <c r="AH188" s="113">
        <v>12930000</v>
      </c>
      <c r="AI188" s="113">
        <v>12453000</v>
      </c>
      <c r="AJ188" s="113">
        <v>6944000</v>
      </c>
      <c r="AK188" s="113">
        <v>15143000</v>
      </c>
      <c r="AL188" s="113">
        <v>15670000</v>
      </c>
    </row>
    <row r="189" spans="2:38">
      <c r="B189" s="28" t="s">
        <v>155</v>
      </c>
      <c r="C189" s="113">
        <v>130078</v>
      </c>
      <c r="D189" s="113">
        <v>367028</v>
      </c>
      <c r="E189" s="113">
        <v>454375</v>
      </c>
      <c r="F189" s="113">
        <v>536697</v>
      </c>
      <c r="G189" s="113">
        <v>679910</v>
      </c>
      <c r="H189" s="113">
        <v>644433</v>
      </c>
      <c r="I189" s="113">
        <v>882058</v>
      </c>
      <c r="J189" s="113">
        <v>-139169</v>
      </c>
      <c r="K189" s="113">
        <v>570037</v>
      </c>
      <c r="L189" s="113">
        <v>1499694</v>
      </c>
      <c r="M189" s="113">
        <v>1366035</v>
      </c>
      <c r="N189" s="113">
        <v>1032635</v>
      </c>
      <c r="O189" s="113">
        <v>1135181</v>
      </c>
      <c r="P189" s="113">
        <v>707710</v>
      </c>
      <c r="Q189" s="113">
        <v>1610742</v>
      </c>
      <c r="R189" s="113">
        <v>1090000</v>
      </c>
      <c r="S189" s="113">
        <v>2405000</v>
      </c>
      <c r="T189" s="113">
        <v>1465000</v>
      </c>
      <c r="U189" s="113">
        <v>1574000</v>
      </c>
      <c r="V189" s="113">
        <v>2322000</v>
      </c>
      <c r="W189" s="113">
        <v>2911000</v>
      </c>
      <c r="X189" s="113">
        <v>3427000</v>
      </c>
      <c r="Y189" s="113">
        <v>3772000</v>
      </c>
      <c r="Z189" s="113">
        <v>4071000</v>
      </c>
      <c r="AA189" s="113">
        <v>4126000</v>
      </c>
      <c r="AB189" s="113">
        <v>4119000</v>
      </c>
      <c r="AC189" s="113">
        <v>4580000</v>
      </c>
      <c r="AD189" s="113">
        <v>4834000</v>
      </c>
      <c r="AE189" s="113">
        <v>6143000</v>
      </c>
      <c r="AF189" s="113">
        <v>12100000</v>
      </c>
      <c r="AG189" s="113">
        <v>7155000</v>
      </c>
      <c r="AH189" s="113">
        <v>9535000</v>
      </c>
      <c r="AI189" s="113">
        <v>9811000</v>
      </c>
      <c r="AJ189" s="113">
        <v>22543000</v>
      </c>
      <c r="AK189" s="113">
        <v>12283000</v>
      </c>
      <c r="AL189" s="113">
        <v>10762000</v>
      </c>
    </row>
    <row r="190" spans="2:38">
      <c r="B190" s="28" t="s">
        <v>156</v>
      </c>
      <c r="C190" s="113">
        <f>C189-C188</f>
        <v>-1376483</v>
      </c>
      <c r="D190" s="113">
        <f t="shared" ref="D190:AL190" si="95">D189-D188</f>
        <v>-1440185</v>
      </c>
      <c r="E190" s="113">
        <f t="shared" si="95"/>
        <v>-2925954</v>
      </c>
      <c r="F190" s="113">
        <f t="shared" si="95"/>
        <v>-2361448</v>
      </c>
      <c r="G190" s="113">
        <f t="shared" si="95"/>
        <v>-6409773</v>
      </c>
      <c r="H190" s="113">
        <f t="shared" si="95"/>
        <v>-3839795</v>
      </c>
      <c r="I190" s="113">
        <f t="shared" si="95"/>
        <v>-4137730</v>
      </c>
      <c r="J190" s="113">
        <f t="shared" si="95"/>
        <v>-6717948</v>
      </c>
      <c r="K190" s="113">
        <f t="shared" si="95"/>
        <v>-5858890</v>
      </c>
      <c r="L190" s="113">
        <f t="shared" si="95"/>
        <v>-6233226</v>
      </c>
      <c r="M190" s="113">
        <f t="shared" si="95"/>
        <v>-8367261</v>
      </c>
      <c r="N190" s="113">
        <f t="shared" si="95"/>
        <v>-30911953</v>
      </c>
      <c r="O190" s="113">
        <f t="shared" si="95"/>
        <v>-17554893</v>
      </c>
      <c r="P190" s="113">
        <f t="shared" si="95"/>
        <v>-19362003</v>
      </c>
      <c r="Q190" s="113">
        <f t="shared" si="95"/>
        <v>-16033452</v>
      </c>
      <c r="R190" s="113">
        <f t="shared" si="95"/>
        <v>-10960000</v>
      </c>
      <c r="S190" s="113">
        <f t="shared" si="95"/>
        <v>-6303000</v>
      </c>
      <c r="T190" s="113">
        <f t="shared" si="95"/>
        <v>-14674000</v>
      </c>
      <c r="U190" s="113">
        <f t="shared" si="95"/>
        <v>-4435000</v>
      </c>
      <c r="V190" s="113">
        <f t="shared" si="95"/>
        <v>-5315000</v>
      </c>
      <c r="W190" s="113">
        <f t="shared" si="95"/>
        <v>-3232000</v>
      </c>
      <c r="X190" s="113">
        <f t="shared" si="95"/>
        <v>-1900000</v>
      </c>
      <c r="Y190" s="113">
        <f t="shared" si="95"/>
        <v>-860000</v>
      </c>
      <c r="Z190" s="113">
        <f t="shared" si="95"/>
        <v>-50000</v>
      </c>
      <c r="AA190" s="113">
        <f t="shared" si="95"/>
        <v>1398000</v>
      </c>
      <c r="AB190" s="113">
        <f t="shared" si="95"/>
        <v>-1361000</v>
      </c>
      <c r="AC190" s="113">
        <f t="shared" si="95"/>
        <v>2262000</v>
      </c>
      <c r="AD190" s="113">
        <f t="shared" si="95"/>
        <v>2392000</v>
      </c>
      <c r="AE190" s="113">
        <f t="shared" si="95"/>
        <v>-1313000</v>
      </c>
      <c r="AF190" s="113">
        <f t="shared" si="95"/>
        <v>-22618000</v>
      </c>
      <c r="AG190" s="113">
        <f t="shared" si="95"/>
        <v>-54612000</v>
      </c>
      <c r="AH190" s="113">
        <f t="shared" si="95"/>
        <v>-3395000</v>
      </c>
      <c r="AI190" s="113">
        <f t="shared" si="95"/>
        <v>-2642000</v>
      </c>
      <c r="AJ190" s="113">
        <f t="shared" si="95"/>
        <v>15599000</v>
      </c>
      <c r="AK190" s="113">
        <f t="shared" si="95"/>
        <v>-2860000</v>
      </c>
      <c r="AL190" s="113">
        <f t="shared" si="95"/>
        <v>-4908000</v>
      </c>
    </row>
    <row r="191" spans="2:38">
      <c r="B191" s="35" t="s">
        <v>333</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row>
    <row r="192" spans="2:38">
      <c r="B192" s="28" t="s">
        <v>496</v>
      </c>
      <c r="C192" s="113">
        <v>2354944</v>
      </c>
      <c r="D192" s="113">
        <v>2667024</v>
      </c>
      <c r="E192" s="113">
        <v>3108073</v>
      </c>
      <c r="F192" s="113">
        <v>3386691</v>
      </c>
      <c r="G192" s="113">
        <v>2765337</v>
      </c>
      <c r="H192" s="113">
        <v>3653596</v>
      </c>
      <c r="I192" s="113">
        <v>3944254</v>
      </c>
      <c r="J192" s="113">
        <v>4952576</v>
      </c>
      <c r="K192" s="113">
        <v>3007820</v>
      </c>
      <c r="L192" s="113">
        <v>2187485</v>
      </c>
      <c r="M192" s="113">
        <v>2116346</v>
      </c>
      <c r="N192" s="113">
        <v>2514218</v>
      </c>
      <c r="O192" s="113">
        <v>1889358</v>
      </c>
      <c r="P192" s="113">
        <v>2185277</v>
      </c>
      <c r="Q192" s="113">
        <v>1788445</v>
      </c>
      <c r="R192" s="113">
        <v>1312000</v>
      </c>
      <c r="S192" s="113">
        <v>1243000</v>
      </c>
      <c r="T192" s="113">
        <v>1300000</v>
      </c>
      <c r="U192" s="113">
        <v>940000</v>
      </c>
      <c r="V192" s="113">
        <v>1150000</v>
      </c>
      <c r="W192" s="113">
        <v>1082000</v>
      </c>
      <c r="X192" s="113">
        <v>520000</v>
      </c>
      <c r="Y192" s="113">
        <v>616000</v>
      </c>
      <c r="Z192" s="113">
        <v>389000</v>
      </c>
      <c r="AA192" s="113">
        <v>491000</v>
      </c>
      <c r="AB192" s="113">
        <v>478000</v>
      </c>
      <c r="AC192" s="113">
        <v>637000</v>
      </c>
      <c r="AD192" s="113">
        <v>143000</v>
      </c>
      <c r="AE192" s="113">
        <v>250000</v>
      </c>
      <c r="AF192" s="113">
        <v>207000</v>
      </c>
      <c r="AG192" s="113">
        <v>802000</v>
      </c>
      <c r="AH192" s="113">
        <v>736000</v>
      </c>
      <c r="AI192" s="113">
        <v>252000</v>
      </c>
      <c r="AJ192" s="113">
        <v>264000</v>
      </c>
      <c r="AK192" s="113">
        <v>218000</v>
      </c>
      <c r="AL192" s="113">
        <v>187000</v>
      </c>
    </row>
    <row r="193" spans="2:38">
      <c r="B193" s="28" t="s">
        <v>155</v>
      </c>
      <c r="C193" s="113">
        <v>4190947</v>
      </c>
      <c r="D193" s="113">
        <v>4733246</v>
      </c>
      <c r="E193" s="113">
        <v>4280612</v>
      </c>
      <c r="F193" s="113">
        <v>3964614</v>
      </c>
      <c r="G193" s="113">
        <v>3832935</v>
      </c>
      <c r="H193" s="113">
        <v>3269982</v>
      </c>
      <c r="I193" s="113">
        <v>2777510</v>
      </c>
      <c r="J193" s="113">
        <v>2652590</v>
      </c>
      <c r="K193" s="113">
        <v>2113621</v>
      </c>
      <c r="L193" s="113">
        <v>2234687</v>
      </c>
      <c r="M193" s="113">
        <v>2473782</v>
      </c>
      <c r="N193" s="113">
        <v>2426646</v>
      </c>
      <c r="O193" s="113">
        <v>1770440</v>
      </c>
      <c r="P193" s="113">
        <v>1438646</v>
      </c>
      <c r="Q193" s="113">
        <v>956401</v>
      </c>
      <c r="R193" s="113">
        <v>1259000</v>
      </c>
      <c r="S193" s="113">
        <v>682000</v>
      </c>
      <c r="T193" s="113">
        <v>1185000</v>
      </c>
      <c r="U193" s="113">
        <v>725000</v>
      </c>
      <c r="V193" s="113">
        <v>956000</v>
      </c>
      <c r="W193" s="113">
        <v>348000</v>
      </c>
      <c r="X193" s="113">
        <v>-1251000</v>
      </c>
      <c r="Y193" s="113">
        <v>461000</v>
      </c>
      <c r="Z193" s="113">
        <v>-2886000</v>
      </c>
      <c r="AA193" s="113">
        <v>-1374000</v>
      </c>
      <c r="AB193" s="113">
        <v>-322000</v>
      </c>
      <c r="AC193" s="113">
        <v>-1554000</v>
      </c>
      <c r="AD193" s="113">
        <v>-1222000</v>
      </c>
      <c r="AE193" s="113">
        <v>-351000</v>
      </c>
      <c r="AF193" s="113">
        <v>-155000</v>
      </c>
      <c r="AG193" s="113">
        <v>1064000</v>
      </c>
      <c r="AH193" s="113">
        <v>102000</v>
      </c>
      <c r="AI193" s="113">
        <v>-566000</v>
      </c>
      <c r="AJ193" s="113">
        <v>-340000</v>
      </c>
      <c r="AK193" s="113">
        <v>0</v>
      </c>
      <c r="AL193" s="113">
        <v>163000</v>
      </c>
    </row>
    <row r="194" spans="2:38">
      <c r="B194" s="28" t="s">
        <v>156</v>
      </c>
      <c r="C194" s="113">
        <f>C193-C192</f>
        <v>1836003</v>
      </c>
      <c r="D194" s="113">
        <f t="shared" ref="D194:AL194" si="96">D193-D192</f>
        <v>2066222</v>
      </c>
      <c r="E194" s="113">
        <f t="shared" si="96"/>
        <v>1172539</v>
      </c>
      <c r="F194" s="113">
        <f t="shared" si="96"/>
        <v>577923</v>
      </c>
      <c r="G194" s="113">
        <f t="shared" si="96"/>
        <v>1067598</v>
      </c>
      <c r="H194" s="113">
        <f t="shared" si="96"/>
        <v>-383614</v>
      </c>
      <c r="I194" s="113">
        <f t="shared" si="96"/>
        <v>-1166744</v>
      </c>
      <c r="J194" s="113">
        <f t="shared" si="96"/>
        <v>-2299986</v>
      </c>
      <c r="K194" s="113">
        <f t="shared" si="96"/>
        <v>-894199</v>
      </c>
      <c r="L194" s="113">
        <f t="shared" si="96"/>
        <v>47202</v>
      </c>
      <c r="M194" s="113">
        <f t="shared" si="96"/>
        <v>357436</v>
      </c>
      <c r="N194" s="113">
        <f t="shared" si="96"/>
        <v>-87572</v>
      </c>
      <c r="O194" s="113">
        <f t="shared" si="96"/>
        <v>-118918</v>
      </c>
      <c r="P194" s="113">
        <f t="shared" si="96"/>
        <v>-746631</v>
      </c>
      <c r="Q194" s="113">
        <f t="shared" si="96"/>
        <v>-832044</v>
      </c>
      <c r="R194" s="113">
        <f t="shared" si="96"/>
        <v>-53000</v>
      </c>
      <c r="S194" s="113">
        <f t="shared" si="96"/>
        <v>-561000</v>
      </c>
      <c r="T194" s="113">
        <f t="shared" si="96"/>
        <v>-115000</v>
      </c>
      <c r="U194" s="113">
        <f t="shared" si="96"/>
        <v>-215000</v>
      </c>
      <c r="V194" s="113">
        <f t="shared" si="96"/>
        <v>-194000</v>
      </c>
      <c r="W194" s="113">
        <f t="shared" si="96"/>
        <v>-734000</v>
      </c>
      <c r="X194" s="113">
        <f t="shared" si="96"/>
        <v>-1771000</v>
      </c>
      <c r="Y194" s="113">
        <f t="shared" si="96"/>
        <v>-155000</v>
      </c>
      <c r="Z194" s="113">
        <f t="shared" si="96"/>
        <v>-3275000</v>
      </c>
      <c r="AA194" s="113">
        <f t="shared" si="96"/>
        <v>-1865000</v>
      </c>
      <c r="AB194" s="113">
        <f t="shared" si="96"/>
        <v>-800000</v>
      </c>
      <c r="AC194" s="113">
        <f t="shared" si="96"/>
        <v>-2191000</v>
      </c>
      <c r="AD194" s="113">
        <f t="shared" si="96"/>
        <v>-1365000</v>
      </c>
      <c r="AE194" s="113">
        <f t="shared" si="96"/>
        <v>-601000</v>
      </c>
      <c r="AF194" s="113">
        <f t="shared" si="96"/>
        <v>-362000</v>
      </c>
      <c r="AG194" s="113">
        <f t="shared" si="96"/>
        <v>262000</v>
      </c>
      <c r="AH194" s="113">
        <f t="shared" si="96"/>
        <v>-634000</v>
      </c>
      <c r="AI194" s="113">
        <f t="shared" si="96"/>
        <v>-818000</v>
      </c>
      <c r="AJ194" s="113">
        <f t="shared" si="96"/>
        <v>-604000</v>
      </c>
      <c r="AK194" s="113">
        <f t="shared" si="96"/>
        <v>-218000</v>
      </c>
      <c r="AL194" s="113">
        <f t="shared" si="96"/>
        <v>-24000</v>
      </c>
    </row>
    <row r="195" spans="2:38">
      <c r="B195" s="35" t="s">
        <v>334</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row>
    <row r="196" spans="2:38">
      <c r="B196" s="28" t="s">
        <v>496</v>
      </c>
      <c r="C196" s="113">
        <f>C200-C192-C188-C184-C180</f>
        <v>14874281.000000004</v>
      </c>
      <c r="D196" s="113">
        <f t="shared" ref="D196:AL197" si="97">D200-D192-D188-D184-D180</f>
        <v>20012168</v>
      </c>
      <c r="E196" s="113">
        <f t="shared" si="97"/>
        <v>131017118</v>
      </c>
      <c r="F196" s="113">
        <f t="shared" si="97"/>
        <v>31758873</v>
      </c>
      <c r="G196" s="113">
        <f t="shared" si="97"/>
        <v>43426198</v>
      </c>
      <c r="H196" s="113">
        <f t="shared" si="97"/>
        <v>30727960</v>
      </c>
      <c r="I196" s="113">
        <f t="shared" si="97"/>
        <v>34229918</v>
      </c>
      <c r="J196" s="113">
        <f t="shared" si="97"/>
        <v>37843595</v>
      </c>
      <c r="K196" s="113">
        <f t="shared" si="97"/>
        <v>43397985</v>
      </c>
      <c r="L196" s="113">
        <f t="shared" si="97"/>
        <v>33539635.000000007</v>
      </c>
      <c r="M196" s="113">
        <f t="shared" si="97"/>
        <v>30933857.999999993</v>
      </c>
      <c r="N196" s="113">
        <f t="shared" si="97"/>
        <v>33039057</v>
      </c>
      <c r="O196" s="113">
        <f t="shared" si="97"/>
        <v>30234455.999999993</v>
      </c>
      <c r="P196" s="113">
        <f t="shared" si="97"/>
        <v>28201232</v>
      </c>
      <c r="Q196" s="113">
        <f t="shared" si="97"/>
        <v>23662722</v>
      </c>
      <c r="R196" s="113">
        <f t="shared" si="97"/>
        <v>24739000</v>
      </c>
      <c r="S196" s="113">
        <f t="shared" si="97"/>
        <v>21180000</v>
      </c>
      <c r="T196" s="113">
        <f t="shared" si="97"/>
        <v>17522000</v>
      </c>
      <c r="U196" s="113">
        <f t="shared" si="97"/>
        <v>17073000</v>
      </c>
      <c r="V196" s="113">
        <f t="shared" si="97"/>
        <v>17755000</v>
      </c>
      <c r="W196" s="113">
        <f t="shared" si="97"/>
        <v>19127000</v>
      </c>
      <c r="X196" s="113">
        <f t="shared" si="97"/>
        <v>22896000</v>
      </c>
      <c r="Y196" s="113">
        <f t="shared" si="97"/>
        <v>19914375</v>
      </c>
      <c r="Z196" s="113">
        <f t="shared" si="97"/>
        <v>21571525</v>
      </c>
      <c r="AA196" s="113">
        <f t="shared" si="97"/>
        <v>22086500</v>
      </c>
      <c r="AB196" s="113">
        <f t="shared" si="97"/>
        <v>24209530</v>
      </c>
      <c r="AC196" s="113">
        <f t="shared" si="97"/>
        <v>26993570</v>
      </c>
      <c r="AD196" s="113">
        <f t="shared" si="97"/>
        <v>26094580</v>
      </c>
      <c r="AE196" s="113">
        <f t="shared" si="97"/>
        <v>23116680</v>
      </c>
      <c r="AF196" s="113">
        <f t="shared" si="97"/>
        <v>24353580</v>
      </c>
      <c r="AG196" s="113">
        <f t="shared" si="97"/>
        <v>25391685</v>
      </c>
      <c r="AH196" s="113">
        <f t="shared" si="97"/>
        <v>25498780</v>
      </c>
      <c r="AI196" s="113">
        <f t="shared" si="97"/>
        <v>24283951</v>
      </c>
      <c r="AJ196" s="113">
        <f t="shared" si="97"/>
        <v>29894730</v>
      </c>
      <c r="AK196" s="113">
        <f t="shared" si="97"/>
        <v>18347000</v>
      </c>
      <c r="AL196" s="113">
        <f t="shared" si="97"/>
        <v>23045000</v>
      </c>
    </row>
    <row r="197" spans="2:38">
      <c r="B197" s="28" t="s">
        <v>155</v>
      </c>
      <c r="C197" s="113">
        <f>C201-C193-C189-C185-C181</f>
        <v>19807649.000000004</v>
      </c>
      <c r="D197" s="113">
        <f t="shared" si="97"/>
        <v>25036287</v>
      </c>
      <c r="E197" s="113">
        <f t="shared" si="97"/>
        <v>144807336</v>
      </c>
      <c r="F197" s="113">
        <f t="shared" si="97"/>
        <v>52772073</v>
      </c>
      <c r="G197" s="113">
        <f t="shared" si="97"/>
        <v>57064569</v>
      </c>
      <c r="H197" s="113">
        <f t="shared" si="97"/>
        <v>49962344</v>
      </c>
      <c r="I197" s="113">
        <f t="shared" si="97"/>
        <v>64631804</v>
      </c>
      <c r="J197" s="113">
        <f t="shared" si="97"/>
        <v>68542299</v>
      </c>
      <c r="K197" s="113">
        <f t="shared" si="97"/>
        <v>71503314</v>
      </c>
      <c r="L197" s="113">
        <f t="shared" si="97"/>
        <v>64161780.000000007</v>
      </c>
      <c r="M197" s="113">
        <f t="shared" si="97"/>
        <v>56686129.999999993</v>
      </c>
      <c r="N197" s="113">
        <f t="shared" si="97"/>
        <v>89020886</v>
      </c>
      <c r="O197" s="113">
        <f t="shared" si="97"/>
        <v>68924220</v>
      </c>
      <c r="P197" s="113">
        <f t="shared" si="97"/>
        <v>53238618</v>
      </c>
      <c r="Q197" s="113">
        <f t="shared" si="97"/>
        <v>38576150</v>
      </c>
      <c r="R197" s="113">
        <f t="shared" si="97"/>
        <v>34092000</v>
      </c>
      <c r="S197" s="113">
        <f t="shared" si="97"/>
        <v>26506000</v>
      </c>
      <c r="T197" s="113">
        <f t="shared" si="97"/>
        <v>24232000</v>
      </c>
      <c r="U197" s="113">
        <f t="shared" si="97"/>
        <v>30169000</v>
      </c>
      <c r="V197" s="113">
        <f t="shared" si="97"/>
        <v>38862000</v>
      </c>
      <c r="W197" s="113">
        <f t="shared" si="97"/>
        <v>52600000</v>
      </c>
      <c r="X197" s="113">
        <f t="shared" si="97"/>
        <v>46475000</v>
      </c>
      <c r="Y197" s="113">
        <f t="shared" si="97"/>
        <v>37339375</v>
      </c>
      <c r="Z197" s="113">
        <f t="shared" si="97"/>
        <v>42012525</v>
      </c>
      <c r="AA197" s="113">
        <f t="shared" si="97"/>
        <v>30824500</v>
      </c>
      <c r="AB197" s="113">
        <f t="shared" si="97"/>
        <v>44564530</v>
      </c>
      <c r="AC197" s="113">
        <f t="shared" si="97"/>
        <v>42386570</v>
      </c>
      <c r="AD197" s="113">
        <f t="shared" si="97"/>
        <v>35078580</v>
      </c>
      <c r="AE197" s="113">
        <f t="shared" si="97"/>
        <v>53599680</v>
      </c>
      <c r="AF197" s="113">
        <f t="shared" si="97"/>
        <v>71296580</v>
      </c>
      <c r="AG197" s="113">
        <f t="shared" si="97"/>
        <v>70451685</v>
      </c>
      <c r="AH197" s="113">
        <f t="shared" si="97"/>
        <v>43514780</v>
      </c>
      <c r="AI197" s="113">
        <f t="shared" si="97"/>
        <v>42877951</v>
      </c>
      <c r="AJ197" s="113">
        <f t="shared" si="97"/>
        <v>34446730</v>
      </c>
      <c r="AK197" s="113">
        <f t="shared" si="97"/>
        <v>28062000</v>
      </c>
      <c r="AL197" s="113">
        <f t="shared" si="97"/>
        <v>24652000</v>
      </c>
    </row>
    <row r="198" spans="2:38">
      <c r="B198" s="28" t="s">
        <v>156</v>
      </c>
      <c r="C198" s="113">
        <f>C197-C196</f>
        <v>4933368</v>
      </c>
      <c r="D198" s="113">
        <f t="shared" ref="D198" si="98">D197-D196</f>
        <v>5024119</v>
      </c>
      <c r="E198" s="113">
        <f t="shared" ref="E198" si="99">E197-E196</f>
        <v>13790218</v>
      </c>
      <c r="F198" s="113">
        <f t="shared" ref="F198" si="100">F197-F196</f>
        <v>21013200</v>
      </c>
      <c r="G198" s="113">
        <f t="shared" ref="G198" si="101">G197-G196</f>
        <v>13638371</v>
      </c>
      <c r="H198" s="113">
        <f t="shared" ref="H198" si="102">H197-H196</f>
        <v>19234384</v>
      </c>
      <c r="I198" s="113">
        <f t="shared" ref="I198" si="103">I197-I196</f>
        <v>30401886</v>
      </c>
      <c r="J198" s="113">
        <f t="shared" ref="J198" si="104">J197-J196</f>
        <v>30698704</v>
      </c>
      <c r="K198" s="113">
        <f t="shared" ref="K198" si="105">K197-K196</f>
        <v>28105329</v>
      </c>
      <c r="L198" s="113">
        <f t="shared" ref="L198" si="106">L197-L196</f>
        <v>30622145</v>
      </c>
      <c r="M198" s="113">
        <f t="shared" ref="M198" si="107">M197-M196</f>
        <v>25752272</v>
      </c>
      <c r="N198" s="113">
        <f t="shared" ref="N198" si="108">N197-N196</f>
        <v>55981829</v>
      </c>
      <c r="O198" s="113">
        <f t="shared" ref="O198" si="109">O197-O196</f>
        <v>38689764.000000007</v>
      </c>
      <c r="P198" s="113">
        <f t="shared" ref="P198" si="110">P197-P196</f>
        <v>25037386</v>
      </c>
      <c r="Q198" s="113">
        <f t="shared" ref="Q198" si="111">Q197-Q196</f>
        <v>14913428</v>
      </c>
      <c r="R198" s="113">
        <f t="shared" ref="R198" si="112">R197-R196</f>
        <v>9353000</v>
      </c>
      <c r="S198" s="113">
        <f t="shared" ref="S198" si="113">S197-S196</f>
        <v>5326000</v>
      </c>
      <c r="T198" s="113">
        <f t="shared" ref="T198" si="114">T197-T196</f>
        <v>6710000</v>
      </c>
      <c r="U198" s="113">
        <f t="shared" ref="U198" si="115">U197-U196</f>
        <v>13096000</v>
      </c>
      <c r="V198" s="113">
        <f t="shared" ref="V198" si="116">V197-V196</f>
        <v>21107000</v>
      </c>
      <c r="W198" s="113">
        <f t="shared" ref="W198" si="117">W197-W196</f>
        <v>33473000</v>
      </c>
      <c r="X198" s="113">
        <f t="shared" ref="X198" si="118">X197-X196</f>
        <v>23579000</v>
      </c>
      <c r="Y198" s="113">
        <f t="shared" ref="Y198" si="119">Y197-Y196</f>
        <v>17425000</v>
      </c>
      <c r="Z198" s="113">
        <f t="shared" ref="Z198" si="120">Z197-Z196</f>
        <v>20441000</v>
      </c>
      <c r="AA198" s="113">
        <f t="shared" ref="AA198" si="121">AA197-AA196</f>
        <v>8738000</v>
      </c>
      <c r="AB198" s="113">
        <f t="shared" ref="AB198" si="122">AB197-AB196</f>
        <v>20355000</v>
      </c>
      <c r="AC198" s="113">
        <f t="shared" ref="AC198" si="123">AC197-AC196</f>
        <v>15393000</v>
      </c>
      <c r="AD198" s="113">
        <f t="shared" ref="AD198" si="124">AD197-AD196</f>
        <v>8984000</v>
      </c>
      <c r="AE198" s="113">
        <f t="shared" ref="AE198" si="125">AE197-AE196</f>
        <v>30483000</v>
      </c>
      <c r="AF198" s="113">
        <f t="shared" ref="AF198" si="126">AF197-AF196</f>
        <v>46943000</v>
      </c>
      <c r="AG198" s="113">
        <f t="shared" ref="AG198" si="127">AG197-AG196</f>
        <v>45060000</v>
      </c>
      <c r="AH198" s="113">
        <f t="shared" ref="AH198" si="128">AH197-AH196</f>
        <v>18016000</v>
      </c>
      <c r="AI198" s="113">
        <f t="shared" ref="AI198" si="129">AI197-AI196</f>
        <v>18594000</v>
      </c>
      <c r="AJ198" s="113">
        <f t="shared" ref="AJ198" si="130">AJ197-AJ196</f>
        <v>4552000</v>
      </c>
      <c r="AK198" s="113">
        <f t="shared" ref="AK198" si="131">AK197-AK196</f>
        <v>9715000</v>
      </c>
      <c r="AL198" s="113">
        <f t="shared" ref="AL198" si="132">AL197-AL196</f>
        <v>1607000</v>
      </c>
    </row>
    <row r="199" spans="2:38">
      <c r="B199" s="35" t="s">
        <v>161</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row>
    <row r="200" spans="2:38">
      <c r="B200" s="28" t="s">
        <v>497</v>
      </c>
      <c r="C200" s="113">
        <v>41481354</v>
      </c>
      <c r="D200" s="113">
        <v>49474140</v>
      </c>
      <c r="E200" s="113">
        <v>165526312</v>
      </c>
      <c r="F200" s="113">
        <v>67377819</v>
      </c>
      <c r="G200" s="113">
        <v>84649508</v>
      </c>
      <c r="H200" s="113">
        <v>72834586</v>
      </c>
      <c r="I200" s="113">
        <v>79363220</v>
      </c>
      <c r="J200" s="113">
        <v>87481202</v>
      </c>
      <c r="K200" s="113">
        <v>94650631</v>
      </c>
      <c r="L200" s="113">
        <v>88222874</v>
      </c>
      <c r="M200" s="113">
        <v>89271280</v>
      </c>
      <c r="N200" s="113">
        <v>117828681</v>
      </c>
      <c r="O200" s="113">
        <v>103993821</v>
      </c>
      <c r="P200" s="113">
        <v>104562866</v>
      </c>
      <c r="Q200" s="113">
        <v>99009239</v>
      </c>
      <c r="R200" s="113">
        <v>98437000</v>
      </c>
      <c r="S200" s="113">
        <v>94193000</v>
      </c>
      <c r="T200" s="113">
        <v>99228000</v>
      </c>
      <c r="U200" s="113">
        <v>91622000</v>
      </c>
      <c r="V200" s="113">
        <v>96389000</v>
      </c>
      <c r="W200" s="113">
        <v>97941000</v>
      </c>
      <c r="X200" s="113">
        <v>102010000</v>
      </c>
      <c r="Y200" s="113">
        <v>98881375</v>
      </c>
      <c r="Z200" s="113">
        <v>102171525</v>
      </c>
      <c r="AA200" s="113">
        <v>101814500</v>
      </c>
      <c r="AB200" s="113">
        <v>108007530</v>
      </c>
      <c r="AC200" s="113">
        <v>110540570</v>
      </c>
      <c r="AD200" s="113">
        <v>113199580</v>
      </c>
      <c r="AE200" s="113">
        <v>117386680</v>
      </c>
      <c r="AF200" s="113">
        <v>140475580</v>
      </c>
      <c r="AG200" s="113">
        <v>188088685</v>
      </c>
      <c r="AH200" s="113">
        <v>143611780</v>
      </c>
      <c r="AI200" s="113">
        <v>147492951</v>
      </c>
      <c r="AJ200" s="113">
        <v>175654730</v>
      </c>
      <c r="AK200" s="113">
        <v>154495000</v>
      </c>
      <c r="AL200" s="113">
        <v>156865000</v>
      </c>
    </row>
    <row r="201" spans="2:38">
      <c r="B201" s="28" t="s">
        <v>155</v>
      </c>
      <c r="C201" s="113">
        <v>50674040</v>
      </c>
      <c r="D201" s="113">
        <v>58720988</v>
      </c>
      <c r="E201" s="113">
        <v>179530644</v>
      </c>
      <c r="F201" s="113">
        <v>88748368</v>
      </c>
      <c r="G201" s="113">
        <v>94672726</v>
      </c>
      <c r="H201" s="113">
        <v>90206868</v>
      </c>
      <c r="I201" s="113">
        <v>106124302</v>
      </c>
      <c r="J201" s="113">
        <v>111845769</v>
      </c>
      <c r="K201" s="113">
        <v>119320994</v>
      </c>
      <c r="L201" s="113">
        <v>112137586</v>
      </c>
      <c r="M201" s="113">
        <v>109731221</v>
      </c>
      <c r="N201" s="113">
        <v>145391804</v>
      </c>
      <c r="O201" s="113">
        <v>127647979</v>
      </c>
      <c r="P201" s="113">
        <v>112722597</v>
      </c>
      <c r="Q201" s="113">
        <v>99500340</v>
      </c>
      <c r="R201" s="113">
        <v>96252000</v>
      </c>
      <c r="S201" s="113">
        <v>93354000</v>
      </c>
      <c r="T201" s="113">
        <v>90889000</v>
      </c>
      <c r="U201" s="113">
        <v>99587000</v>
      </c>
      <c r="V201" s="113">
        <v>113039000</v>
      </c>
      <c r="W201" s="113">
        <v>129570000</v>
      </c>
      <c r="X201" s="113">
        <v>123622000</v>
      </c>
      <c r="Y201" s="113">
        <v>115615375</v>
      </c>
      <c r="Z201" s="113">
        <v>114385525</v>
      </c>
      <c r="AA201" s="113">
        <v>105602500</v>
      </c>
      <c r="AB201" s="113">
        <v>124773530</v>
      </c>
      <c r="AC201" s="113">
        <v>124653570</v>
      </c>
      <c r="AD201" s="113">
        <v>127848580</v>
      </c>
      <c r="AE201" s="113">
        <v>148792680</v>
      </c>
      <c r="AF201" s="113">
        <v>164930580</v>
      </c>
      <c r="AG201" s="113">
        <v>184022685</v>
      </c>
      <c r="AH201" s="113">
        <v>159538780</v>
      </c>
      <c r="AI201" s="113">
        <v>165593951</v>
      </c>
      <c r="AJ201" s="113">
        <v>193889730</v>
      </c>
      <c r="AK201" s="113">
        <v>157265000</v>
      </c>
      <c r="AL201" s="113">
        <v>151965000</v>
      </c>
    </row>
    <row r="202" spans="2:38">
      <c r="B202" s="28" t="s">
        <v>156</v>
      </c>
      <c r="C202" s="113">
        <f>C201-C200</f>
        <v>9192686</v>
      </c>
      <c r="D202" s="113">
        <f t="shared" ref="D202:AL202" si="133">D201-D200</f>
        <v>9246848</v>
      </c>
      <c r="E202" s="113">
        <f t="shared" si="133"/>
        <v>14004332</v>
      </c>
      <c r="F202" s="113">
        <f t="shared" si="133"/>
        <v>21370549</v>
      </c>
      <c r="G202" s="113">
        <f t="shared" si="133"/>
        <v>10023218</v>
      </c>
      <c r="H202" s="113">
        <f t="shared" si="133"/>
        <v>17372282</v>
      </c>
      <c r="I202" s="113">
        <f t="shared" si="133"/>
        <v>26761082</v>
      </c>
      <c r="J202" s="113">
        <f t="shared" si="133"/>
        <v>24364567</v>
      </c>
      <c r="K202" s="113">
        <f t="shared" si="133"/>
        <v>24670363</v>
      </c>
      <c r="L202" s="113">
        <f t="shared" si="133"/>
        <v>23914712</v>
      </c>
      <c r="M202" s="113">
        <f t="shared" si="133"/>
        <v>20459941</v>
      </c>
      <c r="N202" s="113">
        <f t="shared" si="133"/>
        <v>27563123</v>
      </c>
      <c r="O202" s="113">
        <f t="shared" si="133"/>
        <v>23654158</v>
      </c>
      <c r="P202" s="113">
        <f t="shared" si="133"/>
        <v>8159731</v>
      </c>
      <c r="Q202" s="113">
        <f t="shared" si="133"/>
        <v>491101</v>
      </c>
      <c r="R202" s="113">
        <f t="shared" si="133"/>
        <v>-2185000</v>
      </c>
      <c r="S202" s="113">
        <f t="shared" si="133"/>
        <v>-839000</v>
      </c>
      <c r="T202" s="113">
        <f t="shared" si="133"/>
        <v>-8339000</v>
      </c>
      <c r="U202" s="113">
        <f t="shared" si="133"/>
        <v>7965000</v>
      </c>
      <c r="V202" s="113">
        <f t="shared" si="133"/>
        <v>16650000</v>
      </c>
      <c r="W202" s="113">
        <f t="shared" si="133"/>
        <v>31629000</v>
      </c>
      <c r="X202" s="113">
        <f t="shared" si="133"/>
        <v>21612000</v>
      </c>
      <c r="Y202" s="113">
        <f t="shared" si="133"/>
        <v>16734000</v>
      </c>
      <c r="Z202" s="113">
        <f t="shared" si="133"/>
        <v>12214000</v>
      </c>
      <c r="AA202" s="113">
        <f t="shared" si="133"/>
        <v>3788000</v>
      </c>
      <c r="AB202" s="113">
        <f t="shared" si="133"/>
        <v>16766000</v>
      </c>
      <c r="AC202" s="113">
        <f t="shared" si="133"/>
        <v>14113000</v>
      </c>
      <c r="AD202" s="113">
        <f t="shared" si="133"/>
        <v>14649000</v>
      </c>
      <c r="AE202" s="113">
        <f t="shared" si="133"/>
        <v>31406000</v>
      </c>
      <c r="AF202" s="113">
        <f t="shared" si="133"/>
        <v>24455000</v>
      </c>
      <c r="AG202" s="113">
        <f t="shared" si="133"/>
        <v>-4066000</v>
      </c>
      <c r="AH202" s="113">
        <f t="shared" si="133"/>
        <v>15927000</v>
      </c>
      <c r="AI202" s="113">
        <f t="shared" si="133"/>
        <v>18101000</v>
      </c>
      <c r="AJ202" s="113">
        <f t="shared" si="133"/>
        <v>18235000</v>
      </c>
      <c r="AK202" s="113">
        <f t="shared" si="133"/>
        <v>2770000</v>
      </c>
      <c r="AL202" s="113">
        <f t="shared" si="133"/>
        <v>-4900000</v>
      </c>
    </row>
    <row r="203" spans="2:38">
      <c r="B203" s="28"/>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row>
    <row r="204" spans="2:38">
      <c r="B204" s="30" t="s">
        <v>141</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row>
    <row r="205" spans="2:38">
      <c r="B205" s="28"/>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row>
    <row r="206" spans="2:38">
      <c r="B206" s="27" t="s">
        <v>139</v>
      </c>
      <c r="C206" s="113">
        <v>61772099</v>
      </c>
      <c r="D206" s="113">
        <v>126793870</v>
      </c>
      <c r="E206" s="113">
        <v>137718348</v>
      </c>
      <c r="F206" s="113">
        <v>147536115</v>
      </c>
      <c r="G206" s="113">
        <v>156453716</v>
      </c>
      <c r="H206" s="113">
        <v>171280143</v>
      </c>
      <c r="I206" s="113">
        <v>181858635</v>
      </c>
      <c r="J206" s="113">
        <v>193010667</v>
      </c>
      <c r="K206" s="113">
        <v>207850309</v>
      </c>
      <c r="L206" s="113">
        <v>222755347</v>
      </c>
      <c r="M206" s="113">
        <v>252207212</v>
      </c>
      <c r="N206" s="113">
        <v>276782482</v>
      </c>
      <c r="O206" s="113">
        <v>317502585</v>
      </c>
      <c r="P206" s="113">
        <v>343899563</v>
      </c>
      <c r="Q206" s="113">
        <v>372604504</v>
      </c>
      <c r="R206" s="113">
        <v>401590000</v>
      </c>
      <c r="S206" s="113">
        <v>419628000</v>
      </c>
      <c r="T206" s="113">
        <v>448067000</v>
      </c>
      <c r="U206" s="113">
        <v>461001000</v>
      </c>
      <c r="V206" s="113">
        <v>470820000</v>
      </c>
      <c r="W206" s="113">
        <v>501898000</v>
      </c>
      <c r="X206" s="113">
        <v>553544000</v>
      </c>
      <c r="Y206" s="113">
        <v>603951000</v>
      </c>
      <c r="Z206" s="113">
        <v>660982000</v>
      </c>
      <c r="AA206" s="113">
        <v>716721000</v>
      </c>
      <c r="AB206" s="113">
        <v>770782000</v>
      </c>
      <c r="AC206" s="113">
        <v>838300000</v>
      </c>
      <c r="AD206" s="113">
        <v>883963000</v>
      </c>
      <c r="AE206" s="113">
        <v>924444000</v>
      </c>
      <c r="AF206" s="113">
        <v>1047688000</v>
      </c>
      <c r="AG206" s="113">
        <v>1120514000</v>
      </c>
      <c r="AH206" s="113">
        <v>1165724000</v>
      </c>
      <c r="AI206" s="113">
        <v>1122326000</v>
      </c>
      <c r="AJ206" s="113">
        <v>1182696000</v>
      </c>
      <c r="AK206" s="113">
        <v>1255703000</v>
      </c>
      <c r="AL206" s="113">
        <v>1255703001</v>
      </c>
    </row>
    <row r="207" spans="2:38">
      <c r="B207" s="27" t="s">
        <v>238</v>
      </c>
      <c r="C207" s="113">
        <v>6723273</v>
      </c>
      <c r="D207" s="113">
        <v>18478408</v>
      </c>
      <c r="E207" s="113">
        <v>15879834</v>
      </c>
      <c r="F207" s="113">
        <v>13460539</v>
      </c>
      <c r="G207" s="113">
        <v>14467551</v>
      </c>
      <c r="H207" s="113">
        <v>16128236</v>
      </c>
      <c r="I207" s="113">
        <v>15900865</v>
      </c>
      <c r="J207" s="113">
        <v>12497517</v>
      </c>
      <c r="K207" s="113">
        <v>14271832</v>
      </c>
      <c r="L207" s="113">
        <v>20010677</v>
      </c>
      <c r="M207" s="113">
        <v>21456890</v>
      </c>
      <c r="N207" s="113">
        <v>23198059</v>
      </c>
      <c r="O207" s="113">
        <v>19638798</v>
      </c>
      <c r="P207" s="113">
        <v>28036254</v>
      </c>
      <c r="Q207" s="113">
        <v>9358671</v>
      </c>
      <c r="R207" s="113">
        <v>28387000</v>
      </c>
      <c r="S207" s="113">
        <v>22820000</v>
      </c>
      <c r="T207" s="113">
        <v>22366000</v>
      </c>
      <c r="U207" s="113">
        <v>20303000</v>
      </c>
      <c r="V207" s="113">
        <v>13724000</v>
      </c>
      <c r="W207" s="113">
        <v>12056000</v>
      </c>
      <c r="X207" s="113">
        <v>8065000</v>
      </c>
      <c r="Y207" s="113">
        <v>26027000</v>
      </c>
      <c r="Z207" s="113">
        <v>39572000</v>
      </c>
      <c r="AA207" s="113">
        <v>45650000</v>
      </c>
      <c r="AB207" s="113">
        <v>63660000</v>
      </c>
      <c r="AC207" s="113">
        <v>121521000</v>
      </c>
      <c r="AD207" s="113">
        <v>43613000</v>
      </c>
      <c r="AE207" s="113">
        <v>36085000</v>
      </c>
      <c r="AF207" s="113">
        <v>-56566000</v>
      </c>
      <c r="AG207" s="113">
        <v>-5631000</v>
      </c>
      <c r="AH207" s="113">
        <v>-72937000</v>
      </c>
      <c r="AI207" s="113">
        <v>-34047000</v>
      </c>
      <c r="AJ207" s="113">
        <v>-70097000</v>
      </c>
      <c r="AK207" s="113">
        <v>-6442000</v>
      </c>
      <c r="AL207" s="113">
        <v>-6441999</v>
      </c>
    </row>
    <row r="208" spans="2:38">
      <c r="B208" s="27" t="s">
        <v>140</v>
      </c>
      <c r="C208" s="113">
        <v>1669867</v>
      </c>
      <c r="D208" s="113">
        <v>77817445</v>
      </c>
      <c r="E208" s="113">
        <v>80010650</v>
      </c>
      <c r="F208" s="113">
        <v>81128473</v>
      </c>
      <c r="G208" s="113">
        <v>71806829</v>
      </c>
      <c r="H208" s="113">
        <v>96954571</v>
      </c>
      <c r="I208" s="113">
        <v>88229061</v>
      </c>
      <c r="J208" s="113">
        <v>82316566</v>
      </c>
      <c r="K208" s="113">
        <v>82790900</v>
      </c>
      <c r="L208" s="113">
        <v>89947250</v>
      </c>
      <c r="M208" s="113">
        <v>91039856</v>
      </c>
      <c r="N208" s="113">
        <v>102266816</v>
      </c>
      <c r="O208" s="113">
        <v>113269447</v>
      </c>
      <c r="P208" s="113">
        <v>125690183</v>
      </c>
      <c r="Q208" s="113">
        <v>115629625</v>
      </c>
      <c r="R208" s="113">
        <v>124778000</v>
      </c>
      <c r="S208" s="113">
        <v>114928000</v>
      </c>
      <c r="T208" s="113">
        <v>119120000</v>
      </c>
      <c r="U208" s="113">
        <v>132415000</v>
      </c>
      <c r="V208" s="113">
        <v>147457000</v>
      </c>
      <c r="W208" s="113">
        <v>161409000</v>
      </c>
      <c r="X208" s="113">
        <v>159248000</v>
      </c>
      <c r="Y208" s="113">
        <v>175904000</v>
      </c>
      <c r="Z208" s="113">
        <v>197304000</v>
      </c>
      <c r="AA208" s="113">
        <v>211515000</v>
      </c>
      <c r="AB208" s="113">
        <v>225558000</v>
      </c>
      <c r="AC208" s="113">
        <v>251999000</v>
      </c>
      <c r="AD208" s="113">
        <v>217357000</v>
      </c>
      <c r="AE208" s="113">
        <v>230697000</v>
      </c>
      <c r="AF208" s="113">
        <v>250946000</v>
      </c>
      <c r="AG208" s="113">
        <v>308657000</v>
      </c>
      <c r="AH208" s="113">
        <v>274412000</v>
      </c>
      <c r="AI208" s="113">
        <v>257958000</v>
      </c>
      <c r="AJ208" s="113">
        <v>249504000</v>
      </c>
      <c r="AK208" s="113">
        <v>250419000</v>
      </c>
      <c r="AL208" s="113">
        <v>250419001</v>
      </c>
    </row>
    <row r="209" spans="2:45">
      <c r="B209" s="24"/>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row>
    <row r="210" spans="2:45">
      <c r="B210" s="30" t="s">
        <v>252</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S210" s="71"/>
    </row>
    <row r="211" spans="2:45">
      <c r="B211" s="27" t="s">
        <v>253</v>
      </c>
      <c r="C211" s="113">
        <f>SUMIFS('Federal Data'!M2:M501,'Federal Data'!$F2:$F501,"Contributions to Government Retirement and Disability Fund",'Federal Data'!$D2:$D501,"Nongrant")</f>
        <v>-14388585</v>
      </c>
      <c r="D211" s="113">
        <f>SUMIFS('Federal Data'!N2:N501,'Federal Data'!$F2:$F501,"Contributions to Government Retirement and Disability Fund",'Federal Data'!$D2:$D501,"Nongrant")</f>
        <v>-16141176</v>
      </c>
      <c r="E211" s="113">
        <f>SUMIFS('Federal Data'!O2:O501,'Federal Data'!$F2:$F501,"Contributions to Government Retirement and Disability Fund",'Federal Data'!$D2:$D501,"Nongrant")</f>
        <v>-17806303</v>
      </c>
      <c r="F211" s="113">
        <f>SUMIFS('Federal Data'!P2:P501,'Federal Data'!$F2:$F501,"Contributions to Government Retirement and Disability Fund",'Federal Data'!$D2:$D501,"Nongrant")</f>
        <v>-20652280</v>
      </c>
      <c r="G211" s="113">
        <f>SUMIFS('Federal Data'!Q2:Q501,'Federal Data'!$F2:$F501,"Contributions to Government Retirement and Disability Fund",'Federal Data'!$D2:$D501,"Nongrant")</f>
        <v>-21913457</v>
      </c>
      <c r="H211" s="113">
        <f>SUMIFS('Federal Data'!R2:R501,'Federal Data'!$F2:$F501,"Contributions to Government Retirement and Disability Fund",'Federal Data'!$D2:$D501,"Nongrant")</f>
        <v>-23198583</v>
      </c>
      <c r="I211" s="113">
        <f>SUMIFS('Federal Data'!S2:S501,'Federal Data'!$F2:$F501,"Contributions to Government Retirement and Disability Fund",'Federal Data'!$D2:$D501,"Nongrant")</f>
        <v>-23830209</v>
      </c>
      <c r="J211" s="113">
        <f>SUMIFS('Federal Data'!T2:T501,'Federal Data'!$F2:$F501,"Contributions to Government Retirement and Disability Fund",'Federal Data'!$D2:$D501,"Nongrant")</f>
        <v>-25559200</v>
      </c>
      <c r="K211" s="113">
        <f>SUMIFS('Federal Data'!U2:U501,'Federal Data'!$F2:$F501,"Contributions to Government Retirement and Disability Fund",'Federal Data'!$D2:$D501,"Nongrant")</f>
        <v>-27543842</v>
      </c>
      <c r="L211" s="113">
        <f>SUMIFS('Federal Data'!V2:V501,'Federal Data'!$F2:$F501,"Contributions to Government Retirement and Disability Fund",'Federal Data'!$D2:$D501,"Nongrant")</f>
        <v>-27838466</v>
      </c>
      <c r="M211" s="113">
        <f>SUMIFS('Federal Data'!W2:W501,'Federal Data'!$F2:$F501,"Contributions to Government Retirement and Disability Fund",'Federal Data'!$D2:$D501,"Nongrant")</f>
        <v>-26498406</v>
      </c>
      <c r="N211" s="113">
        <f>SUMIFS('Federal Data'!X2:X501,'Federal Data'!$F2:$F501,"Contributions to Government Retirement and Disability Fund",'Federal Data'!$D2:$D501,"Nongrant")</f>
        <v>-28679189</v>
      </c>
      <c r="O211" s="113">
        <f>SUMIFS('Federal Data'!Y2:Y501,'Federal Data'!$F2:$F501,"Contributions to Government Retirement and Disability Fund",'Federal Data'!$D2:$D501,"Nongrant")</f>
        <v>-28804719</v>
      </c>
      <c r="P211" s="113">
        <f>SUMIFS('Federal Data'!Z2:Z501,'Federal Data'!$F2:$F501,"Contributions to Government Retirement and Disability Fund",'Federal Data'!$D2:$D501,"Nongrant")</f>
        <v>-26231465</v>
      </c>
      <c r="Q211" s="113">
        <f>SUMIFS('Federal Data'!AA2:AA501,'Federal Data'!$F2:$F501,"Contributions to Government Retirement and Disability Fund",'Federal Data'!$D2:$D501,"Nongrant")</f>
        <v>-26337981</v>
      </c>
      <c r="R211" s="113">
        <f>SUMIFS('Federal Data'!AB2:AB501,'Federal Data'!$F2:$F501,"Contributions to Government Retirement and Disability Fund",'Federal Data'!$D2:$D501,"Nongrant")</f>
        <v>-25865000</v>
      </c>
      <c r="S211" s="113">
        <f>SUMIFS('Federal Data'!AC2:AC501,'Federal Data'!$F2:$F501,"Contributions to Government Retirement and Disability Fund",'Federal Data'!$D2:$D501,"Nongrant")</f>
        <v>-25260000</v>
      </c>
      <c r="T211" s="113">
        <f>SUMIFS('Federal Data'!AD2:AD501,'Federal Data'!$F2:$F501,"Contributions to Government Retirement and Disability Fund",'Federal Data'!$D2:$D501,"Nongrant")</f>
        <v>-25678000</v>
      </c>
      <c r="U211" s="113">
        <f>SUMIFS('Federal Data'!AE2:AE501,'Federal Data'!$F2:$F501,"Contributions to Government Retirement and Disability Fund",'Federal Data'!$D2:$D501,"Nongrant")</f>
        <v>-25670000</v>
      </c>
      <c r="V211" s="113">
        <f>SUMIFS('Federal Data'!AF2:AF501,'Federal Data'!$F2:$F501,"Contributions to Government Retirement and Disability Fund",'Federal Data'!$D2:$D501,"Nongrant")</f>
        <v>-25968000</v>
      </c>
      <c r="W211" s="113">
        <f>SUMIFS('Federal Data'!AG2:AG501,'Federal Data'!$F2:$F501,"Contributions to Government Retirement and Disability Fund",'Federal Data'!$D2:$D501,"Nongrant")</f>
        <v>-27595000</v>
      </c>
      <c r="X211" s="113">
        <f>SUMIFS('Federal Data'!AH2:AH501,'Federal Data'!$F2:$F501,"Contributions to Government Retirement and Disability Fund",'Federal Data'!$D2:$D501,"Nongrant")</f>
        <v>-28190000</v>
      </c>
      <c r="Y211" s="113">
        <f>SUMIFS('Federal Data'!AI2:AI501,'Federal Data'!$F2:$F501,"Contributions to Government Retirement and Disability Fund",'Federal Data'!$D2:$D501,"Nongrant")</f>
        <v>-30576000</v>
      </c>
      <c r="Z211" s="113">
        <f>SUMIFS('Federal Data'!AJ2:AJ501,'Federal Data'!$F2:$F501,"Contributions to Government Retirement and Disability Fund",'Federal Data'!$D2:$D501,"Nongrant")</f>
        <v>-36702000</v>
      </c>
      <c r="AA211" s="113">
        <f>SUMIFS('Federal Data'!AK2:AK501,'Federal Data'!$F2:$F501,"Contributions to Government Retirement and Disability Fund",'Federal Data'!$D2:$D501,"Nongrant")</f>
        <v>-39580000</v>
      </c>
      <c r="AB211" s="113">
        <f>SUMIFS('Federal Data'!AL2:AL501,'Federal Data'!$F2:$F501,"Contributions to Government Retirement and Disability Fund",'Federal Data'!$D2:$D501,"Nongrant")</f>
        <v>-44675000</v>
      </c>
      <c r="AC211" s="113">
        <f>SUMIFS('Federal Data'!AM2:AM501,'Federal Data'!$F2:$F501,"Contributions to Government Retirement and Disability Fund",'Federal Data'!$D2:$D501,"Nongrant")</f>
        <v>-45827000</v>
      </c>
      <c r="AD211" s="113">
        <f>SUMIFS('Federal Data'!AN2:AN501,'Federal Data'!$F2:$F501,"Contributions to Government Retirement and Disability Fund",'Federal Data'!$D2:$D501,"Nongrant")</f>
        <v>-54296000</v>
      </c>
      <c r="AE211" s="113">
        <f>SUMIFS('Federal Data'!AO2:AO501,'Federal Data'!$F2:$F501,"Contributions to Government Retirement and Disability Fund",'Federal Data'!$D2:$D501,"Nongrant")</f>
        <v>-54931000</v>
      </c>
      <c r="AF211" s="113">
        <f>SUMIFS('Federal Data'!AP2:AP501,'Federal Data'!$F2:$F501,"Contributions to Government Retirement and Disability Fund",'Federal Data'!$D2:$D501,"Nongrant")</f>
        <v>-53896000</v>
      </c>
      <c r="AG211" s="113">
        <f>SUMIFS('Federal Data'!AQ2:AQ501,'Federal Data'!$F2:$F501,"Contributions to Government Retirement and Disability Fund",'Federal Data'!$D2:$D501,"Nongrant")</f>
        <v>-63558000</v>
      </c>
      <c r="AH211" s="113">
        <f>SUMIFS('Federal Data'!AR2:AR501,'Federal Data'!$F2:$F501,"Contributions to Government Retirement and Disability Fund",'Federal Data'!$D2:$D501,"Nongrant")</f>
        <v>-60556000</v>
      </c>
      <c r="AI211" s="113">
        <f>SUMIFS('Federal Data'!AS2:AS501,'Federal Data'!$F2:$F501,"Contributions to Government Retirement and Disability Fund",'Federal Data'!$D2:$D501,"Nongrant")</f>
        <v>-64254000</v>
      </c>
      <c r="AJ211" s="113">
        <f>SUMIFS('Federal Data'!AT2:AT501,'Federal Data'!$F2:$F501,"Contributions to Government Retirement and Disability Fund",'Federal Data'!$D2:$D501,"Nongrant")</f>
        <v>-60977000</v>
      </c>
      <c r="AK211" s="113">
        <f>SUMIFS('Federal Data'!AU2:AU501,'Federal Data'!$F2:$F501,"Contributions to Government Retirement and Disability Fund",'Federal Data'!$D2:$D501,"Nongrant")</f>
        <v>-59560000</v>
      </c>
      <c r="AL211" s="113">
        <f>SUMIFS('Federal Data'!AV2:AV501,'Federal Data'!$F2:$F501,"Contributions to Government Retirement and Disability Fund",'Federal Data'!$D2:$D501,"Nongrant")</f>
        <v>-61039000</v>
      </c>
    </row>
    <row r="212" spans="2:45">
      <c r="B212" s="27" t="s">
        <v>254</v>
      </c>
      <c r="C212" s="113">
        <f>SUMIFS('Federal Data'!M2:M501,'Federal Data'!$F2:$F501,"Employee Contributions for Retirement and DIsability")</f>
        <v>-3718733</v>
      </c>
      <c r="D212" s="113">
        <f>SUMIFS('Federal Data'!N2:N501,'Federal Data'!$F2:$F501,"Employee Contributions for Retirement and DIsability")</f>
        <v>-3984418</v>
      </c>
      <c r="E212" s="113">
        <f>SUMIFS('Federal Data'!O2:O501,'Federal Data'!$F2:$F501,"Employee Contributions for Retirement and DIsability")</f>
        <v>-4211749</v>
      </c>
      <c r="F212" s="113">
        <f>SUMIFS('Federal Data'!P2:P501,'Federal Data'!$F2:$F501,"Employee Contributions for Retirement and DIsability")</f>
        <v>-4428709</v>
      </c>
      <c r="G212" s="113">
        <f>SUMIFS('Federal Data'!Q2:Q501,'Federal Data'!$F2:$F501,"Employee Contributions for Retirement and DIsability")</f>
        <v>-4580301</v>
      </c>
      <c r="H212" s="113">
        <f>SUMIFS('Federal Data'!R2:R501,'Federal Data'!$F2:$F501,"Employee Contributions for Retirement and DIsability")</f>
        <v>-4758886</v>
      </c>
      <c r="I212" s="113">
        <f>SUMIFS('Federal Data'!S2:S501,'Federal Data'!$F2:$F501,"Employee Contributions for Retirement and DIsability")</f>
        <v>-4741637</v>
      </c>
      <c r="J212" s="113">
        <f>SUMIFS('Federal Data'!T2:T501,'Federal Data'!$F2:$F501,"Employee Contributions for Retirement and DIsability")</f>
        <v>-4714948</v>
      </c>
      <c r="K212" s="113">
        <f>SUMIFS('Federal Data'!U2:U501,'Federal Data'!$F2:$F501,"Employee Contributions for Retirement and DIsability")</f>
        <v>-4658432</v>
      </c>
      <c r="L212" s="113">
        <f>SUMIFS('Federal Data'!V2:V501,'Federal Data'!$F2:$F501,"Employee Contributions for Retirement and DIsability")</f>
        <v>-4546152</v>
      </c>
      <c r="M212" s="113">
        <f>SUMIFS('Federal Data'!W2:W501,'Federal Data'!$F2:$F501,"Employee Contributions for Retirement and DIsability")</f>
        <v>-4521568</v>
      </c>
      <c r="N212" s="113">
        <f>SUMIFS('Federal Data'!X2:X501,'Federal Data'!$F2:$F501,"Employee Contributions for Retirement and DIsability")</f>
        <v>-4567576</v>
      </c>
      <c r="O212" s="113">
        <f>SUMIFS('Federal Data'!Y2:Y501,'Federal Data'!$F2:$F501,"Employee Contributions for Retirement and DIsability")</f>
        <v>-4788098</v>
      </c>
      <c r="P212" s="113">
        <f>SUMIFS('Federal Data'!Z2:Z501,'Federal Data'!$F2:$F501,"Employee Contributions for Retirement and DIsability")</f>
        <v>-4804587</v>
      </c>
      <c r="Q212" s="113">
        <f>SUMIFS('Federal Data'!AA2:AA501,'Federal Data'!$F2:$F501,"Employee Contributions for Retirement and DIsability")</f>
        <v>-4660949</v>
      </c>
      <c r="R212" s="113">
        <f>SUMIFS('Federal Data'!AB2:AB501,'Federal Data'!$F2:$F501,"Employee Contributions for Retirement and DIsability")</f>
        <v>-4550000</v>
      </c>
      <c r="S212" s="113">
        <f>SUMIFS('Federal Data'!AC2:AC501,'Federal Data'!$F2:$F501,"Employee Contributions for Retirement and DIsability")</f>
        <v>-4469000</v>
      </c>
      <c r="T212" s="113">
        <f>SUMIFS('Federal Data'!AD2:AD501,'Federal Data'!$F2:$F501,"Employee Contributions for Retirement and DIsability")</f>
        <v>-4418000</v>
      </c>
      <c r="U212" s="113">
        <f>SUMIFS('Federal Data'!AE2:AE501,'Federal Data'!$F2:$F501,"Employee Contributions for Retirement and DIsability")</f>
        <v>-4333000</v>
      </c>
      <c r="V212" s="113">
        <f>SUMIFS('Federal Data'!AF2:AF501,'Federal Data'!$F2:$F501,"Employee Contributions for Retirement and DIsability")</f>
        <v>-4473000</v>
      </c>
      <c r="W212" s="113">
        <f>SUMIFS('Federal Data'!AG2:AG501,'Federal Data'!$F2:$F501,"Employee Contributions for Retirement and DIsability")</f>
        <v>-4761000</v>
      </c>
      <c r="X212" s="113">
        <f>SUMIFS('Federal Data'!AH2:AH501,'Federal Data'!$F2:$F501,"Employee Contributions for Retirement and DIsability")</f>
        <v>-4713000</v>
      </c>
      <c r="Y212" s="113">
        <f>SUMIFS('Federal Data'!AI2:AI501,'Federal Data'!$F2:$F501,"Employee Contributions for Retirement and DIsability")</f>
        <v>-4594000</v>
      </c>
      <c r="Z212" s="113">
        <f>SUMIFS('Federal Data'!AJ2:AJ501,'Federal Data'!$F2:$F501,"Employee Contributions for Retirement and DIsability")</f>
        <v>-4631000</v>
      </c>
      <c r="AA212" s="113">
        <f>SUMIFS('Federal Data'!AK2:AK501,'Federal Data'!$F2:$F501,"Employee Contributions for Retirement and DIsability")</f>
        <v>-4594000</v>
      </c>
      <c r="AB212" s="113">
        <f>SUMIFS('Federal Data'!AL2:AL501,'Federal Data'!$F2:$F501,"Employee Contributions for Retirement and DIsability")</f>
        <v>-4459000</v>
      </c>
      <c r="AC212" s="113">
        <f>SUMIFS('Federal Data'!AM2:AM501,'Federal Data'!$F2:$F501,"Employee Contributions for Retirement and DIsability")</f>
        <v>-4358000</v>
      </c>
      <c r="AD212" s="113">
        <f>SUMIFS('Federal Data'!AN2:AN501,'Federal Data'!$F2:$F501,"Employee Contributions for Retirement and DIsability")</f>
        <v>-4258000</v>
      </c>
      <c r="AE212" s="113">
        <f>SUMIFS('Federal Data'!AO2:AO501,'Federal Data'!$F2:$F501,"Employee Contributions for Retirement and DIsability")</f>
        <v>-4169000</v>
      </c>
      <c r="AF212" s="113">
        <f>SUMIFS('Federal Data'!AP2:AP501,'Federal Data'!$F2:$F501,"Employee Contributions for Retirement and DIsability")</f>
        <v>-4143000</v>
      </c>
      <c r="AG212" s="113">
        <f>SUMIFS('Federal Data'!AQ2:AQ501,'Federal Data'!$F2:$F501,"Employee Contributions for Retirement and DIsability")</f>
        <v>-4097000</v>
      </c>
      <c r="AH212" s="113">
        <f>SUMIFS('Federal Data'!AR2:AR501,'Federal Data'!$F2:$F501,"Employee Contributions for Retirement and DIsability")</f>
        <v>-4035000</v>
      </c>
      <c r="AI212" s="113">
        <f>SUMIFS('Federal Data'!AS2:AS501,'Federal Data'!$F2:$F501,"Employee Contributions for Retirement and DIsability")</f>
        <v>-3740000</v>
      </c>
      <c r="AJ212" s="113">
        <f>SUMIFS('Federal Data'!AT2:AT501,'Federal Data'!$F2:$F501,"Employee Contributions for Retirement and DIsability")</f>
        <v>-3564000</v>
      </c>
      <c r="AK212" s="113">
        <f>SUMIFS('Federal Data'!AU2:AU501,'Federal Data'!$F2:$F501,"Employee Contributions for Retirement and DIsability")</f>
        <v>-3472000</v>
      </c>
      <c r="AL212" s="113">
        <f>SUMIFS('Federal Data'!AV2:AV501,'Federal Data'!$F2:$F501,"Employee Contributions for Retirement and DIsability")</f>
        <v>-3652000</v>
      </c>
    </row>
    <row r="213" spans="2:45">
      <c r="B213" s="27" t="s">
        <v>255</v>
      </c>
      <c r="C213" s="113">
        <f>SUMIFS('Federal Data'!M2:M501,'Federal Data'!$F2:$F501,"Employee Retirement and Disability Benefits",'Federal Data'!$D2:$D501,"Nongrant")</f>
        <v>27291545</v>
      </c>
      <c r="D213" s="113">
        <f>SUMIFS('Federal Data'!N2:N501,'Federal Data'!$F2:$F501,"Employee Retirement and Disability Benefits",'Federal Data'!$D2:$D501,"Nongrant")</f>
        <v>32183775</v>
      </c>
      <c r="E213" s="113">
        <f>SUMIFS('Federal Data'!O2:O501,'Federal Data'!$F2:$F501,"Employee Retirement and Disability Benefits",'Federal Data'!$D2:$D501,"Nongrant")</f>
        <v>35373841</v>
      </c>
      <c r="F213" s="113">
        <f>SUMIFS('Federal Data'!P2:P501,'Federal Data'!$F2:$F501,"Employee Retirement and Disability Benefits",'Federal Data'!$D2:$D501,"Nongrant")</f>
        <v>37623621</v>
      </c>
      <c r="G213" s="113">
        <f>SUMIFS('Federal Data'!Q2:Q501,'Federal Data'!$F2:$F501,"Employee Retirement and Disability Benefits",'Federal Data'!$D2:$D501,"Nongrant")</f>
        <v>39494300</v>
      </c>
      <c r="H213" s="113">
        <f>SUMIFS('Federal Data'!R2:R501,'Federal Data'!$F2:$F501,"Employee Retirement and Disability Benefits",'Federal Data'!$D2:$D501,"Nongrant")</f>
        <v>39912061</v>
      </c>
      <c r="I213" s="113">
        <f>SUMIFS('Federal Data'!S2:S501,'Federal Data'!$F2:$F501,"Employee Retirement and Disability Benefits",'Federal Data'!$D2:$D501,"Nongrant")</f>
        <v>42109868</v>
      </c>
      <c r="J213" s="113">
        <f>SUMIFS('Federal Data'!T2:T501,'Federal Data'!$F2:$F501,"Employee Retirement and Disability Benefits",'Federal Data'!$D2:$D501,"Nongrant")</f>
        <v>45663822</v>
      </c>
      <c r="K213" s="113">
        <f>SUMIFS('Federal Data'!U2:U501,'Federal Data'!$F2:$F501,"Employee Retirement and Disability Benefits",'Federal Data'!$D2:$D501,"Nongrant")</f>
        <v>48765083</v>
      </c>
      <c r="L213" s="113">
        <f>SUMIFS('Federal Data'!V2:V501,'Federal Data'!$F2:$F501,"Employee Retirement and Disability Benefits",'Federal Data'!$D2:$D501,"Nongrant")</f>
        <v>49928918</v>
      </c>
      <c r="M213" s="113">
        <f>SUMIFS('Federal Data'!W2:W501,'Federal Data'!$F2:$F501,"Employee Retirement and Disability Benefits",'Federal Data'!$D2:$D501,"Nongrant")</f>
        <v>53784454</v>
      </c>
      <c r="N213" s="113">
        <f>SUMIFS('Federal Data'!X2:X501,'Federal Data'!$F2:$F501,"Employee Retirement and Disability Benefits",'Federal Data'!$D2:$D501,"Nongrant")</f>
        <v>58578259</v>
      </c>
      <c r="O213" s="113">
        <f>SUMIFS('Federal Data'!Y2:Y501,'Federal Data'!$F2:$F501,"Employee Retirement and Disability Benefits",'Federal Data'!$D2:$D501,"Nongrant")</f>
        <v>60725666</v>
      </c>
      <c r="P213" s="113">
        <f>SUMIFS('Federal Data'!Z2:Z501,'Federal Data'!$F2:$F501,"Employee Retirement and Disability Benefits",'Federal Data'!$D2:$D501,"Nongrant")</f>
        <v>63105146</v>
      </c>
      <c r="Q213" s="113">
        <f>SUMIFS('Federal Data'!AA2:AA501,'Federal Data'!$F2:$F501,"Employee Retirement and Disability Benefits",'Federal Data'!$D2:$D501,"Nongrant")</f>
        <v>65940147</v>
      </c>
      <c r="R213" s="113">
        <f>SUMIFS('Federal Data'!AB2:AB501,'Federal Data'!$F2:$F501,"Employee Retirement and Disability Benefits",'Federal Data'!$D2:$D501,"Nongrant")</f>
        <v>69728000</v>
      </c>
      <c r="S213" s="113">
        <f>SUMIFS('Federal Data'!AC2:AC501,'Federal Data'!$F2:$F501,"Employee Retirement and Disability Benefits",'Federal Data'!$D2:$D501,"Nongrant")</f>
        <v>72395000</v>
      </c>
      <c r="T213" s="113">
        <f>SUMIFS('Federal Data'!AD2:AD501,'Federal Data'!$F2:$F501,"Employee Retirement and Disability Benefits",'Federal Data'!$D2:$D501,"Nongrant")</f>
        <v>76359000</v>
      </c>
      <c r="U213" s="113">
        <f>SUMIFS('Federal Data'!AE2:AE501,'Federal Data'!$F2:$F501,"Employee Retirement and Disability Benefits",'Federal Data'!$D2:$D501,"Nongrant")</f>
        <v>78205000</v>
      </c>
      <c r="V213" s="113">
        <f>SUMIFS('Federal Data'!AF2:AF501,'Federal Data'!$F2:$F501,"Employee Retirement and Disability Benefits",'Federal Data'!$D2:$D501,"Nongrant")</f>
        <v>80219000</v>
      </c>
      <c r="W213" s="113">
        <f>SUMIFS('Federal Data'!AG2:AG501,'Federal Data'!$F2:$F501,"Employee Retirement and Disability Benefits",'Federal Data'!$D2:$D501,"Nongrant")</f>
        <v>82209000</v>
      </c>
      <c r="X213" s="113">
        <f>SUMIFS('Federal Data'!AH2:AH501,'Federal Data'!$F2:$F501,"Employee Retirement and Disability Benefits",'Federal Data'!$D2:$D501,"Nongrant")</f>
        <v>85955000</v>
      </c>
      <c r="Y213" s="113">
        <f>SUMIFS('Federal Data'!AI2:AI501,'Federal Data'!$F2:$F501,"Employee Retirement and Disability Benefits",'Federal Data'!$D2:$D501,"Nongrant")</f>
        <v>88726000</v>
      </c>
      <c r="Z213" s="113">
        <f>SUMIFS('Federal Data'!AJ2:AJ501,'Federal Data'!$F2:$F501,"Employee Retirement and Disability Benefits",'Federal Data'!$D2:$D501,"Nongrant")</f>
        <v>94896000</v>
      </c>
      <c r="AA213" s="113">
        <f>SUMIFS('Federal Data'!AK2:AK501,'Federal Data'!$F2:$F501,"Employee Retirement and Disability Benefits",'Federal Data'!$D2:$D501,"Nongrant")</f>
        <v>99772000</v>
      </c>
      <c r="AB213" s="113">
        <f>SUMIFS('Federal Data'!AL2:AL501,'Federal Data'!$F2:$F501,"Employee Retirement and Disability Benefits",'Federal Data'!$D2:$D501,"Nongrant")</f>
        <v>106036000</v>
      </c>
      <c r="AC213" s="113">
        <f>SUMIFS('Federal Data'!AM2:AM501,'Federal Data'!$F2:$F501,"Employee Retirement and Disability Benefits",'Federal Data'!$D2:$D501,"Nongrant")</f>
        <v>111780000</v>
      </c>
      <c r="AD213" s="113">
        <f>SUMIFS('Federal Data'!AN2:AN501,'Federal Data'!$F2:$F501,"Employee Retirement and Disability Benefits",'Federal Data'!$D2:$D501,"Nongrant")</f>
        <v>119412000</v>
      </c>
      <c r="AE213" s="113">
        <f>SUMIFS('Federal Data'!AO2:AO501,'Federal Data'!$F2:$F501,"Employee Retirement and Disability Benefits",'Federal Data'!$D2:$D501,"Nongrant")</f>
        <v>126354000</v>
      </c>
      <c r="AF213" s="113">
        <f>SUMIFS('Federal Data'!AP2:AP501,'Federal Data'!$F2:$F501,"Employee Retirement and Disability Benefits",'Federal Data'!$D2:$D501,"Nongrant")</f>
        <v>136156000</v>
      </c>
      <c r="AG213" s="113">
        <f>SUMIFS('Federal Data'!AQ2:AQ501,'Federal Data'!$F2:$F501,"Employee Retirement and Disability Benefits",'Federal Data'!$D2:$D501,"Nongrant")</f>
        <v>137337000</v>
      </c>
      <c r="AH213" s="113">
        <f>SUMIFS('Federal Data'!AR2:AR501,'Federal Data'!$F2:$F501,"Employee Retirement and Disability Benefits",'Federal Data'!$D2:$D501,"Nongrant")</f>
        <v>140749000</v>
      </c>
      <c r="AI213" s="113">
        <f>SUMIFS('Federal Data'!AS2:AS501,'Federal Data'!$F2:$F501,"Employee Retirement and Disability Benefits",'Federal Data'!$D2:$D501,"Nongrant")</f>
        <v>140183000</v>
      </c>
      <c r="AJ213" s="113">
        <f>SUMIFS('Federal Data'!AT2:AT501,'Federal Data'!$F2:$F501,"Employee Retirement and Disability Benefits",'Federal Data'!$D2:$D501,"Nongrant")</f>
        <v>149200000</v>
      </c>
      <c r="AK213" s="113">
        <f>SUMIFS('Federal Data'!AU2:AU501,'Federal Data'!$F2:$F501,"Employee Retirement and Disability Benefits",'Federal Data'!$D2:$D501,"Nongrant")</f>
        <v>155525000</v>
      </c>
      <c r="AL213" s="113">
        <f>SUMIFS('Federal Data'!AV2:AV501,'Federal Data'!$F2:$F501,"Employee Retirement and Disability Benefits",'Federal Data'!$D2:$D501,"Nongrant")</f>
        <v>161846000</v>
      </c>
    </row>
    <row r="214" spans="2:45">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row>
    <row r="215" spans="2:45">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row>
    <row r="216" spans="2:45">
      <c r="B216" s="33" t="s">
        <v>264</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row>
    <row r="217" spans="2:45">
      <c r="B217" s="26"/>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row>
    <row r="218" spans="2:45">
      <c r="B218" s="72" t="s">
        <v>265</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P218" s="51"/>
    </row>
    <row r="219" spans="2:45">
      <c r="B219" s="27" t="s">
        <v>266</v>
      </c>
      <c r="C219" s="113">
        <f>'Trust Funds'!AW13</f>
        <v>100051</v>
      </c>
      <c r="D219" s="113">
        <f>'Trust Funds'!AX13</f>
        <v>121572</v>
      </c>
      <c r="E219" s="113">
        <f>'Trust Funds'!AY13</f>
        <v>126629</v>
      </c>
      <c r="F219" s="113">
        <f>'Trust Funds'!AZ13</f>
        <v>150586</v>
      </c>
      <c r="G219" s="113">
        <f>'Trust Funds'!BA13</f>
        <v>163315</v>
      </c>
      <c r="H219" s="113">
        <f>'Trust Funds'!BB13</f>
        <v>182287</v>
      </c>
      <c r="I219" s="113">
        <f>'Trust Funds'!BC13</f>
        <v>196368</v>
      </c>
      <c r="J219" s="113">
        <f>'Trust Funds'!BD13</f>
        <v>207525</v>
      </c>
      <c r="K219" s="113">
        <f>'Trust Funds'!BE13</f>
        <v>236596</v>
      </c>
      <c r="L219" s="113">
        <f>'Trust Funds'!BF13</f>
        <v>261495</v>
      </c>
      <c r="M219" s="113">
        <f>'Trust Funds'!BG13</f>
        <v>279599</v>
      </c>
      <c r="N219" s="113">
        <f>'Trust Funds'!BH13</f>
        <v>295747</v>
      </c>
      <c r="O219" s="113">
        <f>'Trust Funds'!BI13</f>
        <v>307152</v>
      </c>
      <c r="P219" s="113">
        <f>'Trust Funds'!BJ13</f>
        <v>319325</v>
      </c>
      <c r="Q219" s="113">
        <f>'Trust Funds'!BK13</f>
        <v>342278</v>
      </c>
      <c r="R219" s="113">
        <f>'Trust Funds'!BL13</f>
        <v>326085</v>
      </c>
      <c r="S219" s="113">
        <f>'Trust Funds'!BM13</f>
        <v>356993</v>
      </c>
      <c r="T219" s="113">
        <f>'Trust Funds'!BN13</f>
        <v>386485</v>
      </c>
      <c r="U219" s="113">
        <f>'Trust Funds'!BO13</f>
        <v>415687</v>
      </c>
      <c r="V219" s="113">
        <f>'Trust Funds'!BP13</f>
        <v>446977</v>
      </c>
      <c r="W219" s="113">
        <f>'Trust Funds'!BQ13</f>
        <v>484259</v>
      </c>
      <c r="X219" s="113">
        <f>'Trust Funds'!BR13</f>
        <v>513871</v>
      </c>
      <c r="Y219" s="113">
        <f>'Trust Funds'!BS13</f>
        <v>529278</v>
      </c>
      <c r="Z219" s="113">
        <f>'Trust Funds'!BT13</f>
        <v>542361</v>
      </c>
      <c r="AA219" s="113">
        <f>'Trust Funds'!BU13</f>
        <v>556547</v>
      </c>
      <c r="AB219" s="113">
        <f>'Trust Funds'!BV13</f>
        <v>600069</v>
      </c>
      <c r="AC219" s="113">
        <f>'Trust Funds'!BW13</f>
        <v>637622</v>
      </c>
      <c r="AD219" s="113">
        <f>'Trust Funds'!BX13</f>
        <v>666340</v>
      </c>
      <c r="AE219" s="113">
        <f>'Trust Funds'!BY13</f>
        <v>692923</v>
      </c>
      <c r="AF219" s="113">
        <f>'Trust Funds'!BZ13</f>
        <v>697448</v>
      </c>
      <c r="AG219" s="113">
        <f>'Trust Funds'!CA13</f>
        <v>682470</v>
      </c>
      <c r="AH219" s="113">
        <f>'Trust Funds'!CB13</f>
        <v>692650</v>
      </c>
      <c r="AI219" s="113">
        <f>'Trust Funds'!CC13</f>
        <v>729014</v>
      </c>
      <c r="AJ219" s="113">
        <f>'Trust Funds'!CD13</f>
        <v>739700</v>
      </c>
      <c r="AK219" s="113">
        <f>'Trust Funds'!CE13</f>
        <v>763308</v>
      </c>
      <c r="AL219" s="113">
        <f>'Trust Funds'!CF13</f>
        <v>795316</v>
      </c>
      <c r="AP219" s="51"/>
    </row>
    <row r="220" spans="2:45">
      <c r="B220" s="27" t="s">
        <v>267</v>
      </c>
      <c r="C220" s="113">
        <f>'Trust Funds'!AW21</f>
        <v>103227</v>
      </c>
      <c r="D220" s="113">
        <f>'Trust Funds'!AX21</f>
        <v>122304</v>
      </c>
      <c r="E220" s="113">
        <f>'Trust Funds'!AY21</f>
        <v>137929</v>
      </c>
      <c r="F220" s="113">
        <f>'Trust Funds'!AZ21</f>
        <v>153989</v>
      </c>
      <c r="G220" s="113">
        <f>'Trust Funds'!BA21</f>
        <v>162406</v>
      </c>
      <c r="H220" s="113">
        <f>'Trust Funds'!BB21</f>
        <v>171614</v>
      </c>
      <c r="I220" s="113">
        <f>'Trust Funds'!BC21</f>
        <v>179572</v>
      </c>
      <c r="J220" s="113">
        <f>'Trust Funds'!BD21</f>
        <v>186780</v>
      </c>
      <c r="K220" s="113">
        <f>'Trust Funds'!BE21</f>
        <v>197897</v>
      </c>
      <c r="L220" s="113">
        <f>'Trust Funds'!BF21</f>
        <v>210141</v>
      </c>
      <c r="M220" s="113">
        <f>'Trust Funds'!BG21</f>
        <v>224475</v>
      </c>
      <c r="N220" s="113">
        <f>'Trust Funds'!BH21</f>
        <v>243774</v>
      </c>
      <c r="O220" s="113">
        <f>'Trust Funds'!BI21</f>
        <v>256290</v>
      </c>
      <c r="P220" s="113">
        <f>'Trust Funds'!BJ21</f>
        <v>269960</v>
      </c>
      <c r="Q220" s="113">
        <f>'Trust Funds'!BK21</f>
        <v>281586</v>
      </c>
      <c r="R220" s="113">
        <f>'Trust Funds'!BL21</f>
        <v>294474</v>
      </c>
      <c r="S220" s="113">
        <f>'Trust Funds'!BM21</f>
        <v>305461</v>
      </c>
      <c r="T220" s="113">
        <f>'Trust Funds'!BN21</f>
        <v>318569</v>
      </c>
      <c r="U220" s="113">
        <f>'Trust Funds'!BO21</f>
        <v>329769</v>
      </c>
      <c r="V220" s="113">
        <f>'Trust Funds'!BP21</f>
        <v>337915</v>
      </c>
      <c r="W220" s="113">
        <f>'Trust Funds'!BQ21</f>
        <v>353427</v>
      </c>
      <c r="X220" s="113">
        <f>'Trust Funds'!BR21</f>
        <v>373043</v>
      </c>
      <c r="Y220" s="113">
        <f>'Trust Funds'!BS21</f>
        <v>389581</v>
      </c>
      <c r="Z220" s="113">
        <f>'Trust Funds'!BT21</f>
        <v>402698</v>
      </c>
      <c r="AA220" s="113">
        <f>'Trust Funds'!BU21</f>
        <v>417305</v>
      </c>
      <c r="AB220" s="113">
        <f>'Trust Funds'!BV21</f>
        <v>436830</v>
      </c>
      <c r="AC220" s="113">
        <f>'Trust Funds'!BW21</f>
        <v>461063</v>
      </c>
      <c r="AD220" s="113">
        <f>'Trust Funds'!BX21</f>
        <v>486312</v>
      </c>
      <c r="AE220" s="113">
        <f>'Trust Funds'!BY21</f>
        <v>509920</v>
      </c>
      <c r="AF220" s="113">
        <f>'Trust Funds'!BZ21</f>
        <v>551664</v>
      </c>
      <c r="AG220" s="113">
        <f>'Trust Funds'!CA21</f>
        <v>579928</v>
      </c>
      <c r="AH220" s="113">
        <f>'Trust Funds'!CB21</f>
        <v>599372</v>
      </c>
      <c r="AI220" s="113">
        <f>'Trust Funds'!CC21</f>
        <v>634732</v>
      </c>
      <c r="AJ220" s="113">
        <f>'Trust Funds'!CD21</f>
        <v>670586</v>
      </c>
      <c r="AK220" s="113">
        <f>'Trust Funds'!CE21</f>
        <v>705928</v>
      </c>
      <c r="AL220" s="113">
        <f>'Trust Funds'!CF21</f>
        <v>741461</v>
      </c>
      <c r="AP220" s="51"/>
      <c r="AQ220" s="51"/>
    </row>
    <row r="221" spans="2:45" s="24" customFormat="1">
      <c r="B221" s="69" t="s">
        <v>268</v>
      </c>
      <c r="C221" s="111">
        <f>'Trust Funds'!AW22</f>
        <v>-3176</v>
      </c>
      <c r="D221" s="111">
        <f>'Trust Funds'!AX22</f>
        <v>-733</v>
      </c>
      <c r="E221" s="111">
        <f>'Trust Funds'!AY22</f>
        <v>-11300</v>
      </c>
      <c r="F221" s="111">
        <f>'Trust Funds'!AZ22</f>
        <v>-3403</v>
      </c>
      <c r="G221" s="111">
        <f>'Trust Funds'!BA22</f>
        <v>909</v>
      </c>
      <c r="H221" s="111">
        <f>'Trust Funds'!BB22</f>
        <v>10673</v>
      </c>
      <c r="I221" s="111">
        <f>'Trust Funds'!BC22</f>
        <v>16797</v>
      </c>
      <c r="J221" s="111">
        <f>'Trust Funds'!BD22</f>
        <v>20745</v>
      </c>
      <c r="K221" s="111">
        <f>'Trust Funds'!BE22</f>
        <v>38700</v>
      </c>
      <c r="L221" s="111">
        <f>'Trust Funds'!BF22</f>
        <v>51354</v>
      </c>
      <c r="M221" s="111">
        <f>'Trust Funds'!BG22</f>
        <v>55125</v>
      </c>
      <c r="N221" s="111">
        <f>'Trust Funds'!BH22</f>
        <v>51972</v>
      </c>
      <c r="O221" s="111">
        <f>'Trust Funds'!BI22</f>
        <v>50862</v>
      </c>
      <c r="P221" s="111">
        <f>'Trust Funds'!BJ22</f>
        <v>49364</v>
      </c>
      <c r="Q221" s="111">
        <f>'Trust Funds'!BK22</f>
        <v>60691</v>
      </c>
      <c r="R221" s="111">
        <f>'Trust Funds'!BL22</f>
        <v>31611</v>
      </c>
      <c r="S221" s="111">
        <f>'Trust Funds'!BM22</f>
        <v>51532</v>
      </c>
      <c r="T221" s="111">
        <f>'Trust Funds'!BN22</f>
        <v>67916</v>
      </c>
      <c r="U221" s="111">
        <f>'Trust Funds'!BO22</f>
        <v>85918</v>
      </c>
      <c r="V221" s="111">
        <f>'Trust Funds'!BP22</f>
        <v>109062</v>
      </c>
      <c r="W221" s="111">
        <f>'Trust Funds'!BQ22</f>
        <v>130832</v>
      </c>
      <c r="X221" s="111">
        <f>'Trust Funds'!BR22</f>
        <v>140828</v>
      </c>
      <c r="Y221" s="111">
        <f>'Trust Funds'!BS22</f>
        <v>139697</v>
      </c>
      <c r="Z221" s="111">
        <f>'Trust Funds'!BT22</f>
        <v>139663</v>
      </c>
      <c r="AA221" s="111">
        <f>'Trust Funds'!BU22</f>
        <v>139242</v>
      </c>
      <c r="AB221" s="111">
        <f>'Trust Funds'!BV22</f>
        <v>163239</v>
      </c>
      <c r="AC221" s="111">
        <f>'Trust Funds'!BW22</f>
        <v>176559</v>
      </c>
      <c r="AD221" s="111">
        <f>'Trust Funds'!BX22</f>
        <v>180028</v>
      </c>
      <c r="AE221" s="111">
        <f>'Trust Funds'!BY22</f>
        <v>183003</v>
      </c>
      <c r="AF221" s="111">
        <f>'Trust Funds'!BZ22</f>
        <v>145784</v>
      </c>
      <c r="AG221" s="111">
        <f>'Trust Funds'!CA22</f>
        <v>102542</v>
      </c>
      <c r="AH221" s="111">
        <f>'Trust Funds'!CB22</f>
        <v>93278</v>
      </c>
      <c r="AI221" s="111">
        <f>'Trust Funds'!CC22</f>
        <v>94282</v>
      </c>
      <c r="AJ221" s="111">
        <f>'Trust Funds'!CD22</f>
        <v>69114</v>
      </c>
      <c r="AK221" s="111">
        <f>'Trust Funds'!CE22</f>
        <v>57380</v>
      </c>
      <c r="AL221" s="111">
        <f>'Trust Funds'!CF22</f>
        <v>53855</v>
      </c>
      <c r="AP221" s="68"/>
    </row>
    <row r="222" spans="2:45">
      <c r="B222" s="26"/>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P222" s="51"/>
    </row>
    <row r="223" spans="2:45">
      <c r="B223" s="72" t="s">
        <v>269</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P223" s="51"/>
    </row>
    <row r="224" spans="2:45">
      <c r="B224" s="27" t="s">
        <v>266</v>
      </c>
      <c r="C224" s="113">
        <f>'Trust Funds'!AW37</f>
        <v>17388</v>
      </c>
      <c r="D224" s="113">
        <f>'Trust Funds'!AX37</f>
        <v>12992</v>
      </c>
      <c r="E224" s="113">
        <f>'Trust Funds'!AY37</f>
        <v>21398</v>
      </c>
      <c r="F224" s="113">
        <f>'Trust Funds'!AZ37</f>
        <v>21907</v>
      </c>
      <c r="G224" s="113">
        <f>'Trust Funds'!BA37</f>
        <v>17812</v>
      </c>
      <c r="H224" s="113">
        <f>'Trust Funds'!BB37</f>
        <v>18062</v>
      </c>
      <c r="I224" s="113">
        <f>'Trust Funds'!BC37</f>
        <v>20177</v>
      </c>
      <c r="J224" s="113">
        <f>'Trust Funds'!BD37</f>
        <v>20115</v>
      </c>
      <c r="K224" s="113">
        <f>'Trust Funds'!BE37</f>
        <v>22460</v>
      </c>
      <c r="L224" s="113">
        <f>'Trust Funds'!BF37</f>
        <v>24577</v>
      </c>
      <c r="M224" s="113">
        <f>'Trust Funds'!BG37</f>
        <v>28322</v>
      </c>
      <c r="N224" s="113">
        <f>'Trust Funds'!BH37</f>
        <v>30135</v>
      </c>
      <c r="O224" s="113">
        <f>'Trust Funds'!BI37</f>
        <v>31179</v>
      </c>
      <c r="P224" s="113">
        <f>'Trust Funds'!BJ37</f>
        <v>32065</v>
      </c>
      <c r="Q224" s="113">
        <f>'Trust Funds'!BK37</f>
        <v>34049</v>
      </c>
      <c r="R224" s="113">
        <f>'Trust Funds'!BL37</f>
        <v>70215</v>
      </c>
      <c r="S224" s="113">
        <f>'Trust Funds'!BM37</f>
        <v>59434</v>
      </c>
      <c r="T224" s="113">
        <f>'Trust Funds'!BN37</f>
        <v>60100</v>
      </c>
      <c r="U224" s="113">
        <f>'Trust Funds'!BO37</f>
        <v>62953</v>
      </c>
      <c r="V224" s="113">
        <f>'Trust Funds'!BP37</f>
        <v>67791</v>
      </c>
      <c r="W224" s="113">
        <f>'Trust Funds'!BQ37</f>
        <v>77062</v>
      </c>
      <c r="X224" s="113">
        <f>'Trust Funds'!BR37</f>
        <v>82980</v>
      </c>
      <c r="Y224" s="113">
        <f>'Trust Funds'!BS37</f>
        <v>85790</v>
      </c>
      <c r="Z224" s="113">
        <f>'Trust Funds'!BT37</f>
        <v>87985</v>
      </c>
      <c r="AA224" s="113">
        <f>'Trust Funds'!BU37</f>
        <v>90185</v>
      </c>
      <c r="AB224" s="113">
        <f>'Trust Funds'!BV37</f>
        <v>96764</v>
      </c>
      <c r="AC224" s="113">
        <f>'Trust Funds'!BW37</f>
        <v>102213</v>
      </c>
      <c r="AD224" s="113">
        <f>'Trust Funds'!BX37</f>
        <v>106446</v>
      </c>
      <c r="AE224" s="113">
        <f>'Trust Funds'!BY37</f>
        <v>109902</v>
      </c>
      <c r="AF224" s="113">
        <f>'Trust Funds'!BZ37</f>
        <v>109652</v>
      </c>
      <c r="AG224" s="113">
        <f>'Trust Funds'!CA37</f>
        <v>105591</v>
      </c>
      <c r="AH224" s="113">
        <f>'Trust Funds'!CB37</f>
        <v>106308</v>
      </c>
      <c r="AI224" s="113">
        <f>'Trust Funds'!CC37</f>
        <v>108931</v>
      </c>
      <c r="AJ224" s="113">
        <f>'Trust Funds'!CD37</f>
        <v>111353</v>
      </c>
      <c r="AK224" s="113">
        <f>'Trust Funds'!CE37</f>
        <v>114188</v>
      </c>
      <c r="AL224" s="113">
        <f>'Trust Funds'!CF37</f>
        <v>118036</v>
      </c>
      <c r="AP224" s="51"/>
    </row>
    <row r="225" spans="2:42">
      <c r="B225" s="27" t="s">
        <v>267</v>
      </c>
      <c r="C225" s="113">
        <f>'Trust Funds'!AW45</f>
        <v>15332</v>
      </c>
      <c r="D225" s="113">
        <f>'Trust Funds'!AX45</f>
        <v>17280</v>
      </c>
      <c r="E225" s="113">
        <f>'Trust Funds'!AY45</f>
        <v>18035</v>
      </c>
      <c r="F225" s="113">
        <f>'Trust Funds'!AZ45</f>
        <v>18291</v>
      </c>
      <c r="G225" s="113">
        <f>'Trust Funds'!BA45</f>
        <v>18459</v>
      </c>
      <c r="H225" s="113">
        <f>'Trust Funds'!BB45</f>
        <v>19372</v>
      </c>
      <c r="I225" s="113">
        <f>'Trust Funds'!BC45</f>
        <v>20243</v>
      </c>
      <c r="J225" s="113">
        <f>'Trust Funds'!BD45</f>
        <v>21290</v>
      </c>
      <c r="K225" s="113">
        <f>'Trust Funds'!BE45</f>
        <v>22360</v>
      </c>
      <c r="L225" s="113">
        <f>'Trust Funds'!BF45</f>
        <v>23487</v>
      </c>
      <c r="M225" s="113">
        <f>'Trust Funds'!BG45</f>
        <v>25230</v>
      </c>
      <c r="N225" s="113">
        <f>'Trust Funds'!BH45</f>
        <v>28592</v>
      </c>
      <c r="O225" s="113">
        <f>'Trust Funds'!BI45</f>
        <v>31295</v>
      </c>
      <c r="P225" s="113">
        <f>'Trust Funds'!BJ45</f>
        <v>34641</v>
      </c>
      <c r="Q225" s="113">
        <f>'Trust Funds'!BK45</f>
        <v>37984</v>
      </c>
      <c r="R225" s="113">
        <f>'Trust Funds'!BL45</f>
        <v>41380</v>
      </c>
      <c r="S225" s="113">
        <f>'Trust Funds'!BM45</f>
        <v>44558</v>
      </c>
      <c r="T225" s="113">
        <f>'Trust Funds'!BN45</f>
        <v>46701</v>
      </c>
      <c r="U225" s="113">
        <f>'Trust Funds'!BO45</f>
        <v>49459</v>
      </c>
      <c r="V225" s="113">
        <f>'Trust Funds'!BP45</f>
        <v>52142</v>
      </c>
      <c r="W225" s="113">
        <f>'Trust Funds'!BQ45</f>
        <v>56046</v>
      </c>
      <c r="X225" s="113">
        <f>'Trust Funds'!BR45</f>
        <v>60831</v>
      </c>
      <c r="Y225" s="113">
        <f>'Trust Funds'!BS45</f>
        <v>66432</v>
      </c>
      <c r="Z225" s="113">
        <f>'Trust Funds'!BT45</f>
        <v>71982</v>
      </c>
      <c r="AA225" s="113">
        <f>'Trust Funds'!BU45</f>
        <v>78550</v>
      </c>
      <c r="AB225" s="113">
        <f>'Trust Funds'!BV45</f>
        <v>86468</v>
      </c>
      <c r="AC225" s="113">
        <f>'Trust Funds'!BW45</f>
        <v>93572</v>
      </c>
      <c r="AD225" s="113">
        <f>'Trust Funds'!BX45</f>
        <v>99850</v>
      </c>
      <c r="AE225" s="113">
        <f>'Trust Funds'!BY45</f>
        <v>107240</v>
      </c>
      <c r="AF225" s="113">
        <f>'Trust Funds'!BZ45</f>
        <v>118114</v>
      </c>
      <c r="AG225" s="113">
        <f>'Trust Funds'!CA45</f>
        <v>126423</v>
      </c>
      <c r="AH225" s="113">
        <f>'Trust Funds'!CB45</f>
        <v>131571</v>
      </c>
      <c r="AI225" s="113">
        <f>'Trust Funds'!CC45</f>
        <v>138632</v>
      </c>
      <c r="AJ225" s="113">
        <f>'Trust Funds'!CD45</f>
        <v>142847</v>
      </c>
      <c r="AK225" s="113">
        <f>'Trust Funds'!CE45</f>
        <v>144640</v>
      </c>
      <c r="AL225" s="113">
        <f>'Trust Funds'!CF45</f>
        <v>146306</v>
      </c>
      <c r="AP225" s="51"/>
    </row>
    <row r="226" spans="2:42" s="24" customFormat="1">
      <c r="B226" s="69" t="s">
        <v>268</v>
      </c>
      <c r="C226" s="111">
        <f>'Trust Funds'!AW46</f>
        <v>2057</v>
      </c>
      <c r="D226" s="111">
        <f>'Trust Funds'!AX46</f>
        <v>-4288</v>
      </c>
      <c r="E226" s="111">
        <f>'Trust Funds'!AY46</f>
        <v>3363</v>
      </c>
      <c r="F226" s="111">
        <f>'Trust Funds'!AZ46</f>
        <v>3615</v>
      </c>
      <c r="G226" s="111">
        <f>'Trust Funds'!BA46</f>
        <v>-647</v>
      </c>
      <c r="H226" s="111">
        <f>'Trust Funds'!BB46</f>
        <v>-1310</v>
      </c>
      <c r="I226" s="111">
        <f>'Trust Funds'!BC46</f>
        <v>-66</v>
      </c>
      <c r="J226" s="111">
        <f>'Trust Funds'!BD46</f>
        <v>-1175</v>
      </c>
      <c r="K226" s="111">
        <f>'Trust Funds'!BE46</f>
        <v>100</v>
      </c>
      <c r="L226" s="111">
        <f>'Trust Funds'!BF46</f>
        <v>1090</v>
      </c>
      <c r="M226" s="111">
        <f>'Trust Funds'!BG46</f>
        <v>3091</v>
      </c>
      <c r="N226" s="111">
        <f>'Trust Funds'!BH46</f>
        <v>1543</v>
      </c>
      <c r="O226" s="111">
        <f>'Trust Funds'!BI46</f>
        <v>-116</v>
      </c>
      <c r="P226" s="111">
        <f>'Trust Funds'!BJ46</f>
        <v>-2576</v>
      </c>
      <c r="Q226" s="111">
        <f>'Trust Funds'!BK46</f>
        <v>-3935</v>
      </c>
      <c r="R226" s="111">
        <f>'Trust Funds'!BL46</f>
        <v>28835</v>
      </c>
      <c r="S226" s="111">
        <f>'Trust Funds'!BM46</f>
        <v>14876</v>
      </c>
      <c r="T226" s="111">
        <f>'Trust Funds'!BN46</f>
        <v>13399</v>
      </c>
      <c r="U226" s="111">
        <f>'Trust Funds'!BO46</f>
        <v>13494</v>
      </c>
      <c r="V226" s="111">
        <f>'Trust Funds'!BP46</f>
        <v>15649</v>
      </c>
      <c r="W226" s="111">
        <f>'Trust Funds'!BQ46</f>
        <v>21016</v>
      </c>
      <c r="X226" s="111">
        <f>'Trust Funds'!BR46</f>
        <v>22149</v>
      </c>
      <c r="Y226" s="111">
        <f>'Trust Funds'!BS46</f>
        <v>19358</v>
      </c>
      <c r="Z226" s="111">
        <f>'Trust Funds'!BT46</f>
        <v>16003</v>
      </c>
      <c r="AA226" s="111">
        <f>'Trust Funds'!BU46</f>
        <v>11635</v>
      </c>
      <c r="AB226" s="111">
        <f>'Trust Funds'!BV46</f>
        <v>10296</v>
      </c>
      <c r="AC226" s="111">
        <f>'Trust Funds'!BW46</f>
        <v>8641</v>
      </c>
      <c r="AD226" s="111">
        <f>'Trust Funds'!BX46</f>
        <v>6596</v>
      </c>
      <c r="AE226" s="111">
        <f>'Trust Funds'!BY46</f>
        <v>2662</v>
      </c>
      <c r="AF226" s="111">
        <f>'Trust Funds'!BZ46</f>
        <v>-8462</v>
      </c>
      <c r="AG226" s="111">
        <f>'Trust Funds'!CA46</f>
        <v>-20832</v>
      </c>
      <c r="AH226" s="111">
        <f>'Trust Funds'!CB46</f>
        <v>-25263</v>
      </c>
      <c r="AI226" s="111">
        <f>'Trust Funds'!CC46</f>
        <v>-29701</v>
      </c>
      <c r="AJ226" s="111">
        <f>'Trust Funds'!CD46</f>
        <v>-31494</v>
      </c>
      <c r="AK226" s="111">
        <f>'Trust Funds'!CE46</f>
        <v>-30452</v>
      </c>
      <c r="AL226" s="111">
        <f>'Trust Funds'!CF46</f>
        <v>-28270</v>
      </c>
    </row>
    <row r="227" spans="2:42">
      <c r="B227" s="26"/>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row>
    <row r="228" spans="2:42">
      <c r="B228" s="72" t="s">
        <v>270</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row>
    <row r="229" spans="2:42">
      <c r="B229" s="27" t="s">
        <v>266</v>
      </c>
      <c r="C229" s="113">
        <f>'Trust Funds'!AW67+'Trust Funds'!AW97</f>
        <v>35690</v>
      </c>
      <c r="D229" s="113">
        <f>'Trust Funds'!AX67+'Trust Funds'!AX97</f>
        <v>45302</v>
      </c>
      <c r="E229" s="113">
        <f>'Trust Funds'!AY67+'Trust Funds'!AY97</f>
        <v>55238</v>
      </c>
      <c r="F229" s="113">
        <f>'Trust Funds'!AZ67+'Trust Funds'!AZ97</f>
        <v>63096</v>
      </c>
      <c r="G229" s="113">
        <f>'Trust Funds'!BA67+'Trust Funds'!BA97</f>
        <v>68258</v>
      </c>
      <c r="H229" s="113">
        <f>'Trust Funds'!BB67+'Trust Funds'!BB97</f>
        <v>75504</v>
      </c>
      <c r="I229" s="113">
        <f>'Trust Funds'!BC67+'Trust Funds'!BC97</f>
        <v>81428</v>
      </c>
      <c r="J229" s="113">
        <f>'Trust Funds'!BD67+'Trust Funds'!BD97</f>
        <v>90532</v>
      </c>
      <c r="K229" s="113">
        <f>'Trust Funds'!BE67+'Trust Funds'!BE97</f>
        <v>103001</v>
      </c>
      <c r="L229" s="113">
        <f>'Trust Funds'!BF67+'Trust Funds'!BF97</f>
        <v>118929</v>
      </c>
      <c r="M229" s="113">
        <f>'Trust Funds'!BG67+'Trust Funds'!BG97</f>
        <v>125170</v>
      </c>
      <c r="N229" s="113">
        <f>'Trust Funds'!BH67+'Trust Funds'!BH97</f>
        <v>133204</v>
      </c>
      <c r="O229" s="113">
        <f>'Trust Funds'!BI67+'Trust Funds'!BI97</f>
        <v>145826</v>
      </c>
      <c r="P229" s="113">
        <f>'Trust Funds'!BJ67+'Trust Funds'!BJ97</f>
        <v>156096</v>
      </c>
      <c r="Q229" s="113">
        <f>'Trust Funds'!BK67+'Trust Funds'!BK97</f>
        <v>163562</v>
      </c>
      <c r="R229" s="113">
        <f>'Trust Funds'!BL67+'Trust Funds'!BL97</f>
        <v>173016</v>
      </c>
      <c r="S229" s="113">
        <f>'Trust Funds'!BM67+'Trust Funds'!BM97</f>
        <v>205524</v>
      </c>
      <c r="T229" s="113">
        <f>'Trust Funds'!BN67+'Trust Funds'!BN97</f>
        <v>209355</v>
      </c>
      <c r="U229" s="113">
        <f>'Trust Funds'!BO67+'Trust Funds'!BO97</f>
        <v>220159</v>
      </c>
      <c r="V229" s="113">
        <f>'Trust Funds'!BP67+'Trust Funds'!BP97</f>
        <v>238293</v>
      </c>
      <c r="W229" s="113">
        <f>'Trust Funds'!BQ67+'Trust Funds'!BQ97</f>
        <v>248921</v>
      </c>
      <c r="X229" s="113">
        <f>'Trust Funds'!BR67+'Trust Funds'!BR97</f>
        <v>267577</v>
      </c>
      <c r="Y229" s="113">
        <f>'Trust Funds'!BS67+'Trust Funds'!BS97</f>
        <v>285419</v>
      </c>
      <c r="Z229" s="113">
        <f>'Trust Funds'!BT67+'Trust Funds'!BT97</f>
        <v>286010</v>
      </c>
      <c r="AA229" s="113">
        <f>'Trust Funds'!BU67+'Trust Funds'!BU97</f>
        <v>307619</v>
      </c>
      <c r="AB229" s="113">
        <f>'Trust Funds'!BV67+'Trust Funds'!BV97</f>
        <v>351971</v>
      </c>
      <c r="AC229" s="113">
        <f>'Trust Funds'!BW67+'Trust Funds'!BW97</f>
        <v>423658</v>
      </c>
      <c r="AD229" s="113">
        <f>'Trust Funds'!BX67+'Trust Funds'!BX97</f>
        <v>462892</v>
      </c>
      <c r="AE229" s="113">
        <f>'Trust Funds'!BY67+'Trust Funds'!BY97</f>
        <v>480494</v>
      </c>
      <c r="AF229" s="113">
        <f>'Trust Funds'!BZ67+'Trust Funds'!BZ97</f>
        <v>497109</v>
      </c>
      <c r="AG229" s="113">
        <f>'Trust Funds'!CA67+'Trust Funds'!CA97</f>
        <v>505217</v>
      </c>
      <c r="AH229" s="113">
        <f>'Trust Funds'!CB67+'Trust Funds'!CB97</f>
        <v>533077</v>
      </c>
      <c r="AI229" s="113">
        <f>'Trust Funds'!CC67+'Trust Funds'!CC97</f>
        <v>539374</v>
      </c>
      <c r="AJ229" s="113">
        <f>'Trust Funds'!CD67+'Trust Funds'!CD97</f>
        <v>566262</v>
      </c>
      <c r="AK229" s="113">
        <f>'Trust Funds'!CE67+'Trust Funds'!CE97</f>
        <v>603720</v>
      </c>
      <c r="AL229" s="113">
        <f>'Trust Funds'!CF67+'Trust Funds'!CF97</f>
        <v>631944</v>
      </c>
    </row>
    <row r="230" spans="2:42">
      <c r="B230" s="27" t="s">
        <v>267</v>
      </c>
      <c r="C230" s="113">
        <f>'Trust Funds'!AW75+'Trust Funds'!AW103</f>
        <v>35034</v>
      </c>
      <c r="D230" s="113">
        <f>'Trust Funds'!AX75+'Trust Funds'!AX103</f>
        <v>42488</v>
      </c>
      <c r="E230" s="113">
        <f>'Trust Funds'!AY75+'Trust Funds'!AY103</f>
        <v>50423</v>
      </c>
      <c r="F230" s="113">
        <f>'Trust Funds'!AZ75+'Trust Funds'!AZ103</f>
        <v>56868</v>
      </c>
      <c r="G230" s="113">
        <f>'Trust Funds'!BA75+'Trust Funds'!BA103</f>
        <v>62669</v>
      </c>
      <c r="H230" s="113">
        <f>'Trust Funds'!BB75+'Trust Funds'!BB103</f>
        <v>71397</v>
      </c>
      <c r="I230" s="113">
        <f>'Trust Funds'!BC75+'Trust Funds'!BC103</f>
        <v>75902</v>
      </c>
      <c r="J230" s="113">
        <f>'Trust Funds'!BD75+'Trust Funds'!BD103</f>
        <v>81640</v>
      </c>
      <c r="K230" s="113">
        <f>'Trust Funds'!BE75+'Trust Funds'!BE103</f>
        <v>87677</v>
      </c>
      <c r="L230" s="113">
        <f>'Trust Funds'!BF75+'Trust Funds'!BF103</f>
        <v>96554</v>
      </c>
      <c r="M230" s="113">
        <f>'Trust Funds'!BG75+'Trust Funds'!BG103</f>
        <v>109709</v>
      </c>
      <c r="N230" s="113">
        <f>'Trust Funds'!BH75+'Trust Funds'!BH103</f>
        <v>117763</v>
      </c>
      <c r="O230" s="113">
        <f>'Trust Funds'!BI75+'Trust Funds'!BI103</f>
        <v>132256</v>
      </c>
      <c r="P230" s="113">
        <f>'Trust Funds'!BJ75+'Trust Funds'!BJ103</f>
        <v>145858</v>
      </c>
      <c r="Q230" s="113">
        <f>'Trust Funds'!BK75+'Trust Funds'!BK103</f>
        <v>162494</v>
      </c>
      <c r="R230" s="113">
        <f>'Trust Funds'!BL75+'Trust Funds'!BL103</f>
        <v>180096</v>
      </c>
      <c r="S230" s="113">
        <f>'Trust Funds'!BM75+'Trust Funds'!BM103</f>
        <v>196629</v>
      </c>
      <c r="T230" s="113">
        <f>'Trust Funds'!BN75+'Trust Funds'!BN103</f>
        <v>210437</v>
      </c>
      <c r="U230" s="113">
        <f>'Trust Funds'!BO75+'Trust Funds'!BO103</f>
        <v>213570</v>
      </c>
      <c r="V230" s="113">
        <f>'Trust Funds'!BP75+'Trust Funds'!BP103</f>
        <v>212018</v>
      </c>
      <c r="W230" s="113">
        <f>'Trust Funds'!BQ75+'Trust Funds'!BQ103</f>
        <v>219022</v>
      </c>
      <c r="X230" s="113">
        <f>'Trust Funds'!BR75+'Trust Funds'!BR103</f>
        <v>242353</v>
      </c>
      <c r="Y230" s="113">
        <f>'Trust Funds'!BS75+'Trust Funds'!BS103</f>
        <v>256838</v>
      </c>
      <c r="Z230" s="113">
        <f>'Trust Funds'!BT75+'Trust Funds'!BT103</f>
        <v>277875</v>
      </c>
      <c r="AA230" s="113">
        <f>'Trust Funds'!BU75+'Trust Funds'!BU103</f>
        <v>301505</v>
      </c>
      <c r="AB230" s="113">
        <f>'Trust Funds'!BV75+'Trust Funds'!BV103</f>
        <v>339430</v>
      </c>
      <c r="AC230" s="113">
        <f>'Trust Funds'!BW75+'Trust Funds'!BW103</f>
        <v>381818</v>
      </c>
      <c r="AD230" s="113">
        <f>'Trust Funds'!BX75+'Trust Funds'!BX103</f>
        <v>440756</v>
      </c>
      <c r="AE230" s="113">
        <f>'Trust Funds'!BY75+'Trust Funds'!BY103</f>
        <v>460927</v>
      </c>
      <c r="AF230" s="113">
        <f>'Trust Funds'!BZ75+'Trust Funds'!BZ103</f>
        <v>503945</v>
      </c>
      <c r="AG230" s="113">
        <f>'Trust Funds'!CA75+'Trust Funds'!CA103</f>
        <v>525640</v>
      </c>
      <c r="AH230" s="113">
        <f>'Trust Funds'!CB75+'Trust Funds'!CB103</f>
        <v>565340</v>
      </c>
      <c r="AI230" s="113">
        <f>'Trust Funds'!CC75+'Trust Funds'!CC103</f>
        <v>556887</v>
      </c>
      <c r="AJ230" s="113">
        <f>'Trust Funds'!CD75+'Trust Funds'!CD103</f>
        <v>591201</v>
      </c>
      <c r="AK230" s="113">
        <f>'Trust Funds'!CE75+'Trust Funds'!CE103</f>
        <v>606161</v>
      </c>
      <c r="AL230" s="113">
        <f>'Trust Funds'!CF75+'Trust Funds'!CF103</f>
        <v>640446</v>
      </c>
    </row>
    <row r="231" spans="2:42">
      <c r="B231" s="69" t="s">
        <v>268</v>
      </c>
      <c r="C231" s="111">
        <f>'Trust Funds'!AW76+'Trust Funds'!AW104</f>
        <v>656</v>
      </c>
      <c r="D231" s="111">
        <f>'Trust Funds'!AX76+'Trust Funds'!AX104</f>
        <v>2814</v>
      </c>
      <c r="E231" s="111">
        <f>'Trust Funds'!AY76+'Trust Funds'!AY104</f>
        <v>4815</v>
      </c>
      <c r="F231" s="111">
        <f>'Trust Funds'!AZ76+'Trust Funds'!AZ104</f>
        <v>6228</v>
      </c>
      <c r="G231" s="111">
        <f>'Trust Funds'!BA76+'Trust Funds'!BA104</f>
        <v>5588</v>
      </c>
      <c r="H231" s="111">
        <f>'Trust Funds'!BB76+'Trust Funds'!BB104</f>
        <v>4107</v>
      </c>
      <c r="I231" s="111">
        <f>'Trust Funds'!BC76+'Trust Funds'!BC104</f>
        <v>5525</v>
      </c>
      <c r="J231" s="111">
        <f>'Trust Funds'!BD76+'Trust Funds'!BD104</f>
        <v>8893</v>
      </c>
      <c r="K231" s="111">
        <f>'Trust Funds'!BE76+'Trust Funds'!BE104</f>
        <v>15325</v>
      </c>
      <c r="L231" s="111">
        <f>'Trust Funds'!BF76+'Trust Funds'!BF104</f>
        <v>22375</v>
      </c>
      <c r="M231" s="111">
        <f>'Trust Funds'!BG76+'Trust Funds'!BG104</f>
        <v>15461</v>
      </c>
      <c r="N231" s="111">
        <f>'Trust Funds'!BH76+'Trust Funds'!BH104</f>
        <v>15441</v>
      </c>
      <c r="O231" s="111">
        <f>'Trust Funds'!BI76+'Trust Funds'!BI104</f>
        <v>13569</v>
      </c>
      <c r="P231" s="111">
        <f>'Trust Funds'!BJ76+'Trust Funds'!BJ104</f>
        <v>10238</v>
      </c>
      <c r="Q231" s="111">
        <f>'Trust Funds'!BK76+'Trust Funds'!BK104</f>
        <v>1068</v>
      </c>
      <c r="R231" s="111">
        <f>'Trust Funds'!BL76+'Trust Funds'!BL104</f>
        <v>-7080</v>
      </c>
      <c r="S231" s="111">
        <f>'Trust Funds'!BM76+'Trust Funds'!BM104</f>
        <v>8895</v>
      </c>
      <c r="T231" s="111">
        <f>'Trust Funds'!BN76+'Trust Funds'!BN104</f>
        <v>-1082</v>
      </c>
      <c r="U231" s="111">
        <f>'Trust Funds'!BO76+'Trust Funds'!BO104</f>
        <v>6589</v>
      </c>
      <c r="V231" s="111">
        <f>'Trust Funds'!BP76+'Trust Funds'!BP104</f>
        <v>26275</v>
      </c>
      <c r="W231" s="111">
        <f>'Trust Funds'!BQ76+'Trust Funds'!BQ104</f>
        <v>29899</v>
      </c>
      <c r="X231" s="111">
        <f>'Trust Funds'!BR76+'Trust Funds'!BR104</f>
        <v>25224</v>
      </c>
      <c r="Y231" s="111">
        <f>'Trust Funds'!BS76+'Trust Funds'!BS104</f>
        <v>28581</v>
      </c>
      <c r="Z231" s="111">
        <f>'Trust Funds'!BT76+'Trust Funds'!BT104</f>
        <v>8135</v>
      </c>
      <c r="AA231" s="111">
        <f>'Trust Funds'!BU76+'Trust Funds'!BU104</f>
        <v>6114</v>
      </c>
      <c r="AB231" s="111">
        <f>'Trust Funds'!BV76+'Trust Funds'!BV104</f>
        <v>12541</v>
      </c>
      <c r="AC231" s="111">
        <f>'Trust Funds'!BW76+'Trust Funds'!BW104</f>
        <v>41840</v>
      </c>
      <c r="AD231" s="111">
        <f>'Trust Funds'!BX76+'Trust Funds'!BX104</f>
        <v>22136</v>
      </c>
      <c r="AE231" s="111">
        <f>'Trust Funds'!BY76+'Trust Funds'!BY104</f>
        <v>19567</v>
      </c>
      <c r="AF231" s="111">
        <f>'Trust Funds'!BZ76+'Trust Funds'!BZ104</f>
        <v>-6836</v>
      </c>
      <c r="AG231" s="111">
        <f>'Trust Funds'!CA76+'Trust Funds'!CA104</f>
        <v>-20423</v>
      </c>
      <c r="AH231" s="111">
        <f>'Trust Funds'!CB76+'Trust Funds'!CB104</f>
        <v>-32263</v>
      </c>
      <c r="AI231" s="111">
        <f>'Trust Funds'!CC76+'Trust Funds'!CC104</f>
        <v>-17513</v>
      </c>
      <c r="AJ231" s="111">
        <f>'Trust Funds'!CD76+'Trust Funds'!CD104</f>
        <v>-24939</v>
      </c>
      <c r="AK231" s="111">
        <f>'Trust Funds'!CE76+'Trust Funds'!CE104</f>
        <v>-2441</v>
      </c>
      <c r="AL231" s="111">
        <f>'Trust Funds'!CF76+'Trust Funds'!CF104</f>
        <v>-8502</v>
      </c>
    </row>
  </sheetData>
  <mergeCells count="1">
    <mergeCell ref="C2:AL2"/>
  </mergeCells>
  <pageMargins left="0.7" right="0.7" top="0.75" bottom="0.75" header="0.3" footer="0.3"/>
  <pageSetup orientation="portrait"/>
  <ignoredErrors>
    <ignoredError sqref="C135:AK135 C133:AK133 C36:AK100 C102:AK128 C152:AL171 AL176:AL179 AL133:AL137 C137:AK137 AL36:AL100 C183:AL183 C187:AL187 C191:AL191 C195:AL195 C203:AK213 AL203:AL307 C199:AL199 C5:AL32 D33:AL33 C176:AK179 AL102:AL129"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5"/>
  <sheetViews>
    <sheetView zoomScale="85" zoomScaleNormal="85" zoomScalePageLayoutView="85" workbookViewId="0">
      <selection activeCell="A79" sqref="A79"/>
    </sheetView>
  </sheetViews>
  <sheetFormatPr baseColWidth="10" defaultColWidth="9.1640625" defaultRowHeight="13" outlineLevelRow="4" outlineLevelCol="1" x14ac:dyDescent="0"/>
  <cols>
    <col min="1" max="1" width="9.1640625" style="22"/>
    <col min="2" max="2" width="75.33203125" style="22" bestFit="1" customWidth="1"/>
    <col min="3" max="3" width="9" style="22" customWidth="1"/>
    <col min="4" max="12" width="9" style="22" customWidth="1" outlineLevel="1"/>
    <col min="13" max="13" width="9" style="22" customWidth="1"/>
    <col min="14" max="22" width="9" style="22" customWidth="1" outlineLevel="1"/>
    <col min="23" max="23" width="9" style="22" customWidth="1"/>
    <col min="24" max="27" width="9" style="22" customWidth="1" outlineLevel="1"/>
    <col min="28" max="28" width="9" style="22" customWidth="1"/>
    <col min="29" max="32" width="9" style="22" customWidth="1" outlineLevel="1"/>
    <col min="33" max="37" width="9" style="22" customWidth="1"/>
    <col min="38" max="16384" width="9.1640625" style="22"/>
  </cols>
  <sheetData>
    <row r="1" spans="1:37">
      <c r="A1" s="22" t="s">
        <v>500</v>
      </c>
      <c r="B1" s="23" t="s">
        <v>242</v>
      </c>
    </row>
    <row r="2" spans="1:37">
      <c r="C2" s="123" t="s">
        <v>329</v>
      </c>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row>
    <row r="3" spans="1:37">
      <c r="C3" s="24">
        <v>1980</v>
      </c>
      <c r="D3" s="24">
        <v>1981</v>
      </c>
      <c r="E3" s="24">
        <v>1982</v>
      </c>
      <c r="F3" s="24">
        <v>1983</v>
      </c>
      <c r="G3" s="24">
        <v>1984</v>
      </c>
      <c r="H3" s="24">
        <v>1985</v>
      </c>
      <c r="I3" s="24">
        <v>1986</v>
      </c>
      <c r="J3" s="24">
        <v>1987</v>
      </c>
      <c r="K3" s="24">
        <v>1988</v>
      </c>
      <c r="L3" s="24">
        <v>1989</v>
      </c>
      <c r="M3" s="24">
        <v>1990</v>
      </c>
      <c r="N3" s="24">
        <v>1991</v>
      </c>
      <c r="O3" s="24">
        <v>1992</v>
      </c>
      <c r="P3" s="24">
        <v>1993</v>
      </c>
      <c r="Q3" s="24">
        <v>1994</v>
      </c>
      <c r="R3" s="24">
        <v>1995</v>
      </c>
      <c r="S3" s="24">
        <v>1996</v>
      </c>
      <c r="T3" s="24">
        <v>1997</v>
      </c>
      <c r="U3" s="24">
        <v>1998</v>
      </c>
      <c r="V3" s="24">
        <v>1999</v>
      </c>
      <c r="W3" s="24">
        <v>2000</v>
      </c>
      <c r="X3" s="24">
        <v>2001</v>
      </c>
      <c r="Y3" s="24">
        <v>2002</v>
      </c>
      <c r="Z3" s="24">
        <v>2003</v>
      </c>
      <c r="AA3" s="24">
        <v>2004</v>
      </c>
      <c r="AB3" s="24">
        <v>2005</v>
      </c>
      <c r="AC3" s="24">
        <v>2006</v>
      </c>
      <c r="AD3" s="24">
        <v>2007</v>
      </c>
      <c r="AE3" s="24">
        <v>2008</v>
      </c>
      <c r="AF3" s="24">
        <v>2009</v>
      </c>
      <c r="AG3" s="24">
        <v>2010</v>
      </c>
      <c r="AH3" s="24">
        <v>2011</v>
      </c>
      <c r="AI3" s="24">
        <v>2012</v>
      </c>
      <c r="AJ3" s="24">
        <v>2013</v>
      </c>
      <c r="AK3" s="24">
        <v>2014</v>
      </c>
    </row>
    <row r="4" spans="1:37">
      <c r="B4" s="22" t="s">
        <v>0</v>
      </c>
    </row>
    <row r="5" spans="1:37" s="24" customFormat="1">
      <c r="A5" s="24" t="str">
        <f>B4</f>
        <v>Revenue</v>
      </c>
      <c r="B5" s="25" t="s">
        <v>502</v>
      </c>
      <c r="C5" s="107">
        <f>SUMIFS('S&amp;L Data'!N2:N500,'S&amp;L Data'!$B2:$B500,"Revenue")</f>
        <v>332580232</v>
      </c>
      <c r="D5" s="107">
        <f>SUMIFS('S&amp;L Data'!O2:O500,'S&amp;L Data'!$B2:$B500,"Revenue")</f>
        <v>367340355</v>
      </c>
      <c r="E5" s="107">
        <f>SUMIFS('S&amp;L Data'!P2:P500,'S&amp;L Data'!$B2:$B500,"Revenue")</f>
        <v>392213609</v>
      </c>
      <c r="F5" s="107">
        <f>SUMIFS('S&amp;L Data'!Q2:Q500,'S&amp;L Data'!$B2:$B500,"Revenue")</f>
        <v>422041154</v>
      </c>
      <c r="G5" s="107">
        <f>SUMIFS('S&amp;L Data'!R2:R500,'S&amp;L Data'!$B2:$B500,"Revenue")</f>
        <v>472883073</v>
      </c>
      <c r="H5" s="107">
        <f>SUMIFS('S&amp;L Data'!S2:S500,'S&amp;L Data'!$B2:$B500,"Revenue")</f>
        <v>521673966</v>
      </c>
      <c r="I5" s="107">
        <f>SUMIFS('S&amp;L Data'!T2:T500,'S&amp;L Data'!$B2:$B500,"Revenue")</f>
        <v>569569897</v>
      </c>
      <c r="J5" s="107">
        <f>SUMIFS('S&amp;L Data'!U2:U500,'S&amp;L Data'!$B2:$B500,"Revenue")</f>
        <v>614986381</v>
      </c>
      <c r="K5" s="107">
        <f>SUMIFS('S&amp;L Data'!V2:V500,'S&amp;L Data'!$B2:$B500,"Revenue")</f>
        <v>634019063</v>
      </c>
      <c r="L5" s="107">
        <f>SUMIFS('S&amp;L Data'!W2:W500,'S&amp;L Data'!$B2:$B500,"Revenue")</f>
        <v>677622906</v>
      </c>
      <c r="M5" s="107">
        <f>SUMIFS('S&amp;L Data'!X2:X500,'S&amp;L Data'!$B2:$B500,"Revenue")</f>
        <v>735090836</v>
      </c>
      <c r="N5" s="107">
        <f>SUMIFS('S&amp;L Data'!Y2:Y500,'S&amp;L Data'!$B2:$B500,"Revenue")</f>
        <v>768994038</v>
      </c>
      <c r="O5" s="107">
        <f>SUMIFS('S&amp;L Data'!Z2:Z500,'S&amp;L Data'!$B2:$B500,"Revenue")</f>
        <v>854279410</v>
      </c>
      <c r="P5" s="107">
        <f>SUMIFS('S&amp;L Data'!AA2:AA500,'S&amp;L Data'!$B2:$B500,"Revenue")</f>
        <v>916006055</v>
      </c>
      <c r="Q5" s="107">
        <f>SUMIFS('S&amp;L Data'!AB2:AB500,'S&amp;L Data'!$B2:$B500,"Revenue")</f>
        <v>963324410</v>
      </c>
      <c r="R5" s="107">
        <f>SUMIFS('S&amp;L Data'!AC2:AC500,'S&amp;L Data'!$B2:$B500,"Revenue")</f>
        <v>1020787563</v>
      </c>
      <c r="S5" s="107">
        <f>SUMIFS('S&amp;L Data'!AD2:AD500,'S&amp;L Data'!$B2:$B500,"Revenue")</f>
        <v>1099985730</v>
      </c>
      <c r="T5" s="107">
        <f>SUMIFS('S&amp;L Data'!AE2:AE500,'S&amp;L Data'!$B2:$B500,"Revenue")</f>
        <v>1184854271</v>
      </c>
      <c r="U5" s="107">
        <f>SUMIFS('S&amp;L Data'!AF2:AF500,'S&amp;L Data'!$B2:$B500,"Revenue")</f>
        <v>1286252899</v>
      </c>
      <c r="V5" s="107">
        <f>SUMIFS('S&amp;L Data'!AG2:AG500,'S&amp;L Data'!$B2:$B500,"Revenue")</f>
        <v>1344236247</v>
      </c>
      <c r="W5" s="107">
        <f>SUMIFS('S&amp;L Data'!AH2:AH500,'S&amp;L Data'!$B2:$B500,"Revenue")</f>
        <v>1468419578</v>
      </c>
      <c r="X5" s="107">
        <f>SUMIFS('S&amp;L Data'!AI2:AI500,'S&amp;L Data'!$B2:$B500,"Revenue")</f>
        <v>1377156539</v>
      </c>
      <c r="Y5" s="107">
        <f>SUMIFS('S&amp;L Data'!AJ2:AJ500,'S&amp;L Data'!$B2:$B500,"Revenue")</f>
        <v>1275929976</v>
      </c>
      <c r="Z5" s="107">
        <f>SUMIFS('S&amp;L Data'!AK2:AK500,'S&amp;L Data'!$B2:$B500,"Revenue")</f>
        <v>1491940790</v>
      </c>
      <c r="AA5" s="107">
        <f>SUMIFS('S&amp;L Data'!AL2:AL500,'S&amp;L Data'!$B2:$B500,"Revenue")</f>
        <v>1846421945</v>
      </c>
      <c r="AB5" s="107">
        <f>SUMIFS('S&amp;L Data'!AM2:AM500,'S&amp;L Data'!$B2:$B500,"Revenue")</f>
        <v>1906488461</v>
      </c>
      <c r="AC5" s="107">
        <f>SUMIFS('S&amp;L Data'!AN2:AN500,'S&amp;L Data'!$B2:$B500,"Revenue")</f>
        <v>2060699366</v>
      </c>
      <c r="AD5" s="107">
        <f>SUMIFS('S&amp;L Data'!AO2:AO500,'S&amp;L Data'!$B2:$B500,"Revenue")</f>
        <v>2337460033</v>
      </c>
      <c r="AE5" s="107">
        <f>SUMIFS('S&amp;L Data'!AP2:AP500,'S&amp;L Data'!$B2:$B500,"Revenue")</f>
        <v>1857107202</v>
      </c>
      <c r="AF5" s="107">
        <f>SUMIFS('S&amp;L Data'!AQ2:AQ500,'S&amp;L Data'!$B2:$B500,"Revenue")</f>
        <v>1315990670</v>
      </c>
      <c r="AG5" s="107">
        <f>SUMIFS('S&amp;L Data'!AR2:AR500,'S&amp;L Data'!$B2:$B500,"Revenue")</f>
        <v>2366370265</v>
      </c>
      <c r="AH5" s="107">
        <f>SUMIFS('S&amp;L Data'!AS2:AS500,'S&amp;L Data'!$B2:$B500,"Revenue")</f>
        <v>2591873958</v>
      </c>
      <c r="AI5" s="107">
        <f>SUMIFS('S&amp;L Data'!AT2:AT500,'S&amp;L Data'!$B2:$B500,"Revenue")</f>
        <v>2197279318</v>
      </c>
      <c r="AJ5" s="107">
        <f>SUMIFS('S&amp;L Data'!AU2:AU500,'S&amp;L Data'!$B2:$B500,"Revenue")</f>
        <v>2555340470</v>
      </c>
      <c r="AK5" s="107">
        <f>SUMIFS('S&amp;L Data'!AV2:AV500,'S&amp;L Data'!$B2:$B500,"Revenue")</f>
        <v>2768561581</v>
      </c>
    </row>
    <row r="6" spans="1:37">
      <c r="A6" s="22" t="str">
        <f>B4</f>
        <v>Revenue</v>
      </c>
      <c r="B6" s="38" t="s">
        <v>1</v>
      </c>
      <c r="C6" s="108">
        <f>SUMIFS('S&amp;L Data'!N2:N500,'S&amp;L Data'!$C2:$C500,"Tax Revenue")</f>
        <v>224750420</v>
      </c>
      <c r="D6" s="108">
        <f>SUMIFS('S&amp;L Data'!O2:O500,'S&amp;L Data'!$C2:$C500,"Tax Revenue")</f>
        <v>245867614</v>
      </c>
      <c r="E6" s="108">
        <f>SUMIFS('S&amp;L Data'!P2:P500,'S&amp;L Data'!$C2:$C500,"Tax Revenue")</f>
        <v>267988794</v>
      </c>
      <c r="F6" s="108">
        <f>SUMIFS('S&amp;L Data'!Q2:Q500,'S&amp;L Data'!$C2:$C500,"Tax Revenue")</f>
        <v>286061026</v>
      </c>
      <c r="G6" s="108">
        <f>SUMIFS('S&amp;L Data'!R2:R500,'S&amp;L Data'!$C2:$C500,"Tax Revenue")</f>
        <v>322099215</v>
      </c>
      <c r="H6" s="108">
        <f>SUMIFS('S&amp;L Data'!S2:S500,'S&amp;L Data'!$C2:$C500,"Tax Revenue")</f>
        <v>352477089</v>
      </c>
      <c r="I6" s="108">
        <f>SUMIFS('S&amp;L Data'!T2:T500,'S&amp;L Data'!$C2:$C500,"Tax Revenue")</f>
        <v>375242153</v>
      </c>
      <c r="J6" s="108">
        <f>SUMIFS('S&amp;L Data'!U2:U500,'S&amp;L Data'!$C2:$C500,"Tax Revenue")</f>
        <v>407213848</v>
      </c>
      <c r="K6" s="108">
        <f>SUMIFS('S&amp;L Data'!V2:V500,'S&amp;L Data'!$C2:$C500,"Tax Revenue")</f>
        <v>438298831</v>
      </c>
      <c r="L6" s="108">
        <f>SUMIFS('S&amp;L Data'!W2:W500,'S&amp;L Data'!$C2:$C500,"Tax Revenue")</f>
        <v>471166068</v>
      </c>
      <c r="M6" s="108">
        <f>SUMIFS('S&amp;L Data'!X2:X500,'S&amp;L Data'!$C2:$C500,"Tax Revenue")</f>
        <v>504045161</v>
      </c>
      <c r="N6" s="108">
        <f>SUMIFS('S&amp;L Data'!Y2:Y500,'S&amp;L Data'!$C2:$C500,"Tax Revenue")</f>
        <v>527675385</v>
      </c>
      <c r="O6" s="108">
        <f>SUMIFS('S&amp;L Data'!Z2:Z500,'S&amp;L Data'!$C2:$C500,"Tax Revenue")</f>
        <v>562328331</v>
      </c>
      <c r="P6" s="108">
        <f>SUMIFS('S&amp;L Data'!AA2:AA500,'S&amp;L Data'!$C2:$C500,"Tax Revenue")</f>
        <v>596964377</v>
      </c>
      <c r="Q6" s="108">
        <f>SUMIFS('S&amp;L Data'!AB2:AB500,'S&amp;L Data'!$C2:$C500,"Tax Revenue")</f>
        <v>628518432</v>
      </c>
      <c r="R6" s="108">
        <f>SUMIFS('S&amp;L Data'!AC2:AC500,'S&amp;L Data'!$C2:$C500,"Tax Revenue")</f>
        <v>663682648</v>
      </c>
      <c r="S6" s="108">
        <f>SUMIFS('S&amp;L Data'!AD2:AD500,'S&amp;L Data'!$C2:$C500,"Tax Revenue")</f>
        <v>692114760</v>
      </c>
      <c r="T6" s="108">
        <f>SUMIFS('S&amp;L Data'!AE2:AE500,'S&amp;L Data'!$C2:$C500,"Tax Revenue")</f>
        <v>732032005</v>
      </c>
      <c r="U6" s="108">
        <f>SUMIFS('S&amp;L Data'!AF2:AF500,'S&amp;L Data'!$C2:$C500,"Tax Revenue")</f>
        <v>777740747</v>
      </c>
      <c r="V6" s="108">
        <f>SUMIFS('S&amp;L Data'!AG2:AG500,'S&amp;L Data'!$C2:$C500,"Tax Revenue")</f>
        <v>818969139</v>
      </c>
      <c r="W6" s="108">
        <f>SUMIFS('S&amp;L Data'!AH2:AH500,'S&amp;L Data'!$C2:$C500,"Tax Revenue")</f>
        <v>876166568</v>
      </c>
      <c r="X6" s="108">
        <f>SUMIFS('S&amp;L Data'!AI2:AI500,'S&amp;L Data'!$C2:$C500,"Tax Revenue")</f>
        <v>918051885</v>
      </c>
      <c r="Y6" s="108">
        <f>SUMIFS('S&amp;L Data'!AJ2:AJ500,'S&amp;L Data'!$C2:$C500,"Tax Revenue")</f>
        <v>909880241</v>
      </c>
      <c r="Z6" s="108">
        <f>SUMIFS('S&amp;L Data'!AK2:AK500,'S&amp;L Data'!$C2:$C500,"Tax Revenue")</f>
        <v>944779994</v>
      </c>
      <c r="AA6" s="108">
        <f>SUMIFS('S&amp;L Data'!AL2:AL500,'S&amp;L Data'!$C2:$C500,"Tax Revenue")</f>
        <v>1016856625</v>
      </c>
      <c r="AB6" s="108">
        <f>SUMIFS('S&amp;L Data'!AM2:AM500,'S&amp;L Data'!$C2:$C500,"Tax Revenue")</f>
        <v>1104847536</v>
      </c>
      <c r="AC6" s="108">
        <f>SUMIFS('S&amp;L Data'!AN2:AN500,'S&amp;L Data'!$C2:$C500,"Tax Revenue")</f>
        <v>1212510134</v>
      </c>
      <c r="AD6" s="108">
        <f>SUMIFS('S&amp;L Data'!AO2:AO500,'S&amp;L Data'!$C2:$C500,"Tax Revenue")</f>
        <v>1290770635</v>
      </c>
      <c r="AE6" s="108">
        <f>SUMIFS('S&amp;L Data'!AP2:AP500,'S&amp;L Data'!$C2:$C500,"Tax Revenue")</f>
        <v>1337068599</v>
      </c>
      <c r="AF6" s="108">
        <f>SUMIFS('S&amp;L Data'!AQ2:AQ500,'S&amp;L Data'!$C2:$C500,"Tax Revenue")</f>
        <v>1288994466</v>
      </c>
      <c r="AG6" s="108">
        <f>SUMIFS('S&amp;L Data'!AR2:AR500,'S&amp;L Data'!$C2:$C500,"Tax Revenue")</f>
        <v>1285847717</v>
      </c>
      <c r="AH6" s="108">
        <f>SUMIFS('S&amp;L Data'!AS2:AS500,'S&amp;L Data'!$C2:$C500,"Tax Revenue")</f>
        <v>1351019860</v>
      </c>
      <c r="AI6" s="108">
        <f>SUMIFS('S&amp;L Data'!AT2:AT500,'S&amp;L Data'!$C2:$C500,"Tax Revenue")</f>
        <v>1395296821</v>
      </c>
      <c r="AJ6" s="108">
        <f>SUMIFS('S&amp;L Data'!AU2:AU500,'S&amp;L Data'!$C2:$C500,"Tax Revenue")</f>
        <v>1458767411</v>
      </c>
      <c r="AK6" s="108">
        <f>SUMIFS('S&amp;L Data'!AV2:AV500,'S&amp;L Data'!$C2:$C500,"Tax Revenue")</f>
        <v>1498597655</v>
      </c>
    </row>
    <row r="7" spans="1:37" outlineLevel="1">
      <c r="A7" s="22" t="str">
        <f>B6</f>
        <v>Tax Revenue</v>
      </c>
      <c r="B7" s="27" t="s">
        <v>3</v>
      </c>
      <c r="C7" s="109">
        <f>SUMIFS('S&amp;L Data'!N2:N500,'S&amp;L Data'!$D2:$D500,"Individual Income Taxes")</f>
        <v>42079764</v>
      </c>
      <c r="D7" s="109">
        <f>SUMIFS('S&amp;L Data'!O2:O500,'S&amp;L Data'!$D2:$D500,"Individual Income Taxes")</f>
        <v>46426426</v>
      </c>
      <c r="E7" s="109">
        <f>SUMIFS('S&amp;L Data'!P2:P500,'S&amp;L Data'!$D2:$D500,"Individual Income Taxes")</f>
        <v>50738164</v>
      </c>
      <c r="F7" s="109">
        <f>SUMIFS('S&amp;L Data'!Q2:Q500,'S&amp;L Data'!$D2:$D500,"Individual Income Taxes")</f>
        <v>55128927</v>
      </c>
      <c r="G7" s="109">
        <f>SUMIFS('S&amp;L Data'!R2:R500,'S&amp;L Data'!$D2:$D500,"Individual Income Taxes")</f>
        <v>64871351</v>
      </c>
      <c r="H7" s="109">
        <f>SUMIFS('S&amp;L Data'!S2:S500,'S&amp;L Data'!$D2:$D500,"Individual Income Taxes")</f>
        <v>70361403</v>
      </c>
      <c r="I7" s="109">
        <f>SUMIFS('S&amp;L Data'!T2:T500,'S&amp;L Data'!$D2:$D500,"Individual Income Taxes")</f>
        <v>74364912</v>
      </c>
      <c r="J7" s="109">
        <f>SUMIFS('S&amp;L Data'!U2:U500,'S&amp;L Data'!$D2:$D500,"Individual Income Taxes")</f>
        <v>83934727</v>
      </c>
      <c r="K7" s="109">
        <f>SUMIFS('S&amp;L Data'!V2:V500,'S&amp;L Data'!$D2:$D500,"Individual Income Taxes")</f>
        <v>88349539</v>
      </c>
      <c r="L7" s="109">
        <f>SUMIFS('S&amp;L Data'!W2:W500,'S&amp;L Data'!$D2:$D500,"Individual Income Taxes")</f>
        <v>97805749</v>
      </c>
      <c r="M7" s="109">
        <f>SUMIFS('S&amp;L Data'!X2:X500,'S&amp;L Data'!$D2:$D500,"Individual Income Taxes")</f>
        <v>105639737</v>
      </c>
      <c r="N7" s="109">
        <f>SUMIFS('S&amp;L Data'!Y2:Y500,'S&amp;L Data'!$D2:$D500,"Individual Income Taxes")</f>
        <v>109340832</v>
      </c>
      <c r="O7" s="109">
        <f>SUMIFS('S&amp;L Data'!Z2:Z500,'S&amp;L Data'!$D2:$D500,"Individual Income Taxes")</f>
        <v>115564827</v>
      </c>
      <c r="P7" s="109">
        <f>SUMIFS('S&amp;L Data'!AA2:AA500,'S&amp;L Data'!$D2:$D500,"Individual Income Taxes")</f>
        <v>123235406</v>
      </c>
      <c r="Q7" s="109">
        <f>SUMIFS('S&amp;L Data'!AB2:AB500,'S&amp;L Data'!$D2:$D500,"Individual Income Taxes")</f>
        <v>128809920</v>
      </c>
      <c r="R7" s="109">
        <f>SUMIFS('S&amp;L Data'!AC2:AC500,'S&amp;L Data'!$D2:$D500,"Individual Income Taxes")</f>
        <v>137930595</v>
      </c>
      <c r="S7" s="109">
        <f>SUMIFS('S&amp;L Data'!AD2:AD500,'S&amp;L Data'!$D2:$D500,"Individual Income Taxes")</f>
        <v>146842248</v>
      </c>
      <c r="T7" s="109">
        <f>SUMIFS('S&amp;L Data'!AE2:AE500,'S&amp;L Data'!$D2:$D500,"Individual Income Taxes")</f>
        <v>159069891</v>
      </c>
      <c r="U7" s="109">
        <f>SUMIFS('S&amp;L Data'!AF2:AF500,'S&amp;L Data'!$D2:$D500,"Individual Income Taxes")</f>
        <v>175630035</v>
      </c>
      <c r="V7" s="109">
        <f>SUMIFS('S&amp;L Data'!AG2:AG500,'S&amp;L Data'!$D2:$D500,"Individual Income Taxes")</f>
        <v>189308854</v>
      </c>
      <c r="W7" s="109">
        <f>SUMIFS('S&amp;L Data'!AH2:AH500,'S&amp;L Data'!$D2:$D500,"Individual Income Taxes")</f>
        <v>211660682</v>
      </c>
      <c r="X7" s="109">
        <f>SUMIFS('S&amp;L Data'!AI2:AI500,'S&amp;L Data'!$D2:$D500,"Individual Income Taxes")</f>
        <v>226333547</v>
      </c>
      <c r="Y7" s="109">
        <f>SUMIFS('S&amp;L Data'!AJ2:AJ500,'S&amp;L Data'!$D2:$D500,"Individual Income Taxes")</f>
        <v>202832254</v>
      </c>
      <c r="Z7" s="109">
        <f>SUMIFS('S&amp;L Data'!AK2:AK500,'S&amp;L Data'!$D2:$D500,"Individual Income Taxes")</f>
        <v>199407020</v>
      </c>
      <c r="AA7" s="109">
        <f>SUMIFS('S&amp;L Data'!AL2:AL500,'S&amp;L Data'!$D2:$D500,"Individual Income Taxes")</f>
        <v>215214769</v>
      </c>
      <c r="AB7" s="109">
        <f>SUMIFS('S&amp;L Data'!AM2:AM500,'S&amp;L Data'!$D2:$D500,"Individual Income Taxes")</f>
        <v>242273042</v>
      </c>
      <c r="AC7" s="109">
        <f>SUMIFS('S&amp;L Data'!AN2:AN500,'S&amp;L Data'!$D2:$D500,"Individual Income Taxes")</f>
        <v>268667132</v>
      </c>
      <c r="AD7" s="109">
        <f>SUMIFS('S&amp;L Data'!AO2:AO500,'S&amp;L Data'!$D2:$D500,"Individual Income Taxes")</f>
        <v>290278113</v>
      </c>
      <c r="AE7" s="109">
        <f>SUMIFS('S&amp;L Data'!AP2:AP500,'S&amp;L Data'!$D2:$D500,"Individual Income Taxes")</f>
        <v>304902076</v>
      </c>
      <c r="AF7" s="109">
        <f>SUMIFS('S&amp;L Data'!AQ2:AQ500,'S&amp;L Data'!$D2:$D500,"Individual Income Taxes")</f>
        <v>270941521</v>
      </c>
      <c r="AG7" s="109">
        <f>SUMIFS('S&amp;L Data'!AR2:AR500,'S&amp;L Data'!$D2:$D500,"Individual Income Taxes")</f>
        <v>261510473</v>
      </c>
      <c r="AH7" s="109">
        <f>SUMIFS('S&amp;L Data'!AS2:AS500,'S&amp;L Data'!$D2:$D500,"Individual Income Taxes")</f>
        <v>285293135</v>
      </c>
      <c r="AI7" s="109">
        <f>SUMIFS('S&amp;L Data'!AT2:AT500,'S&amp;L Data'!$D2:$D500,"Individual Income Taxes")</f>
        <v>307255616</v>
      </c>
      <c r="AJ7" s="109">
        <f>SUMIFS('S&amp;L Data'!AU2:AU500,'S&amp;L Data'!$D2:$D500,"Individual Income Taxes")</f>
        <v>338709576</v>
      </c>
      <c r="AK7" s="109">
        <f>SUMIFS('S&amp;L Data'!AV2:AV500,'S&amp;L Data'!$D2:$D500,"Individual Income Taxes")</f>
        <v>341135706</v>
      </c>
    </row>
    <row r="8" spans="1:37" outlineLevel="1">
      <c r="A8" s="22" t="str">
        <f>B6</f>
        <v>Tax Revenue</v>
      </c>
      <c r="B8" s="27" t="s">
        <v>4</v>
      </c>
      <c r="C8" s="109">
        <f>SUMIFS('S&amp;L Data'!N2:N500,'S&amp;L Data'!$D2:$D500,"Corporate Income Taxes")</f>
        <v>13321331</v>
      </c>
      <c r="D8" s="109">
        <f>SUMIFS('S&amp;L Data'!O2:O500,'S&amp;L Data'!$D2:$D500,"Corporate Income Taxes")</f>
        <v>14143497</v>
      </c>
      <c r="E8" s="109">
        <f>SUMIFS('S&amp;L Data'!P2:P500,'S&amp;L Data'!$D2:$D500,"Corporate Income Taxes")</f>
        <v>15028326</v>
      </c>
      <c r="F8" s="109">
        <f>SUMIFS('S&amp;L Data'!Q2:Q500,'S&amp;L Data'!$D2:$D500,"Corporate Income Taxes")</f>
        <v>14257647</v>
      </c>
      <c r="G8" s="109">
        <f>SUMIFS('S&amp;L Data'!R2:R500,'S&amp;L Data'!$D2:$D500,"Corporate Income Taxes")</f>
        <v>16798087</v>
      </c>
      <c r="H8" s="109">
        <f>SUMIFS('S&amp;L Data'!S2:S500,'S&amp;L Data'!$D2:$D500,"Corporate Income Taxes")</f>
        <v>19152186</v>
      </c>
      <c r="I8" s="109">
        <f>SUMIFS('S&amp;L Data'!T2:T500,'S&amp;L Data'!$D2:$D500,"Corporate Income Taxes")</f>
        <v>19994145</v>
      </c>
      <c r="J8" s="109">
        <f>SUMIFS('S&amp;L Data'!U2:U500,'S&amp;L Data'!$D2:$D500,"Corporate Income Taxes")</f>
        <v>22424627</v>
      </c>
      <c r="K8" s="109">
        <f>SUMIFS('S&amp;L Data'!V2:V500,'S&amp;L Data'!$D2:$D500,"Corporate Income Taxes")</f>
        <v>23663438</v>
      </c>
      <c r="L8" s="109">
        <f>SUMIFS('S&amp;L Data'!W2:W500,'S&amp;L Data'!$D2:$D500,"Corporate Income Taxes")</f>
        <v>25925885</v>
      </c>
      <c r="M8" s="109">
        <f>SUMIFS('S&amp;L Data'!X2:X500,'S&amp;L Data'!$D2:$D500,"Corporate Income Taxes")</f>
        <v>23566322</v>
      </c>
      <c r="N8" s="109">
        <f>SUMIFS('S&amp;L Data'!Y2:Y500,'S&amp;L Data'!$D2:$D500,"Corporate Income Taxes")</f>
        <v>22242445</v>
      </c>
      <c r="O8" s="109">
        <f>SUMIFS('S&amp;L Data'!Z2:Z500,'S&amp;L Data'!$D2:$D500,"Corporate Income Taxes")</f>
        <v>23870449</v>
      </c>
      <c r="P8" s="109">
        <f>SUMIFS('S&amp;L Data'!AA2:AA500,'S&amp;L Data'!$D2:$D500,"Corporate Income Taxes")</f>
        <v>26417292</v>
      </c>
      <c r="Q8" s="109">
        <f>SUMIFS('S&amp;L Data'!AB2:AB500,'S&amp;L Data'!$D2:$D500,"Corporate Income Taxes")</f>
        <v>28319516</v>
      </c>
      <c r="R8" s="109">
        <f>SUMIFS('S&amp;L Data'!AC2:AC500,'S&amp;L Data'!$D2:$D500,"Corporate Income Taxes")</f>
        <v>31405814</v>
      </c>
      <c r="S8" s="109">
        <f>SUMIFS('S&amp;L Data'!AD2:AD500,'S&amp;L Data'!$D2:$D500,"Corporate Income Taxes")</f>
        <v>32009111</v>
      </c>
      <c r="T8" s="109">
        <f>SUMIFS('S&amp;L Data'!AE2:AE500,'S&amp;L Data'!$D2:$D500,"Corporate Income Taxes")</f>
        <v>33820422</v>
      </c>
      <c r="U8" s="109">
        <f>SUMIFS('S&amp;L Data'!AF2:AF500,'S&amp;L Data'!$D2:$D500,"Corporate Income Taxes")</f>
        <v>34411615</v>
      </c>
      <c r="V8" s="109">
        <f>SUMIFS('S&amp;L Data'!AG2:AG500,'S&amp;L Data'!$D2:$D500,"Corporate Income Taxes")</f>
        <v>33922371</v>
      </c>
      <c r="W8" s="109">
        <f>SUMIFS('S&amp;L Data'!AH2:AH500,'S&amp;L Data'!$D2:$D500,"Corporate Income Taxes")</f>
        <v>36058903</v>
      </c>
      <c r="X8" s="109">
        <f>SUMIFS('S&amp;L Data'!AI2:AI500,'S&amp;L Data'!$D2:$D500,"Corporate Income Taxes")</f>
        <v>35296152</v>
      </c>
      <c r="Y8" s="109">
        <f>SUMIFS('S&amp;L Data'!AJ2:AJ500,'S&amp;L Data'!$D2:$D500,"Corporate Income Taxes")</f>
        <v>28151862</v>
      </c>
      <c r="Z8" s="109">
        <f>SUMIFS('S&amp;L Data'!AK2:AK500,'S&amp;L Data'!$D2:$D500,"Corporate Income Taxes")</f>
        <v>31369064</v>
      </c>
      <c r="AA8" s="109">
        <f>SUMIFS('S&amp;L Data'!AL2:AL500,'S&amp;L Data'!$D2:$D500,"Corporate Income Taxes")</f>
        <v>33715793</v>
      </c>
      <c r="AB8" s="109">
        <f>SUMIFS('S&amp;L Data'!AM2:AM500,'S&amp;L Data'!$D2:$D500,"Corporate Income Taxes")</f>
        <v>43255712</v>
      </c>
      <c r="AC8" s="109">
        <f>SUMIFS('S&amp;L Data'!AN2:AN500,'S&amp;L Data'!$D2:$D500,"Corporate Income Taxes")</f>
        <v>53080748</v>
      </c>
      <c r="AD8" s="109">
        <f>SUMIFS('S&amp;L Data'!AO2:AO500,'S&amp;L Data'!$D2:$D500,"Corporate Income Taxes")</f>
        <v>60954942</v>
      </c>
      <c r="AE8" s="109">
        <f>SUMIFS('S&amp;L Data'!AP2:AP500,'S&amp;L Data'!$D2:$D500,"Corporate Income Taxes")</f>
        <v>57230891</v>
      </c>
      <c r="AF8" s="109">
        <f>SUMIFS('S&amp;L Data'!AQ2:AQ500,'S&amp;L Data'!$D2:$D500,"Corporate Income Taxes")</f>
        <v>46279861</v>
      </c>
      <c r="AG8" s="109">
        <f>SUMIFS('S&amp;L Data'!AR2:AR500,'S&amp;L Data'!$D2:$D500,"Corporate Income Taxes")</f>
        <v>44107796</v>
      </c>
      <c r="AH8" s="109">
        <f>SUMIFS('S&amp;L Data'!AS2:AS500,'S&amp;L Data'!$D2:$D500,"Corporate Income Taxes")</f>
        <v>48421906</v>
      </c>
      <c r="AI8" s="109">
        <f>SUMIFS('S&amp;L Data'!AT2:AT500,'S&amp;L Data'!$D2:$D500,"Corporate Income Taxes")</f>
        <v>48933513</v>
      </c>
      <c r="AJ8" s="109">
        <f>SUMIFS('S&amp;L Data'!AU2:AU500,'S&amp;L Data'!$D2:$D500,"Corporate Income Taxes")</f>
        <v>52908727</v>
      </c>
      <c r="AK8" s="109">
        <f>SUMIFS('S&amp;L Data'!AV2:AV500,'S&amp;L Data'!$D2:$D500,"Corporate Income Taxes")</f>
        <v>54559763</v>
      </c>
    </row>
    <row r="9" spans="1:37" outlineLevel="1">
      <c r="A9" s="22" t="str">
        <f>B6</f>
        <v>Tax Revenue</v>
      </c>
      <c r="B9" s="27" t="s">
        <v>5</v>
      </c>
      <c r="C9" s="109">
        <f>SUMIFS('S&amp;L Data'!N2:N500,'S&amp;L Data'!$D2:$D500,"Sales and Excise Taxes")</f>
        <v>79926588</v>
      </c>
      <c r="D9" s="109">
        <f>SUMIFS('S&amp;L Data'!O2:O500,'S&amp;L Data'!$D2:$D500,"Sales and Excise Taxes")</f>
        <v>85971420</v>
      </c>
      <c r="E9" s="109">
        <f>SUMIFS('S&amp;L Data'!P2:P500,'S&amp;L Data'!$D2:$D500,"Sales and Excise Taxes")</f>
        <v>93612948</v>
      </c>
      <c r="F9" s="109">
        <f>SUMIFS('S&amp;L Data'!Q2:Q500,'S&amp;L Data'!$D2:$D500,"Sales and Excise Taxes")</f>
        <v>100246638</v>
      </c>
      <c r="G9" s="109">
        <f>SUMIFS('S&amp;L Data'!R2:R500,'S&amp;L Data'!$D2:$D500,"Sales and Excise Taxes")</f>
        <v>114097342</v>
      </c>
      <c r="H9" s="109">
        <f>SUMIFS('S&amp;L Data'!S2:S500,'S&amp;L Data'!$D2:$D500,"Sales and Excise Taxes")</f>
        <v>126375711</v>
      </c>
      <c r="I9" s="109">
        <f>SUMIFS('S&amp;L Data'!T2:T500,'S&amp;L Data'!$D2:$D500,"Sales and Excise Taxes")</f>
        <v>135004563</v>
      </c>
      <c r="J9" s="109">
        <f>SUMIFS('S&amp;L Data'!U2:U500,'S&amp;L Data'!$D2:$D500,"Sales and Excise Taxes")</f>
        <v>144090686</v>
      </c>
      <c r="K9" s="109">
        <f>SUMIFS('S&amp;L Data'!V2:V500,'S&amp;L Data'!$D2:$D500,"Sales and Excise Taxes")</f>
        <v>156452331</v>
      </c>
      <c r="L9" s="109">
        <f>SUMIFS('S&amp;L Data'!W2:W500,'S&amp;L Data'!$D2:$D500,"Sales and Excise Taxes")</f>
        <v>166335997</v>
      </c>
      <c r="M9" s="109">
        <f>SUMIFS('S&amp;L Data'!X2:X500,'S&amp;L Data'!$D2:$D500,"Sales and Excise Taxes")</f>
        <v>177884755</v>
      </c>
      <c r="N9" s="109">
        <f>SUMIFS('S&amp;L Data'!Y2:Y500,'S&amp;L Data'!$D2:$D500,"Sales and Excise Taxes")</f>
        <v>185570228</v>
      </c>
      <c r="O9" s="109">
        <f>SUMIFS('S&amp;L Data'!Z2:Z500,'S&amp;L Data'!$D2:$D500,"Sales and Excise Taxes")</f>
        <v>197726682</v>
      </c>
      <c r="P9" s="109">
        <f>SUMIFS('S&amp;L Data'!AA2:AA500,'S&amp;L Data'!$D2:$D500,"Sales and Excise Taxes")</f>
        <v>209648859</v>
      </c>
      <c r="Q9" s="109">
        <f>SUMIFS('S&amp;L Data'!AB2:AB500,'S&amp;L Data'!$D2:$D500,"Sales and Excise Taxes")</f>
        <v>223628301</v>
      </c>
      <c r="R9" s="109">
        <f>SUMIFS('S&amp;L Data'!AC2:AC500,'S&amp;L Data'!$D2:$D500,"Sales and Excise Taxes")</f>
        <v>237268397</v>
      </c>
      <c r="S9" s="109">
        <f>SUMIFS('S&amp;L Data'!AD2:AD500,'S&amp;L Data'!$D2:$D500,"Sales and Excise Taxes")</f>
        <v>248947062</v>
      </c>
      <c r="T9" s="109">
        <f>SUMIFS('S&amp;L Data'!AE2:AE500,'S&amp;L Data'!$D2:$D500,"Sales and Excise Taxes")</f>
        <v>261734150</v>
      </c>
      <c r="U9" s="109">
        <f>SUMIFS('S&amp;L Data'!AF2:AF500,'S&amp;L Data'!$D2:$D500,"Sales and Excise Taxes")</f>
        <v>274883406</v>
      </c>
      <c r="V9" s="109">
        <f>SUMIFS('S&amp;L Data'!AG2:AG500,'S&amp;L Data'!$D2:$D500,"Sales and Excise Taxes")</f>
        <v>290992942</v>
      </c>
      <c r="W9" s="109">
        <f>SUMIFS('S&amp;L Data'!AH2:AH500,'S&amp;L Data'!$D2:$D500,"Sales and Excise Taxes")</f>
        <v>309289792</v>
      </c>
      <c r="X9" s="109">
        <f>SUMIFS('S&amp;L Data'!AI2:AI500,'S&amp;L Data'!$D2:$D500,"Sales and Excise Taxes")</f>
        <v>320216988</v>
      </c>
      <c r="Y9" s="109">
        <f>SUMIFS('S&amp;L Data'!AJ2:AJ500,'S&amp;L Data'!$D2:$D500,"Sales and Excise Taxes")</f>
        <v>324122506</v>
      </c>
      <c r="Z9" s="109">
        <f>SUMIFS('S&amp;L Data'!AK2:AK500,'S&amp;L Data'!$D2:$D500,"Sales and Excise Taxes")</f>
        <v>337786567</v>
      </c>
      <c r="AA9" s="109">
        <f>SUMIFS('S&amp;L Data'!AL2:AL500,'S&amp;L Data'!$D2:$D500,"Sales and Excise Taxes")</f>
        <v>361026946</v>
      </c>
      <c r="AB9" s="109">
        <f>SUMIFS('S&amp;L Data'!AM2:AM500,'S&amp;L Data'!$D2:$D500,"Sales and Excise Taxes")</f>
        <v>384266166</v>
      </c>
      <c r="AC9" s="109">
        <f>SUMIFS('S&amp;L Data'!AN2:AN500,'S&amp;L Data'!$D2:$D500,"Sales and Excise Taxes")</f>
        <v>417734525</v>
      </c>
      <c r="AD9" s="109">
        <f>SUMIFS('S&amp;L Data'!AO2:AO500,'S&amp;L Data'!$D2:$D500,"Sales and Excise Taxes")</f>
        <v>440469533</v>
      </c>
      <c r="AE9" s="109">
        <f>SUMIFS('S&amp;L Data'!AP2:AP500,'S&amp;L Data'!$D2:$D500,"Sales and Excise Taxes")</f>
        <v>449944957</v>
      </c>
      <c r="AF9" s="109">
        <f>SUMIFS('S&amp;L Data'!AQ2:AQ500,'S&amp;L Data'!$D2:$D500,"Sales and Excise Taxes")</f>
        <v>434128330</v>
      </c>
      <c r="AG9" s="109">
        <f>SUMIFS('S&amp;L Data'!AR2:AR500,'S&amp;L Data'!$D2:$D500,"Sales and Excise Taxes")</f>
        <v>435570729</v>
      </c>
      <c r="AH9" s="109">
        <f>SUMIFS('S&amp;L Data'!AS2:AS500,'S&amp;L Data'!$D2:$D500,"Sales and Excise Taxes")</f>
        <v>463979488</v>
      </c>
      <c r="AI9" s="109">
        <f>SUMIFS('S&amp;L Data'!AT2:AT500,'S&amp;L Data'!$D2:$D500,"Sales and Excise Taxes")</f>
        <v>476544283</v>
      </c>
      <c r="AJ9" s="109">
        <f>SUMIFS('S&amp;L Data'!AU2:AU500,'S&amp;L Data'!$D2:$D500,"Sales and Excise Taxes")</f>
        <v>495238236</v>
      </c>
      <c r="AK9" s="109">
        <f>SUMIFS('S&amp;L Data'!AV2:AV500,'S&amp;L Data'!$D2:$D500,"Sales and Excise Taxes")</f>
        <v>517368126</v>
      </c>
    </row>
    <row r="10" spans="1:37" outlineLevel="2">
      <c r="A10" s="22" t="str">
        <f>B9</f>
        <v>Sales and Excise Taxes</v>
      </c>
      <c r="B10" s="28" t="s">
        <v>21</v>
      </c>
      <c r="C10" s="109">
        <f>SUMIFS('S&amp;L Data'!N2:N500,'S&amp;L Data'!$E2:$E500,"General Sales Taxes")</f>
        <v>51327616</v>
      </c>
      <c r="D10" s="109">
        <f>SUMIFS('S&amp;L Data'!O2:O500,'S&amp;L Data'!$E2:$E500,"General Sales Taxes")</f>
        <v>55641390</v>
      </c>
      <c r="E10" s="109">
        <f>SUMIFS('S&amp;L Data'!P2:P500,'S&amp;L Data'!$E2:$E500,"General Sales Taxes")</f>
        <v>60573300</v>
      </c>
      <c r="F10" s="109">
        <f>SUMIFS('S&amp;L Data'!Q2:Q500,'S&amp;L Data'!$E2:$E500,"General Sales Taxes")</f>
        <v>64889896</v>
      </c>
      <c r="G10" s="109">
        <f>SUMIFS('S&amp;L Data'!R2:R500,'S&amp;L Data'!$E2:$E500,"General Sales Taxes")</f>
        <v>75211609</v>
      </c>
      <c r="H10" s="109">
        <f>SUMIFS('S&amp;L Data'!S2:S500,'S&amp;L Data'!$E2:$E500,"General Sales Taxes")</f>
        <v>84295648</v>
      </c>
      <c r="I10" s="109">
        <f>SUMIFS('S&amp;L Data'!T2:T500,'S&amp;L Data'!$E2:$E500,"General Sales Taxes")</f>
        <v>90694713</v>
      </c>
      <c r="J10" s="109">
        <f>SUMIFS('S&amp;L Data'!U2:U500,'S&amp;L Data'!$E2:$E500,"General Sales Taxes")</f>
        <v>96602538</v>
      </c>
      <c r="K10" s="109">
        <f>SUMIFS('S&amp;L Data'!V2:V500,'S&amp;L Data'!$E2:$E500,"General Sales Taxes")</f>
        <v>105237831</v>
      </c>
      <c r="L10" s="109">
        <f>SUMIFS('S&amp;L Data'!W2:W500,'S&amp;L Data'!$E2:$E500,"General Sales Taxes")</f>
        <v>112673222</v>
      </c>
      <c r="M10" s="109">
        <f>SUMIFS('S&amp;L Data'!X2:X500,'S&amp;L Data'!$E2:$E500,"General Sales Taxes")</f>
        <v>121286594</v>
      </c>
      <c r="N10" s="109">
        <f>SUMIFS('S&amp;L Data'!Y2:Y500,'S&amp;L Data'!$E2:$E500,"General Sales Taxes")</f>
        <v>125448814</v>
      </c>
      <c r="O10" s="109">
        <f>SUMIFS('S&amp;L Data'!Z2:Z500,'S&amp;L Data'!$E2:$E500,"General Sales Taxes")</f>
        <v>131978309</v>
      </c>
      <c r="P10" s="109">
        <f>SUMIFS('S&amp;L Data'!AA2:AA500,'S&amp;L Data'!$E2:$E500,"General Sales Taxes")</f>
        <v>138822010</v>
      </c>
      <c r="Q10" s="109">
        <f>SUMIFS('S&amp;L Data'!AB2:AB500,'S&amp;L Data'!$E2:$E500,"General Sales Taxes")</f>
        <v>149039888</v>
      </c>
      <c r="R10" s="109">
        <f>SUMIFS('S&amp;L Data'!AC2:AC500,'S&amp;L Data'!$E2:$E500,"General Sales Taxes")</f>
        <v>160166175</v>
      </c>
      <c r="S10" s="109">
        <f>SUMIFS('S&amp;L Data'!AD2:AD500,'S&amp;L Data'!$E2:$E500,"General Sales Taxes")</f>
        <v>169072372</v>
      </c>
      <c r="T10" s="109">
        <f>SUMIFS('S&amp;L Data'!AE2:AE500,'S&amp;L Data'!$E2:$E500,"General Sales Taxes")</f>
        <v>178746275</v>
      </c>
      <c r="U10" s="109">
        <f>SUMIFS('S&amp;L Data'!AF2:AF500,'S&amp;L Data'!$E2:$E500,"General Sales Taxes")</f>
        <v>188752895</v>
      </c>
      <c r="V10" s="109">
        <f>SUMIFS('S&amp;L Data'!AG2:AG500,'S&amp;L Data'!$E2:$E500,"General Sales Taxes")</f>
        <v>200626752</v>
      </c>
      <c r="W10" s="109">
        <f>SUMIFS('S&amp;L Data'!AH2:AH500,'S&amp;L Data'!$E2:$E500,"General Sales Taxes")</f>
        <v>215112414</v>
      </c>
      <c r="X10" s="109">
        <f>SUMIFS('S&amp;L Data'!AI2:AI500,'S&amp;L Data'!$E2:$E500,"General Sales Taxes")</f>
        <v>223428227</v>
      </c>
      <c r="Y10" s="109">
        <f>SUMIFS('S&amp;L Data'!AJ2:AJ500,'S&amp;L Data'!$E2:$E500,"General Sales Taxes")</f>
        <v>222986687</v>
      </c>
      <c r="Z10" s="109">
        <f>SUMIFS('S&amp;L Data'!AK2:AK500,'S&amp;L Data'!$E2:$E500,"General Sales Taxes")</f>
        <v>229222301</v>
      </c>
      <c r="AA10" s="109">
        <f>SUMIFS('S&amp;L Data'!AL2:AL500,'S&amp;L Data'!$E2:$E500,"General Sales Taxes")</f>
        <v>245342513</v>
      </c>
      <c r="AB10" s="109">
        <f>SUMIFS('S&amp;L Data'!AM2:AM500,'S&amp;L Data'!$E2:$E500,"General Sales Taxes")</f>
        <v>262951838</v>
      </c>
      <c r="AC10" s="109">
        <f>SUMIFS('S&amp;L Data'!AN2:AN500,'S&amp;L Data'!$E2:$E500,"General Sales Taxes")</f>
        <v>285829129</v>
      </c>
      <c r="AD10" s="109">
        <f>SUMIFS('S&amp;L Data'!AO2:AO500,'S&amp;L Data'!$E2:$E500,"General Sales Taxes")</f>
        <v>300601232</v>
      </c>
      <c r="AE10" s="109">
        <f>SUMIFS('S&amp;L Data'!AP2:AP500,'S&amp;L Data'!$E2:$E500,"General Sales Taxes")</f>
        <v>304739498</v>
      </c>
      <c r="AF10" s="109">
        <f>SUMIFS('S&amp;L Data'!AQ2:AQ500,'S&amp;L Data'!$E2:$E500,"General Sales Taxes")</f>
        <v>291300296</v>
      </c>
      <c r="AG10" s="109">
        <f>SUMIFS('S&amp;L Data'!AR2:AR500,'S&amp;L Data'!$E2:$E500,"General Sales Taxes")</f>
        <v>288499186</v>
      </c>
      <c r="AH10" s="109">
        <f>SUMIFS('S&amp;L Data'!AS2:AS500,'S&amp;L Data'!$E2:$E500,"General Sales Taxes")</f>
        <v>304668034</v>
      </c>
      <c r="AI10" s="109">
        <f>SUMIFS('S&amp;L Data'!AT2:AT500,'S&amp;L Data'!$E2:$E500,"General Sales Taxes")</f>
        <v>314135839</v>
      </c>
      <c r="AJ10" s="109">
        <f>SUMIFS('S&amp;L Data'!AU2:AU500,'S&amp;L Data'!$E2:$E500,"General Sales Taxes")</f>
        <v>327036761</v>
      </c>
      <c r="AK10" s="109">
        <f>SUMIFS('S&amp;L Data'!AV2:AV500,'S&amp;L Data'!$E2:$E500,"General Sales Taxes")</f>
        <v>347183136</v>
      </c>
    </row>
    <row r="11" spans="1:37" outlineLevel="2">
      <c r="A11" s="22" t="str">
        <f>B9</f>
        <v>Sales and Excise Taxes</v>
      </c>
      <c r="B11" s="28" t="s">
        <v>22</v>
      </c>
      <c r="C11" s="109">
        <f>SUMIFS('S&amp;L Data'!N2:N500,'S&amp;L Data'!$E2:$E500,"Selective Sales Taxes")</f>
        <v>28598972</v>
      </c>
      <c r="D11" s="109">
        <f>SUMIFS('S&amp;L Data'!O2:O500,'S&amp;L Data'!$E2:$E500,"Selective Sales Taxes")</f>
        <v>30330030</v>
      </c>
      <c r="E11" s="109">
        <f>SUMIFS('S&amp;L Data'!P2:P500,'S&amp;L Data'!$E2:$E500,"Selective Sales Taxes")</f>
        <v>33039648</v>
      </c>
      <c r="F11" s="109">
        <f>SUMIFS('S&amp;L Data'!Q2:Q500,'S&amp;L Data'!$E2:$E500,"Selective Sales Taxes")</f>
        <v>35356742</v>
      </c>
      <c r="G11" s="109">
        <f>SUMIFS('S&amp;L Data'!R2:R500,'S&amp;L Data'!$E2:$E500,"Selective Sales Taxes")</f>
        <v>38885733</v>
      </c>
      <c r="H11" s="109">
        <f>SUMIFS('S&amp;L Data'!S2:S500,'S&amp;L Data'!$E2:$E500,"Selective Sales Taxes")</f>
        <v>42080063</v>
      </c>
      <c r="I11" s="109">
        <f>SUMIFS('S&amp;L Data'!T2:T500,'S&amp;L Data'!$E2:$E500,"Selective Sales Taxes")</f>
        <v>44309850</v>
      </c>
      <c r="J11" s="109">
        <f>SUMIFS('S&amp;L Data'!U2:U500,'S&amp;L Data'!$E2:$E500,"Selective Sales Taxes")</f>
        <v>47488148</v>
      </c>
      <c r="K11" s="109">
        <f>SUMIFS('S&amp;L Data'!V2:V500,'S&amp;L Data'!$E2:$E500,"Selective Sales Taxes")</f>
        <v>51214500</v>
      </c>
      <c r="L11" s="109">
        <f>SUMIFS('S&amp;L Data'!W2:W500,'S&amp;L Data'!$E2:$E500,"Selective Sales Taxes")</f>
        <v>53662775</v>
      </c>
      <c r="M11" s="109">
        <f>SUMIFS('S&amp;L Data'!X2:X500,'S&amp;L Data'!$E2:$E500,"Selective Sales Taxes")</f>
        <v>56598161</v>
      </c>
      <c r="N11" s="109">
        <f>SUMIFS('S&amp;L Data'!Y2:Y500,'S&amp;L Data'!$E2:$E500,"Selective Sales Taxes")</f>
        <v>60121414</v>
      </c>
      <c r="O11" s="109">
        <f>SUMIFS('S&amp;L Data'!Z2:Z500,'S&amp;L Data'!$E2:$E500,"Selective Sales Taxes")</f>
        <v>65748373</v>
      </c>
      <c r="P11" s="109">
        <f>SUMIFS('S&amp;L Data'!AA2:AA500,'S&amp;L Data'!$E2:$E500,"Selective Sales Taxes")</f>
        <v>70826849</v>
      </c>
      <c r="Q11" s="109">
        <f>SUMIFS('S&amp;L Data'!AB2:AB500,'S&amp;L Data'!$E2:$E500,"Selective Sales Taxes")</f>
        <v>74588413</v>
      </c>
      <c r="R11" s="109">
        <f>SUMIFS('S&amp;L Data'!AC2:AC500,'S&amp;L Data'!$E2:$E500,"Selective Sales Taxes")</f>
        <v>77102222</v>
      </c>
      <c r="S11" s="109">
        <f>SUMIFS('S&amp;L Data'!AD2:AD500,'S&amp;L Data'!$E2:$E500,"Selective Sales Taxes")</f>
        <v>79874690</v>
      </c>
      <c r="T11" s="109">
        <f>SUMIFS('S&amp;L Data'!AE2:AE500,'S&amp;L Data'!$E2:$E500,"Selective Sales Taxes")</f>
        <v>82987875</v>
      </c>
      <c r="U11" s="109">
        <f>SUMIFS('S&amp;L Data'!AF2:AF500,'S&amp;L Data'!$E2:$E500,"Selective Sales Taxes")</f>
        <v>86130511</v>
      </c>
      <c r="V11" s="109">
        <f>SUMIFS('S&amp;L Data'!AG2:AG500,'S&amp;L Data'!$E2:$E500,"Selective Sales Taxes")</f>
        <v>90366190</v>
      </c>
      <c r="W11" s="109">
        <f>SUMIFS('S&amp;L Data'!AH2:AH500,'S&amp;L Data'!$E2:$E500,"Selective Sales Taxes")</f>
        <v>94177378</v>
      </c>
      <c r="X11" s="109">
        <f>SUMIFS('S&amp;L Data'!AI2:AI500,'S&amp;L Data'!$E2:$E500,"Selective Sales Taxes")</f>
        <v>96788761</v>
      </c>
      <c r="Y11" s="109">
        <f>SUMIFS('S&amp;L Data'!AJ2:AJ500,'S&amp;L Data'!$E2:$E500,"Selective Sales Taxes")</f>
        <v>101135819</v>
      </c>
      <c r="Z11" s="109">
        <f>SUMIFS('S&amp;L Data'!AK2:AK500,'S&amp;L Data'!$E2:$E500,"Selective Sales Taxes")</f>
        <v>108564266</v>
      </c>
      <c r="AA11" s="109">
        <f>SUMIFS('S&amp;L Data'!AL2:AL500,'S&amp;L Data'!$E2:$E500,"Selective Sales Taxes")</f>
        <v>115684433</v>
      </c>
      <c r="AB11" s="109">
        <f>SUMIFS('S&amp;L Data'!AM2:AM500,'S&amp;L Data'!$E2:$E500,"Selective Sales Taxes")</f>
        <v>121314328</v>
      </c>
      <c r="AC11" s="109">
        <f>SUMIFS('S&amp;L Data'!AN2:AN500,'S&amp;L Data'!$E2:$E500,"Selective Sales Taxes")</f>
        <v>131905396</v>
      </c>
      <c r="AD11" s="109">
        <f>SUMIFS('S&amp;L Data'!AO2:AO500,'S&amp;L Data'!$E2:$E500,"Selective Sales Taxes")</f>
        <v>139868301</v>
      </c>
      <c r="AE11" s="109">
        <f>SUMIFS('S&amp;L Data'!AP2:AP500,'S&amp;L Data'!$E2:$E500,"Selective Sales Taxes")</f>
        <v>145205459</v>
      </c>
      <c r="AF11" s="109">
        <f>SUMIFS('S&amp;L Data'!AQ2:AQ500,'S&amp;L Data'!$E2:$E500,"Selective Sales Taxes")</f>
        <v>142828034</v>
      </c>
      <c r="AG11" s="109">
        <f>SUMIFS('S&amp;L Data'!AR2:AR500,'S&amp;L Data'!$E2:$E500,"Selective Sales Taxes")</f>
        <v>147071543</v>
      </c>
      <c r="AH11" s="109">
        <f>SUMIFS('S&amp;L Data'!AS2:AS500,'S&amp;L Data'!$E2:$E500,"Selective Sales Taxes")</f>
        <v>159311454</v>
      </c>
      <c r="AI11" s="109">
        <f>SUMIFS('S&amp;L Data'!AT2:AT500,'S&amp;L Data'!$E2:$E500,"Selective Sales Taxes")</f>
        <v>162408444</v>
      </c>
      <c r="AJ11" s="109">
        <f>SUMIFS('S&amp;L Data'!AU2:AU500,'S&amp;L Data'!$E2:$E500,"Selective Sales Taxes")</f>
        <v>168201475</v>
      </c>
      <c r="AK11" s="109">
        <f>SUMIFS('S&amp;L Data'!AV2:AV500,'S&amp;L Data'!$E2:$E500,"Selective Sales Taxes")</f>
        <v>170184990</v>
      </c>
    </row>
    <row r="12" spans="1:37" outlineLevel="3">
      <c r="A12" s="22" t="str">
        <f>B11</f>
        <v>Selective Sales (Excise)</v>
      </c>
      <c r="B12" s="29" t="s">
        <v>75</v>
      </c>
      <c r="C12" s="109">
        <f>SUMIFS('S&amp;L Data'!N2:N500,'S&amp;L Data'!$F2:$F500,"Alcoholic Beverages")</f>
        <v>2641976</v>
      </c>
      <c r="D12" s="109">
        <f>SUMIFS('S&amp;L Data'!O2:O500,'S&amp;L Data'!$F2:$F500,"Alcoholic Beverages")</f>
        <v>2819826</v>
      </c>
      <c r="E12" s="109">
        <f>SUMIFS('S&amp;L Data'!P2:P500,'S&amp;L Data'!$F2:$F500,"Alcoholic Beverages")</f>
        <v>2946833</v>
      </c>
      <c r="F12" s="109">
        <f>SUMIFS('S&amp;L Data'!Q2:Q500,'S&amp;L Data'!$F2:$F500,"Alcoholic Beverages")</f>
        <v>2978016</v>
      </c>
      <c r="G12" s="109">
        <f>SUMIFS('S&amp;L Data'!R2:R500,'S&amp;L Data'!$F2:$F500,"Alcoholic Beverages")</f>
        <v>3149592</v>
      </c>
      <c r="H12" s="109">
        <f>SUMIFS('S&amp;L Data'!S2:S500,'S&amp;L Data'!$F2:$F500,"Alcoholic Beverages")</f>
        <v>3286482</v>
      </c>
      <c r="I12" s="109">
        <f>SUMIFS('S&amp;L Data'!T2:T500,'S&amp;L Data'!$F2:$F500,"Alcoholic Beverages")</f>
        <v>3332734</v>
      </c>
      <c r="J12" s="109">
        <f>SUMIFS('S&amp;L Data'!U2:U500,'S&amp;L Data'!$F2:$F500,"Alcoholic Beverages")</f>
        <v>3381485</v>
      </c>
      <c r="K12" s="109">
        <f>SUMIFS('S&amp;L Data'!V2:V500,'S&amp;L Data'!$F2:$F500,"Alcoholic Beverages")</f>
        <v>3481695</v>
      </c>
      <c r="L12" s="109">
        <f>SUMIFS('S&amp;L Data'!W2:W500,'S&amp;L Data'!$F2:$F500,"Alcoholic Beverages")</f>
        <v>3396842</v>
      </c>
      <c r="M12" s="109">
        <f>SUMIFS('S&amp;L Data'!X2:X500,'S&amp;L Data'!$F2:$F500,"Alcoholic Beverages")</f>
        <v>3469894</v>
      </c>
      <c r="N12" s="109">
        <f>SUMIFS('S&amp;L Data'!Y2:Y500,'S&amp;L Data'!$F2:$F500,"Alcoholic Beverages")</f>
        <v>3683241</v>
      </c>
      <c r="O12" s="109">
        <f>SUMIFS('S&amp;L Data'!Z2:Z500,'S&amp;L Data'!$F2:$F500,"Alcoholic Beverages")</f>
        <v>3882064</v>
      </c>
      <c r="P12" s="109">
        <f>SUMIFS('S&amp;L Data'!AA2:AA500,'S&amp;L Data'!$F2:$F500,"Alcoholic Beverages")</f>
        <v>3866390</v>
      </c>
      <c r="Q12" s="109">
        <f>SUMIFS('S&amp;L Data'!AB2:AB500,'S&amp;L Data'!$F2:$F500,"Alcoholic Beverages")</f>
        <v>3903861</v>
      </c>
      <c r="R12" s="109">
        <f>SUMIFS('S&amp;L Data'!AC2:AC500,'S&amp;L Data'!$F2:$F500,"Alcoholic Beverages")</f>
        <v>3905881</v>
      </c>
      <c r="S12" s="109">
        <f>SUMIFS('S&amp;L Data'!AD2:AD500,'S&amp;L Data'!$F2:$F500,"Alcoholic Beverages")</f>
        <v>3941334</v>
      </c>
      <c r="T12" s="109">
        <f>SUMIFS('S&amp;L Data'!AE2:AE500,'S&amp;L Data'!$F2:$F500,"Alcoholic Beverages")</f>
        <v>4021740</v>
      </c>
      <c r="U12" s="109">
        <f>SUMIFS('S&amp;L Data'!AF2:AF500,'S&amp;L Data'!$F2:$F500,"Alcoholic Beverages")</f>
        <v>4047022</v>
      </c>
      <c r="V12" s="109">
        <f>SUMIFS('S&amp;L Data'!AG2:AG500,'S&amp;L Data'!$F2:$F500,"Alcoholic Beverages")</f>
        <v>4191279</v>
      </c>
      <c r="W12" s="109">
        <f>SUMIFS('S&amp;L Data'!AH2:AH500,'S&amp;L Data'!$F2:$F500,"Alcoholic Beverages")</f>
        <v>4393193</v>
      </c>
      <c r="X12" s="109">
        <f>SUMIFS('S&amp;L Data'!AI2:AI500,'S&amp;L Data'!$F2:$F500,"Alcoholic Beverages")</f>
        <v>4521794</v>
      </c>
      <c r="Y12" s="109">
        <f>SUMIFS('S&amp;L Data'!AJ2:AJ500,'S&amp;L Data'!$F2:$F500,"Alcoholic Beverages")</f>
        <v>4600156</v>
      </c>
      <c r="Z12" s="109">
        <f>SUMIFS('S&amp;L Data'!AK2:AK500,'S&amp;L Data'!$F2:$F500,"Alcoholic Beverages")</f>
        <v>4756547</v>
      </c>
      <c r="AA12" s="109">
        <f>SUMIFS('S&amp;L Data'!AL2:AL500,'S&amp;L Data'!$F2:$F500,"Alcoholic Beverages")</f>
        <v>4985706</v>
      </c>
      <c r="AB12" s="109">
        <f>SUMIFS('S&amp;L Data'!AM2:AM500,'S&amp;L Data'!$F2:$F500,"Alcoholic Beverages")</f>
        <v>5125140</v>
      </c>
      <c r="AC12" s="109">
        <f>SUMIFS('S&amp;L Data'!AN2:AN500,'S&amp;L Data'!$F2:$F500,"Alcoholic Beverages")</f>
        <v>5353816</v>
      </c>
      <c r="AD12" s="109">
        <f>SUMIFS('S&amp;L Data'!AO2:AO500,'S&amp;L Data'!$F2:$F500,"Alcoholic Beverages")</f>
        <v>5606480</v>
      </c>
      <c r="AE12" s="109">
        <f>SUMIFS('S&amp;L Data'!AP2:AP500,'S&amp;L Data'!$F2:$F500,"Alcoholic Beverages")</f>
        <v>5748447</v>
      </c>
      <c r="AF12" s="109">
        <f>SUMIFS('S&amp;L Data'!AQ2:AQ500,'S&amp;L Data'!$F2:$F500,"Alcoholic Beverages")</f>
        <v>5885424</v>
      </c>
      <c r="AG12" s="109">
        <f>SUMIFS('S&amp;L Data'!AR2:AR500,'S&amp;L Data'!$F2:$F500,"Alcoholic Beverages")</f>
        <v>6021465</v>
      </c>
      <c r="AH12" s="109">
        <f>SUMIFS('S&amp;L Data'!AS2:AS500,'S&amp;L Data'!$F2:$F500,"Alcoholic Beverages")</f>
        <v>6236852</v>
      </c>
      <c r="AI12" s="109">
        <f>SUMIFS('S&amp;L Data'!AT2:AT500,'S&amp;L Data'!$F2:$F500,"Alcoholic Beverages")</f>
        <v>6494714</v>
      </c>
      <c r="AJ12" s="109">
        <f>SUMIFS('S&amp;L Data'!AU2:AU500,'S&amp;L Data'!$F2:$F500,"Alcoholic Beverages")</f>
        <v>6614214</v>
      </c>
      <c r="AK12" s="109">
        <f>SUMIFS('S&amp;L Data'!AV2:AV500,'S&amp;L Data'!$F2:$F500,"Alcoholic Beverages")</f>
        <v>6725957</v>
      </c>
    </row>
    <row r="13" spans="1:37" outlineLevel="3">
      <c r="A13" s="22" t="str">
        <f>B11</f>
        <v>Selective Sales (Excise)</v>
      </c>
      <c r="B13" s="29" t="s">
        <v>76</v>
      </c>
      <c r="C13" s="109">
        <f>SUMIFS('S&amp;L Data'!N2:N500,'S&amp;L Data'!$F2:$F500,"Motor Fuel")</f>
        <v>9821603</v>
      </c>
      <c r="D13" s="109">
        <f>SUMIFS('S&amp;L Data'!O2:O500,'S&amp;L Data'!$F2:$F500,"Motor Fuel")</f>
        <v>9858532</v>
      </c>
      <c r="E13" s="109">
        <f>SUMIFS('S&amp;L Data'!P2:P500,'S&amp;L Data'!$F2:$F500,"Motor Fuel")</f>
        <v>10619673</v>
      </c>
      <c r="F13" s="109">
        <f>SUMIFS('S&amp;L Data'!Q2:Q500,'S&amp;L Data'!$F2:$F500,"Motor Fuel")</f>
        <v>10942477</v>
      </c>
      <c r="G13" s="109">
        <f>SUMIFS('S&amp;L Data'!R2:R500,'S&amp;L Data'!$F2:$F500,"Motor Fuel")</f>
        <v>12555442</v>
      </c>
      <c r="H13" s="109">
        <f>SUMIFS('S&amp;L Data'!S2:S500,'S&amp;L Data'!$F2:$F500,"Motor Fuel")</f>
        <v>13630659</v>
      </c>
      <c r="I13" s="109">
        <f>SUMIFS('S&amp;L Data'!T2:T500,'S&amp;L Data'!$F2:$F500,"Motor Fuel")</f>
        <v>14438826</v>
      </c>
      <c r="J13" s="109">
        <f>SUMIFS('S&amp;L Data'!U2:U500,'S&amp;L Data'!$F2:$F500,"Motor Fuel")</f>
        <v>16156344</v>
      </c>
      <c r="K13" s="109">
        <f>SUMIFS('S&amp;L Data'!V2:V500,'S&amp;L Data'!$F2:$F500,"Motor Fuel")</f>
        <v>17787382</v>
      </c>
      <c r="L13" s="109">
        <f>SUMIFS('S&amp;L Data'!W2:W500,'S&amp;L Data'!$F2:$F500,"Motor Fuel")</f>
        <v>18719149</v>
      </c>
      <c r="M13" s="109">
        <f>SUMIFS('S&amp;L Data'!X2:X500,'S&amp;L Data'!$F2:$F500,"Motor Fuel")</f>
        <v>20043185</v>
      </c>
      <c r="N13" s="109">
        <f>SUMIFS('S&amp;L Data'!Y2:Y500,'S&amp;L Data'!$F2:$F500,"Motor Fuel")</f>
        <v>21315691</v>
      </c>
      <c r="O13" s="109">
        <f>SUMIFS('S&amp;L Data'!Z2:Z500,'S&amp;L Data'!$F2:$F500,"Motor Fuel")</f>
        <v>22957804</v>
      </c>
      <c r="P13" s="109">
        <f>SUMIFS('S&amp;L Data'!AA2:AA500,'S&amp;L Data'!$F2:$F500,"Motor Fuel")</f>
        <v>24248667</v>
      </c>
      <c r="Q13" s="109">
        <f>SUMIFS('S&amp;L Data'!AB2:AB500,'S&amp;L Data'!$F2:$F500,"Motor Fuel")</f>
        <v>25202592</v>
      </c>
      <c r="R13" s="109">
        <f>SUMIFS('S&amp;L Data'!AC2:AC500,'S&amp;L Data'!$F2:$F500,"Motor Fuel")</f>
        <v>26205551</v>
      </c>
      <c r="S13" s="109">
        <f>SUMIFS('S&amp;L Data'!AD2:AD500,'S&amp;L Data'!$F2:$F500,"Motor Fuel")</f>
        <v>26832062</v>
      </c>
      <c r="T13" s="109">
        <f>SUMIFS('S&amp;L Data'!AE2:AE500,'S&amp;L Data'!$F2:$F500,"Motor Fuel")</f>
        <v>28094363</v>
      </c>
      <c r="U13" s="109">
        <f>SUMIFS('S&amp;L Data'!AF2:AF500,'S&amp;L Data'!$F2:$F500,"Motor Fuel")</f>
        <v>29246986</v>
      </c>
      <c r="V13" s="109">
        <f>SUMIFS('S&amp;L Data'!AG2:AG500,'S&amp;L Data'!$F2:$F500,"Motor Fuel")</f>
        <v>30094424</v>
      </c>
      <c r="W13" s="109">
        <f>SUMIFS('S&amp;L Data'!AH2:AH500,'S&amp;L Data'!$F2:$F500,"Motor Fuel")</f>
        <v>30938602</v>
      </c>
      <c r="X13" s="109">
        <f>SUMIFS('S&amp;L Data'!AI2:AI500,'S&amp;L Data'!$F2:$F500,"Motor Fuel")</f>
        <v>32045388</v>
      </c>
      <c r="Y13" s="109">
        <f>SUMIFS('S&amp;L Data'!AJ2:AJ500,'S&amp;L Data'!$F2:$F500,"Motor Fuel")</f>
        <v>33044249</v>
      </c>
      <c r="Z13" s="109">
        <f>SUMIFS('S&amp;L Data'!AK2:AK500,'S&amp;L Data'!$F2:$F500,"Motor Fuel")</f>
        <v>33378664</v>
      </c>
      <c r="AA13" s="109">
        <f>SUMIFS('S&amp;L Data'!AL2:AL500,'S&amp;L Data'!$F2:$F500,"Motor Fuel")</f>
        <v>34943572</v>
      </c>
      <c r="AB13" s="109">
        <f>SUMIFS('S&amp;L Data'!AM2:AM500,'S&amp;L Data'!$F2:$F500,"Motor Fuel")</f>
        <v>35766701</v>
      </c>
      <c r="AC13" s="109">
        <f>SUMIFS('S&amp;L Data'!AN2:AN500,'S&amp;L Data'!$F2:$F500,"Motor Fuel")</f>
        <v>36979404</v>
      </c>
      <c r="AD13" s="109">
        <f>SUMIFS('S&amp;L Data'!AO2:AO500,'S&amp;L Data'!$F2:$F500,"Motor Fuel")</f>
        <v>37849041</v>
      </c>
      <c r="AE13" s="109">
        <f>SUMIFS('S&amp;L Data'!AP2:AP500,'S&amp;L Data'!$F2:$F500,"Motor Fuel")</f>
        <v>38960918</v>
      </c>
      <c r="AF13" s="109">
        <f>SUMIFS('S&amp;L Data'!AQ2:AQ500,'S&amp;L Data'!$F2:$F500,"Motor Fuel")</f>
        <v>37823608</v>
      </c>
      <c r="AG13" s="109">
        <f>SUMIFS('S&amp;L Data'!AR2:AR500,'S&amp;L Data'!$F2:$F500,"Motor Fuel")</f>
        <v>37922286</v>
      </c>
      <c r="AH13" s="109">
        <f>SUMIFS('S&amp;L Data'!AS2:AS500,'S&amp;L Data'!$F2:$F500,"Motor Fuel")</f>
        <v>41187374</v>
      </c>
      <c r="AI13" s="109">
        <f>SUMIFS('S&amp;L Data'!AT2:AT500,'S&amp;L Data'!$F2:$F500,"Motor Fuel")</f>
        <v>41420540</v>
      </c>
      <c r="AJ13" s="109">
        <f>SUMIFS('S&amp;L Data'!AU2:AU500,'S&amp;L Data'!$F2:$F500,"Motor Fuel")</f>
        <v>41466573</v>
      </c>
      <c r="AK13" s="109">
        <f>SUMIFS('S&amp;L Data'!AV2:AV500,'S&amp;L Data'!$F2:$F500,"Motor Fuel")</f>
        <v>42723453</v>
      </c>
    </row>
    <row r="14" spans="1:37" outlineLevel="3">
      <c r="A14" s="22" t="str">
        <f>B11</f>
        <v>Selective Sales (Excise)</v>
      </c>
      <c r="B14" s="29" t="s">
        <v>77</v>
      </c>
      <c r="C14" s="109">
        <f>SUMIFS('S&amp;L Data'!N2:N500,'S&amp;L Data'!$F2:$F500,"Tobacco Products")</f>
        <v>3874160</v>
      </c>
      <c r="D14" s="109">
        <f>SUMIFS('S&amp;L Data'!O2:O500,'S&amp;L Data'!$F2:$F500,"Tobacco Products")</f>
        <v>4046700</v>
      </c>
      <c r="E14" s="109">
        <f>SUMIFS('S&amp;L Data'!P2:P500,'S&amp;L Data'!$F2:$F500,"Tobacco Products")</f>
        <v>4133432</v>
      </c>
      <c r="F14" s="109">
        <f>SUMIFS('S&amp;L Data'!Q2:Q500,'S&amp;L Data'!$F2:$F500,"Tobacco Products")</f>
        <v>4182084</v>
      </c>
      <c r="G14" s="109">
        <f>SUMIFS('S&amp;L Data'!R2:R500,'S&amp;L Data'!$F2:$F500,"Tobacco Products")</f>
        <v>4327284</v>
      </c>
      <c r="H14" s="109">
        <f>SUMIFS('S&amp;L Data'!S2:S500,'S&amp;L Data'!$F2:$F500,"Tobacco Products")</f>
        <v>4557580</v>
      </c>
      <c r="I14" s="109">
        <f>SUMIFS('S&amp;L Data'!T2:T500,'S&amp;L Data'!$F2:$F500,"Tobacco Products")</f>
        <v>4649965</v>
      </c>
      <c r="J14" s="109">
        <f>SUMIFS('S&amp;L Data'!U2:U500,'S&amp;L Data'!$F2:$F500,"Tobacco Products")</f>
        <v>4791760</v>
      </c>
      <c r="K14" s="109">
        <f>SUMIFS('S&amp;L Data'!V2:V500,'S&amp;L Data'!$F2:$F500,"Tobacco Products")</f>
        <v>5040819</v>
      </c>
      <c r="L14" s="109">
        <f>SUMIFS('S&amp;L Data'!W2:W500,'S&amp;L Data'!$F2:$F500,"Tobacco Products")</f>
        <v>5252858</v>
      </c>
      <c r="M14" s="109">
        <f>SUMIFS('S&amp;L Data'!X2:X500,'S&amp;L Data'!$F2:$F500,"Tobacco Products")</f>
        <v>5734061</v>
      </c>
      <c r="N14" s="109">
        <f>SUMIFS('S&amp;L Data'!Y2:Y500,'S&amp;L Data'!$F2:$F500,"Tobacco Products")</f>
        <v>6170036</v>
      </c>
      <c r="O14" s="109">
        <f>SUMIFS('S&amp;L Data'!Z2:Z500,'S&amp;L Data'!$F2:$F500,"Tobacco Products")</f>
        <v>6311867</v>
      </c>
      <c r="P14" s="109">
        <f>SUMIFS('S&amp;L Data'!AA2:AA500,'S&amp;L Data'!$F2:$F500,"Tobacco Products")</f>
        <v>6421170</v>
      </c>
      <c r="Q14" s="109">
        <f>SUMIFS('S&amp;L Data'!AB2:AB500,'S&amp;L Data'!$F2:$F500,"Tobacco Products")</f>
        <v>6903032</v>
      </c>
      <c r="R14" s="109">
        <f>SUMIFS('S&amp;L Data'!AC2:AC500,'S&amp;L Data'!$F2:$F500,"Tobacco Products")</f>
        <v>7535681</v>
      </c>
      <c r="S14" s="109">
        <f>SUMIFS('S&amp;L Data'!AD2:AD500,'S&amp;L Data'!$F2:$F500,"Tobacco Products")</f>
        <v>7520357</v>
      </c>
      <c r="T14" s="109">
        <f>SUMIFS('S&amp;L Data'!AE2:AE500,'S&amp;L Data'!$F2:$F500,"Tobacco Products")</f>
        <v>7666546</v>
      </c>
      <c r="U14" s="109">
        <f>SUMIFS('S&amp;L Data'!AF2:AF500,'S&amp;L Data'!$F2:$F500,"Tobacco Products")</f>
        <v>7956232</v>
      </c>
      <c r="V14" s="109">
        <f>SUMIFS('S&amp;L Data'!AG2:AG500,'S&amp;L Data'!$F2:$F500,"Tobacco Products")</f>
        <v>8374871</v>
      </c>
      <c r="W14" s="109">
        <f>SUMIFS('S&amp;L Data'!AH2:AH500,'S&amp;L Data'!$F2:$F500,"Tobacco Products")</f>
        <v>8584773</v>
      </c>
      <c r="X14" s="109">
        <f>SUMIFS('S&amp;L Data'!AI2:AI500,'S&amp;L Data'!$F2:$F500,"Tobacco Products")</f>
        <v>8833438</v>
      </c>
      <c r="Y14" s="109">
        <f>SUMIFS('S&amp;L Data'!AJ2:AJ500,'S&amp;L Data'!$F2:$F500,"Tobacco Products")</f>
        <v>9092865</v>
      </c>
      <c r="Z14" s="109">
        <f>SUMIFS('S&amp;L Data'!AK2:AK500,'S&amp;L Data'!$F2:$F500,"Tobacco Products")</f>
        <v>11806700</v>
      </c>
      <c r="AA14" s="109">
        <f>SUMIFS('S&amp;L Data'!AL2:AL500,'S&amp;L Data'!$F2:$F500,"Tobacco Products")</f>
        <v>12625780</v>
      </c>
      <c r="AB14" s="109">
        <f>SUMIFS('S&amp;L Data'!AM2:AM500,'S&amp;L Data'!$F2:$F500,"Tobacco Products")</f>
        <v>13337259</v>
      </c>
      <c r="AC14" s="109">
        <f>SUMIFS('S&amp;L Data'!AN2:AN500,'S&amp;L Data'!$F2:$F500,"Tobacco Products")</f>
        <v>15005828</v>
      </c>
      <c r="AD14" s="109">
        <f>SUMIFS('S&amp;L Data'!AO2:AO500,'S&amp;L Data'!$F2:$F500,"Tobacco Products")</f>
        <v>15828437</v>
      </c>
      <c r="AE14" s="109">
        <f>SUMIFS('S&amp;L Data'!AP2:AP500,'S&amp;L Data'!$F2:$F500,"Tobacco Products")</f>
        <v>16583060</v>
      </c>
      <c r="AF14" s="109">
        <f>SUMIFS('S&amp;L Data'!AQ2:AQ500,'S&amp;L Data'!$F2:$F500,"Tobacco Products")</f>
        <v>17162063</v>
      </c>
      <c r="AG14" s="109">
        <f>SUMIFS('S&amp;L Data'!AR2:AR500,'S&amp;L Data'!$F2:$F500,"Tobacco Products")</f>
        <v>17302708</v>
      </c>
      <c r="AH14" s="109">
        <f>SUMIFS('S&amp;L Data'!AS2:AS500,'S&amp;L Data'!$F2:$F500,"Tobacco Products")</f>
        <v>17664904</v>
      </c>
      <c r="AI14" s="109">
        <f>SUMIFS('S&amp;L Data'!AT2:AT500,'S&amp;L Data'!$F2:$F500,"Tobacco Products")</f>
        <v>18445393</v>
      </c>
      <c r="AJ14" s="109">
        <f>SUMIFS('S&amp;L Data'!AU2:AU500,'S&amp;L Data'!$F2:$F500,"Tobacco Products")</f>
        <v>17493928</v>
      </c>
      <c r="AK14" s="109">
        <f>SUMIFS('S&amp;L Data'!AV2:AV500,'S&amp;L Data'!$F2:$F500,"Tobacco Products")</f>
        <v>17409873</v>
      </c>
    </row>
    <row r="15" spans="1:37" outlineLevel="3">
      <c r="A15" s="22" t="str">
        <f>B11</f>
        <v>Selective Sales (Excise)</v>
      </c>
      <c r="B15" s="29" t="s">
        <v>78</v>
      </c>
      <c r="C15" s="109">
        <f>SUMIFS('S&amp;L Data'!N2:N500,'S&amp;L Data'!$F2:$F500,"Other Selective Sales Taxes")</f>
        <v>12261233</v>
      </c>
      <c r="D15" s="109">
        <f>SUMIFS('S&amp;L Data'!O2:O500,'S&amp;L Data'!$F2:$F500,"Other Selective Sales Taxes")</f>
        <v>13604972</v>
      </c>
      <c r="E15" s="109">
        <f>SUMIFS('S&amp;L Data'!P2:P500,'S&amp;L Data'!$F2:$F500,"Other Selective Sales Taxes")</f>
        <v>15339710</v>
      </c>
      <c r="F15" s="109">
        <f>SUMIFS('S&amp;L Data'!Q2:Q500,'S&amp;L Data'!$F2:$F500,"Other Selective Sales Taxes")</f>
        <v>17254165</v>
      </c>
      <c r="G15" s="109">
        <f>SUMIFS('S&amp;L Data'!R2:R500,'S&amp;L Data'!$F2:$F500,"Other Selective Sales Taxes")</f>
        <v>18853415</v>
      </c>
      <c r="H15" s="109">
        <f>SUMIFS('S&amp;L Data'!S2:S500,'S&amp;L Data'!$F2:$F500,"Other Selective Sales Taxes")</f>
        <v>20605342</v>
      </c>
      <c r="I15" s="109">
        <f>SUMIFS('S&amp;L Data'!T2:T500,'S&amp;L Data'!$F2:$F500,"Other Selective Sales Taxes")</f>
        <v>21888325</v>
      </c>
      <c r="J15" s="109">
        <f>SUMIFS('S&amp;L Data'!U2:U500,'S&amp;L Data'!$F2:$F500,"Other Selective Sales Taxes")</f>
        <v>23158559</v>
      </c>
      <c r="K15" s="109">
        <f>SUMIFS('S&amp;L Data'!V2:V500,'S&amp;L Data'!$F2:$F500,"Other Selective Sales Taxes")</f>
        <v>24904604</v>
      </c>
      <c r="L15" s="109">
        <f>SUMIFS('S&amp;L Data'!W2:W500,'S&amp;L Data'!$F2:$F500,"Other Selective Sales Taxes")</f>
        <v>26293926</v>
      </c>
      <c r="M15" s="109">
        <f>SUMIFS('S&amp;L Data'!X2:X500,'S&amp;L Data'!$F2:$F500,"Other Selective Sales Taxes")</f>
        <v>27351021</v>
      </c>
      <c r="N15" s="109">
        <f>SUMIFS('S&amp;L Data'!Y2:Y500,'S&amp;L Data'!$F2:$F500,"Other Selective Sales Taxes")</f>
        <v>28952446</v>
      </c>
      <c r="O15" s="109">
        <f>SUMIFS('S&amp;L Data'!Z2:Z500,'S&amp;L Data'!$F2:$F500,"Other Selective Sales Taxes")</f>
        <v>32596638</v>
      </c>
      <c r="P15" s="109">
        <f>SUMIFS('S&amp;L Data'!AA2:AA500,'S&amp;L Data'!$F2:$F500,"Other Selective Sales Taxes")</f>
        <v>36290622</v>
      </c>
      <c r="Q15" s="109">
        <f>SUMIFS('S&amp;L Data'!AB2:AB500,'S&amp;L Data'!$F2:$F500,"Other Selective Sales Taxes")</f>
        <v>38578928</v>
      </c>
      <c r="R15" s="109">
        <f>SUMIFS('S&amp;L Data'!AC2:AC500,'S&amp;L Data'!$F2:$F500,"Other Selective Sales Taxes")</f>
        <v>39455109</v>
      </c>
      <c r="S15" s="109">
        <f>SUMIFS('S&amp;L Data'!AD2:AD500,'S&amp;L Data'!$F2:$F500,"Other Selective Sales Taxes")</f>
        <v>41580937</v>
      </c>
      <c r="T15" s="109">
        <f>SUMIFS('S&amp;L Data'!AE2:AE500,'S&amp;L Data'!$F2:$F500,"Other Selective Sales Taxes")</f>
        <v>43205226</v>
      </c>
      <c r="U15" s="109">
        <f>SUMIFS('S&amp;L Data'!AF2:AF500,'S&amp;L Data'!$F2:$F500,"Other Selective Sales Taxes")</f>
        <v>44880271</v>
      </c>
      <c r="V15" s="109">
        <f>SUMIFS('S&amp;L Data'!AG2:AG500,'S&amp;L Data'!$F2:$F500,"Other Selective Sales Taxes")</f>
        <v>47705616</v>
      </c>
      <c r="W15" s="109">
        <f>SUMIFS('S&amp;L Data'!AH2:AH500,'S&amp;L Data'!$F2:$F500,"Other Selective Sales Taxes")</f>
        <v>50260810</v>
      </c>
      <c r="X15" s="109">
        <f>SUMIFS('S&amp;L Data'!AI2:AI500,'S&amp;L Data'!$F2:$F500,"Other Selective Sales Taxes")</f>
        <v>51388141</v>
      </c>
      <c r="Y15" s="109">
        <f>SUMIFS('S&amp;L Data'!AJ2:AJ500,'S&amp;L Data'!$F2:$F500,"Other Selective Sales Taxes")</f>
        <v>54398549</v>
      </c>
      <c r="Z15" s="109">
        <f>SUMIFS('S&amp;L Data'!AK2:AK500,'S&amp;L Data'!$F2:$F500,"Other Selective Sales Taxes")</f>
        <v>58622355</v>
      </c>
      <c r="AA15" s="109">
        <f>SUMIFS('S&amp;L Data'!AL2:AL500,'S&amp;L Data'!$F2:$F500,"Other Selective Sales Taxes")</f>
        <v>63129375</v>
      </c>
      <c r="AB15" s="109">
        <f>SUMIFS('S&amp;L Data'!AM2:AM500,'S&amp;L Data'!$F2:$F500,"Other Selective Sales Taxes")</f>
        <v>67085228</v>
      </c>
      <c r="AC15" s="109">
        <f>SUMIFS('S&amp;L Data'!AN2:AN500,'S&amp;L Data'!$F2:$F500,"Other Selective Sales Taxes")</f>
        <v>74566348</v>
      </c>
      <c r="AD15" s="109">
        <f>SUMIFS('S&amp;L Data'!AO2:AO500,'S&amp;L Data'!$F2:$F500,"Other Selective Sales Taxes")</f>
        <v>80584343</v>
      </c>
      <c r="AE15" s="109">
        <f>SUMIFS('S&amp;L Data'!AP2:AP500,'S&amp;L Data'!$F2:$F500,"Other Selective Sales Taxes")</f>
        <v>83913034</v>
      </c>
      <c r="AF15" s="109">
        <f>SUMIFS('S&amp;L Data'!AQ2:AQ500,'S&amp;L Data'!$F2:$F500,"Other Selective Sales Taxes")</f>
        <v>81956939</v>
      </c>
      <c r="AG15" s="109">
        <f>SUMIFS('S&amp;L Data'!AR2:AR500,'S&amp;L Data'!$F2:$F500,"Other Selective Sales Taxes")</f>
        <v>85825084</v>
      </c>
      <c r="AH15" s="109">
        <f>SUMIFS('S&amp;L Data'!AS2:AS500,'S&amp;L Data'!$F2:$F500,"Other Selective Sales Taxes")</f>
        <v>94222324</v>
      </c>
      <c r="AI15" s="109">
        <f>SUMIFS('S&amp;L Data'!AT2:AT500,'S&amp;L Data'!$F2:$F500,"Other Selective Sales Taxes")</f>
        <v>96047797</v>
      </c>
      <c r="AJ15" s="109">
        <f>SUMIFS('S&amp;L Data'!AU2:AU500,'S&amp;L Data'!$F2:$F500,"Other Selective Sales Taxes")</f>
        <v>102626760</v>
      </c>
      <c r="AK15" s="109">
        <f>SUMIFS('S&amp;L Data'!AV2:AV500,'S&amp;L Data'!$F2:$F500,"Other Selective Sales Taxes")</f>
        <v>103325707</v>
      </c>
    </row>
    <row r="16" spans="1:37" outlineLevel="1">
      <c r="A16" s="22" t="str">
        <f>B6</f>
        <v>Tax Revenue</v>
      </c>
      <c r="B16" s="27" t="s">
        <v>7</v>
      </c>
      <c r="C16" s="109">
        <f>SUMIFS('S&amp;L Data'!N2:N500,'S&amp;L Data'!$D2:$D500,"Property Taxes")</f>
        <v>68498743</v>
      </c>
      <c r="D16" s="109">
        <f>SUMIFS('S&amp;L Data'!O2:O500,'S&amp;L Data'!$D2:$D500,"Property Taxes")</f>
        <v>74969444</v>
      </c>
      <c r="E16" s="109">
        <f>SUMIFS('S&amp;L Data'!P2:P500,'S&amp;L Data'!$D2:$D500,"Property Taxes")</f>
        <v>82067442</v>
      </c>
      <c r="F16" s="109">
        <f>SUMIFS('S&amp;L Data'!Q2:Q500,'S&amp;L Data'!$D2:$D500,"Property Taxes")</f>
        <v>89104863</v>
      </c>
      <c r="G16" s="109">
        <f>SUMIFS('S&amp;L Data'!R2:R500,'S&amp;L Data'!$D2:$D500,"Property Taxes")</f>
        <v>96456745</v>
      </c>
      <c r="H16" s="109">
        <f>SUMIFS('S&amp;L Data'!S2:S500,'S&amp;L Data'!$D2:$D500,"Property Taxes")</f>
        <v>103756624</v>
      </c>
      <c r="I16" s="109">
        <f>SUMIFS('S&amp;L Data'!T2:T500,'S&amp;L Data'!$D2:$D500,"Property Taxes")</f>
        <v>111709287</v>
      </c>
      <c r="J16" s="109">
        <f>SUMIFS('S&amp;L Data'!U2:U500,'S&amp;L Data'!$D2:$D500,"Property Taxes")</f>
        <v>121202638</v>
      </c>
      <c r="K16" s="109">
        <f>SUMIFS('S&amp;L Data'!V2:V500,'S&amp;L Data'!$D2:$D500,"Property Taxes")</f>
        <v>132212301</v>
      </c>
      <c r="L16" s="109">
        <f>SUMIFS('S&amp;L Data'!W2:W500,'S&amp;L Data'!$D2:$D500,"Property Taxes")</f>
        <v>142400237</v>
      </c>
      <c r="M16" s="109">
        <f>SUMIFS('S&amp;L Data'!X2:X500,'S&amp;L Data'!$D2:$D500,"Property Taxes")</f>
        <v>155613321</v>
      </c>
      <c r="N16" s="109">
        <f>SUMIFS('S&amp;L Data'!Y2:Y500,'S&amp;L Data'!$D2:$D500,"Property Taxes")</f>
        <v>167999489</v>
      </c>
      <c r="O16" s="109">
        <f>SUMIFS('S&amp;L Data'!Z2:Z500,'S&amp;L Data'!$D2:$D500,"Property Taxes")</f>
        <v>180320503</v>
      </c>
      <c r="P16" s="109">
        <f>SUMIFS('S&amp;L Data'!AA2:AA500,'S&amp;L Data'!$D2:$D500,"Property Taxes")</f>
        <v>189743930</v>
      </c>
      <c r="Q16" s="109">
        <f>SUMIFS('S&amp;L Data'!AB2:AB500,'S&amp;L Data'!$D2:$D500,"Property Taxes")</f>
        <v>197141008</v>
      </c>
      <c r="R16" s="109">
        <f>SUMIFS('S&amp;L Data'!AC2:AC500,'S&amp;L Data'!$D2:$D500,"Property Taxes")</f>
        <v>203451246</v>
      </c>
      <c r="S16" s="109">
        <f>SUMIFS('S&amp;L Data'!AD2:AD500,'S&amp;L Data'!$D2:$D500,"Property Taxes")</f>
        <v>209440794</v>
      </c>
      <c r="T16" s="109">
        <f>SUMIFS('S&amp;L Data'!AE2:AE500,'S&amp;L Data'!$D2:$D500,"Property Taxes")</f>
        <v>218760306</v>
      </c>
      <c r="U16" s="109">
        <f>SUMIFS('S&amp;L Data'!AF2:AF500,'S&amp;L Data'!$D2:$D500,"Property Taxes")</f>
        <v>230150058</v>
      </c>
      <c r="V16" s="109">
        <f>SUMIFS('S&amp;L Data'!AG2:AG500,'S&amp;L Data'!$D2:$D500,"Property Taxes")</f>
        <v>239671604</v>
      </c>
      <c r="W16" s="109">
        <f>SUMIFS('S&amp;L Data'!AH2:AH500,'S&amp;L Data'!$D2:$D500,"Property Taxes")</f>
        <v>249177604</v>
      </c>
      <c r="X16" s="109">
        <f>SUMIFS('S&amp;L Data'!AI2:AI500,'S&amp;L Data'!$D2:$D500,"Property Taxes")</f>
        <v>263689177</v>
      </c>
      <c r="Y16" s="109">
        <f>SUMIFS('S&amp;L Data'!AJ2:AJ500,'S&amp;L Data'!$D2:$D500,"Property Taxes")</f>
        <v>279191478</v>
      </c>
      <c r="Z16" s="109">
        <f>SUMIFS('S&amp;L Data'!AK2:AK500,'S&amp;L Data'!$D2:$D500,"Property Taxes")</f>
        <v>296683185</v>
      </c>
      <c r="AA16" s="109">
        <f>SUMIFS('S&amp;L Data'!AL2:AL500,'S&amp;L Data'!$D2:$D500,"Property Taxes")</f>
        <v>317941413</v>
      </c>
      <c r="AB16" s="109">
        <f>SUMIFS('S&amp;L Data'!AM2:AM500,'S&amp;L Data'!$D2:$D500,"Property Taxes")</f>
        <v>335779002</v>
      </c>
      <c r="AC16" s="109">
        <f>SUMIFS('S&amp;L Data'!AN2:AN500,'S&amp;L Data'!$D2:$D500,"Property Taxes")</f>
        <v>364558999</v>
      </c>
      <c r="AD16" s="109">
        <f>SUMIFS('S&amp;L Data'!AO2:AO500,'S&amp;L Data'!$D2:$D500,"Property Taxes")</f>
        <v>388905357</v>
      </c>
      <c r="AE16" s="109">
        <f>SUMIFS('S&amp;L Data'!AP2:AP500,'S&amp;L Data'!$D2:$D500,"Property Taxes")</f>
        <v>409539657</v>
      </c>
      <c r="AF16" s="109">
        <f>SUMIFS('S&amp;L Data'!AQ2:AQ500,'S&amp;L Data'!$D2:$D500,"Property Taxes")</f>
        <v>434818264</v>
      </c>
      <c r="AG16" s="109">
        <f>SUMIFS('S&amp;L Data'!AR2:AR500,'S&amp;L Data'!$D2:$D500,"Property Taxes")</f>
        <v>443947292</v>
      </c>
      <c r="AH16" s="109">
        <f>SUMIFS('S&amp;L Data'!AS2:AS500,'S&amp;L Data'!$D2:$D500,"Property Taxes")</f>
        <v>445771236</v>
      </c>
      <c r="AI16" s="109">
        <f>SUMIFS('S&amp;L Data'!AT2:AT500,'S&amp;L Data'!$D2:$D500,"Property Taxes")</f>
        <v>447120120</v>
      </c>
      <c r="AJ16" s="109">
        <f>SUMIFS('S&amp;L Data'!AU2:AU500,'S&amp;L Data'!$D2:$D500,"Property Taxes")</f>
        <v>453052504</v>
      </c>
      <c r="AK16" s="109">
        <f>SUMIFS('S&amp;L Data'!AV2:AV500,'S&amp;L Data'!$D2:$D500,"Property Taxes")</f>
        <v>466391552</v>
      </c>
    </row>
    <row r="17" spans="1:37" outlineLevel="1">
      <c r="A17" s="22" t="str">
        <f>B6</f>
        <v>Tax Revenue</v>
      </c>
      <c r="B17" s="27" t="s">
        <v>8</v>
      </c>
      <c r="C17" s="109">
        <f>SUMIFS('S&amp;L Data'!N2:N500,'S&amp;L Data'!$D2:$D500,"Estate and Gift Taxes")</f>
        <v>2035269</v>
      </c>
      <c r="D17" s="109">
        <f>SUMIFS('S&amp;L Data'!O2:O500,'S&amp;L Data'!$D2:$D500,"Estate and Gift Taxes")</f>
        <v>2228968</v>
      </c>
      <c r="E17" s="109">
        <f>SUMIFS('S&amp;L Data'!P2:P500,'S&amp;L Data'!$D2:$D500,"Estate and Gift Taxes")</f>
        <v>2350092</v>
      </c>
      <c r="F17" s="109">
        <f>SUMIFS('S&amp;L Data'!Q2:Q500,'S&amp;L Data'!$D2:$D500,"Estate and Gift Taxes")</f>
        <v>2544640</v>
      </c>
      <c r="G17" s="109">
        <f>SUMIFS('S&amp;L Data'!R2:R500,'S&amp;L Data'!$D2:$D500,"Estate and Gift Taxes")</f>
        <v>2226041</v>
      </c>
      <c r="H17" s="109">
        <f>SUMIFS('S&amp;L Data'!S2:S500,'S&amp;L Data'!$D2:$D500,"Estate and Gift Taxes")</f>
        <v>2327515</v>
      </c>
      <c r="I17" s="109">
        <f>SUMIFS('S&amp;L Data'!T2:T500,'S&amp;L Data'!$D2:$D500,"Estate and Gift Taxes")</f>
        <v>2535464</v>
      </c>
      <c r="J17" s="109">
        <f>SUMIFS('S&amp;L Data'!U2:U500,'S&amp;L Data'!$D2:$D500,"Estate and Gift Taxes")</f>
        <v>3069132</v>
      </c>
      <c r="K17" s="109">
        <f>SUMIFS('S&amp;L Data'!V2:V500,'S&amp;L Data'!$D2:$D500,"Estate and Gift Taxes")</f>
        <v>3274394</v>
      </c>
      <c r="L17" s="109">
        <f>SUMIFS('S&amp;L Data'!W2:W500,'S&amp;L Data'!$D2:$D500,"Estate and Gift Taxes")</f>
        <v>3510286</v>
      </c>
      <c r="M17" s="109">
        <f>SUMIFS('S&amp;L Data'!X2:X500,'S&amp;L Data'!$D2:$D500,"Estate and Gift Taxes")</f>
        <v>3855278</v>
      </c>
      <c r="N17" s="109">
        <f>SUMIFS('S&amp;L Data'!Y2:Y500,'S&amp;L Data'!$D2:$D500,"Estate and Gift Taxes")</f>
        <v>4310627</v>
      </c>
      <c r="O17" s="109">
        <f>SUMIFS('S&amp;L Data'!Z2:Z500,'S&amp;L Data'!$D2:$D500,"Estate and Gift Taxes")</f>
        <v>4485629</v>
      </c>
      <c r="P17" s="109">
        <f>SUMIFS('S&amp;L Data'!AA2:AA500,'S&amp;L Data'!$D2:$D500,"Estate and Gift Taxes")</f>
        <v>4697637</v>
      </c>
      <c r="Q17" s="109">
        <f>SUMIFS('S&amp;L Data'!AB2:AB500,'S&amp;L Data'!$D2:$D500,"Estate and Gift Taxes")</f>
        <v>5054028</v>
      </c>
      <c r="R17" s="109">
        <f>SUMIFS('S&amp;L Data'!AC2:AC500,'S&amp;L Data'!$D2:$D500,"Estate and Gift Taxes")</f>
        <v>4921289</v>
      </c>
      <c r="S17" s="109">
        <f>SUMIFS('S&amp;L Data'!AD2:AD500,'S&amp;L Data'!$D2:$D500,"Estate and Gift Taxes")</f>
        <v>5352273</v>
      </c>
      <c r="T17" s="109">
        <f>SUMIFS('S&amp;L Data'!AE2:AE500,'S&amp;L Data'!$D2:$D500,"Estate and Gift Taxes")</f>
        <v>5940439</v>
      </c>
      <c r="U17" s="109">
        <f>SUMIFS('S&amp;L Data'!AF2:AF500,'S&amp;L Data'!$D2:$D500,"Estate and Gift Taxes")</f>
        <v>6971125</v>
      </c>
      <c r="V17" s="109">
        <f>SUMIFS('S&amp;L Data'!AG2:AG500,'S&amp;L Data'!$D2:$D500,"Estate and Gift Taxes")</f>
        <v>7519383</v>
      </c>
      <c r="W17" s="109">
        <f>SUMIFS('S&amp;L Data'!AH2:AH500,'S&amp;L Data'!$D2:$D500,"Estate and Gift Taxes")</f>
        <v>8034202</v>
      </c>
      <c r="X17" s="109">
        <f>SUMIFS('S&amp;L Data'!AI2:AI500,'S&amp;L Data'!$D2:$D500,"Estate and Gift Taxes")</f>
        <v>7550511</v>
      </c>
      <c r="Y17" s="109">
        <f>SUMIFS('S&amp;L Data'!AJ2:AJ500,'S&amp;L Data'!$D2:$D500,"Estate and Gift Taxes")</f>
        <v>7510323</v>
      </c>
      <c r="Z17" s="109">
        <f>SUMIFS('S&amp;L Data'!AK2:AK500,'S&amp;L Data'!$D2:$D500,"Estate and Gift Taxes")</f>
        <v>6715248</v>
      </c>
      <c r="AA17" s="109">
        <f>SUMIFS('S&amp;L Data'!AL2:AL500,'S&amp;L Data'!$D2:$D500,"Estate and Gift Taxes")</f>
        <v>5758175</v>
      </c>
      <c r="AB17" s="109">
        <f>SUMIFS('S&amp;L Data'!AM2:AM500,'S&amp;L Data'!$D2:$D500,"Estate and Gift Taxes")</f>
        <v>5421759</v>
      </c>
      <c r="AC17" s="109">
        <f>SUMIFS('S&amp;L Data'!AN2:AN500,'S&amp;L Data'!$D2:$D500,"Estate and Gift Taxes")</f>
        <v>4960948</v>
      </c>
      <c r="AD17" s="109">
        <f>SUMIFS('S&amp;L Data'!AO2:AO500,'S&amp;L Data'!$D2:$D500,"Estate and Gift Taxes")</f>
        <v>5118279</v>
      </c>
      <c r="AE17" s="109">
        <f>SUMIFS('S&amp;L Data'!AP2:AP500,'S&amp;L Data'!$D2:$D500,"Estate and Gift Taxes")</f>
        <v>5349697</v>
      </c>
      <c r="AF17" s="109">
        <f>SUMIFS('S&amp;L Data'!AQ2:AQ500,'S&amp;L Data'!$D2:$D500,"Estate and Gift Taxes")</f>
        <v>4919680</v>
      </c>
      <c r="AG17" s="109">
        <f>SUMIFS('S&amp;L Data'!AR2:AR500,'S&amp;L Data'!$D2:$D500,"Estate and Gift Taxes")</f>
        <v>4153376</v>
      </c>
      <c r="AH17" s="109">
        <f>SUMIFS('S&amp;L Data'!AS2:AS500,'S&amp;L Data'!$D2:$D500,"Estate and Gift Taxes")</f>
        <v>4810811</v>
      </c>
      <c r="AI17" s="109">
        <f>SUMIFS('S&amp;L Data'!AT2:AT500,'S&amp;L Data'!$D2:$D500,"Estate and Gift Taxes")</f>
        <v>4871614</v>
      </c>
      <c r="AJ17" s="109">
        <f>SUMIFS('S&amp;L Data'!AU2:AU500,'S&amp;L Data'!$D2:$D500,"Estate and Gift Taxes")</f>
        <v>5184122</v>
      </c>
      <c r="AK17" s="109">
        <f>SUMIFS('S&amp;L Data'!AV2:AV500,'S&amp;L Data'!$D2:$D500,"Estate and Gift Taxes")</f>
        <v>5010825</v>
      </c>
    </row>
    <row r="18" spans="1:37" outlineLevel="1">
      <c r="A18" s="22" t="str">
        <f>B6</f>
        <v>Tax Revenue</v>
      </c>
      <c r="B18" s="27" t="s">
        <v>9</v>
      </c>
      <c r="C18" s="109">
        <f>SUMIFS('S&amp;L Data'!N2:N500,'S&amp;L Data'!$D2:$D500,"Severance Taxes")</f>
        <v>4167399</v>
      </c>
      <c r="D18" s="109">
        <f>SUMIFS('S&amp;L Data'!O2:O500,'S&amp;L Data'!$D2:$D500,"Severance Taxes")</f>
        <v>6379191</v>
      </c>
      <c r="E18" s="109">
        <f>SUMIFS('S&amp;L Data'!P2:P500,'S&amp;L Data'!$D2:$D500,"Severance Taxes")</f>
        <v>7829520</v>
      </c>
      <c r="F18" s="109">
        <f>SUMIFS('S&amp;L Data'!Q2:Q500,'S&amp;L Data'!$D2:$D500,"Severance Taxes")</f>
        <v>7405553</v>
      </c>
      <c r="G18" s="109">
        <f>SUMIFS('S&amp;L Data'!R2:R500,'S&amp;L Data'!$D2:$D500,"Severance Taxes")</f>
        <v>7266418</v>
      </c>
      <c r="H18" s="109">
        <f>SUMIFS('S&amp;L Data'!S2:S500,'S&amp;L Data'!$D2:$D500,"Severance Taxes")</f>
        <v>7211178</v>
      </c>
      <c r="I18" s="109">
        <f>SUMIFS('S&amp;L Data'!T2:T500,'S&amp;L Data'!$D2:$D500,"Severance Taxes")</f>
        <v>6125394</v>
      </c>
      <c r="J18" s="109">
        <f>SUMIFS('S&amp;L Data'!U2:U500,'S&amp;L Data'!$D2:$D500,"Severance Taxes")</f>
        <v>4050098</v>
      </c>
      <c r="K18" s="109">
        <f>SUMIFS('S&amp;L Data'!V2:V500,'S&amp;L Data'!$D2:$D500,"Severance Taxes")</f>
        <v>4330890</v>
      </c>
      <c r="L18" s="109">
        <f>SUMIFS('S&amp;L Data'!W2:W500,'S&amp;L Data'!$D2:$D500,"Severance Taxes")</f>
        <v>4144152</v>
      </c>
      <c r="M18" s="109">
        <f>SUMIFS('S&amp;L Data'!X2:X500,'S&amp;L Data'!$D2:$D500,"Severance Taxes")</f>
        <v>4682531</v>
      </c>
      <c r="N18" s="109">
        <f>SUMIFS('S&amp;L Data'!Y2:Y500,'S&amp;L Data'!$D2:$D500,"Severance Taxes")</f>
        <v>5366911</v>
      </c>
      <c r="O18" s="109">
        <f>SUMIFS('S&amp;L Data'!Z2:Z500,'S&amp;L Data'!$D2:$D500,"Severance Taxes")</f>
        <v>4647479</v>
      </c>
      <c r="P18" s="109">
        <f>SUMIFS('S&amp;L Data'!AA2:AA500,'S&amp;L Data'!$D2:$D500,"Severance Taxes")</f>
        <v>4907971</v>
      </c>
      <c r="Q18" s="109">
        <f>SUMIFS('S&amp;L Data'!AB2:AB500,'S&amp;L Data'!$D2:$D500,"Severance Taxes")</f>
        <v>4298003</v>
      </c>
      <c r="R18" s="109">
        <f>SUMIFS('S&amp;L Data'!AC2:AC500,'S&amp;L Data'!$D2:$D500,"Severance Taxes")</f>
        <v>4467629</v>
      </c>
      <c r="S18" s="109">
        <f>SUMIFS('S&amp;L Data'!AD2:AD500,'S&amp;L Data'!$D2:$D500,"Severance Taxes")</f>
        <v>4115529</v>
      </c>
      <c r="T18" s="109">
        <f>SUMIFS('S&amp;L Data'!AE2:AE500,'S&amp;L Data'!$D2:$D500,"Severance Taxes")</f>
        <v>4867898</v>
      </c>
      <c r="U18" s="109">
        <f>SUMIFS('S&amp;L Data'!AF2:AF500,'S&amp;L Data'!$D2:$D500,"Severance Taxes")</f>
        <v>4165773</v>
      </c>
      <c r="V18" s="109">
        <f>SUMIFS('S&amp;L Data'!AG2:AG500,'S&amp;L Data'!$D2:$D500,"Severance Taxes")</f>
        <v>3135150</v>
      </c>
      <c r="W18" s="109">
        <f>SUMIFS('S&amp;L Data'!AH2:AH500,'S&amp;L Data'!$D2:$D500,"Severance Taxes")</f>
        <v>4368012</v>
      </c>
      <c r="X18" s="109">
        <f>SUMIFS('S&amp;L Data'!AI2:AI500,'S&amp;L Data'!$D2:$D500,"Severance Taxes")</f>
        <v>6408733</v>
      </c>
      <c r="Y18" s="109">
        <f>SUMIFS('S&amp;L Data'!AJ2:AJ500,'S&amp;L Data'!$D2:$D500,"Severance Taxes")</f>
        <v>4233989</v>
      </c>
      <c r="Z18" s="109">
        <f>SUMIFS('S&amp;L Data'!AK2:AK500,'S&amp;L Data'!$D2:$D500,"Severance Taxes")</f>
        <v>5321561</v>
      </c>
      <c r="AA18" s="109">
        <f>SUMIFS('S&amp;L Data'!AL2:AL500,'S&amp;L Data'!$D2:$D500,"Severance Taxes")</f>
        <v>6362179</v>
      </c>
      <c r="AB18" s="109">
        <f>SUMIFS('S&amp;L Data'!AM2:AM500,'S&amp;L Data'!$D2:$D500,"Severance Taxes")</f>
        <v>8176588</v>
      </c>
      <c r="AC18" s="109">
        <f>SUMIFS('S&amp;L Data'!AN2:AN500,'S&amp;L Data'!$D2:$D500,"Severance Taxes")</f>
        <v>10567667</v>
      </c>
      <c r="AD18" s="109">
        <f>SUMIFS('S&amp;L Data'!AO2:AO500,'S&amp;L Data'!$D2:$D500,"Severance Taxes")</f>
        <v>11141705</v>
      </c>
      <c r="AE18" s="109">
        <f>SUMIFS('S&amp;L Data'!AP2:AP500,'S&amp;L Data'!$D2:$D500,"Severance Taxes")</f>
        <v>17887975</v>
      </c>
      <c r="AF18" s="109">
        <f>SUMIFS('S&amp;L Data'!AQ2:AQ500,'S&amp;L Data'!$D2:$D500,"Severance Taxes")</f>
        <v>13490468</v>
      </c>
      <c r="AG18" s="109">
        <f>SUMIFS('S&amp;L Data'!AR2:AR500,'S&amp;L Data'!$D2:$D500,"Severance Taxes")</f>
        <v>11479671</v>
      </c>
      <c r="AH18" s="109">
        <f>SUMIFS('S&amp;L Data'!AS2:AS500,'S&amp;L Data'!$D2:$D500,"Severance Taxes")</f>
        <v>14714276</v>
      </c>
      <c r="AI18" s="109">
        <f>SUMIFS('S&amp;L Data'!AT2:AT500,'S&amp;L Data'!$D2:$D500,"Severance Taxes")</f>
        <v>17376037</v>
      </c>
      <c r="AJ18" s="109">
        <f>SUMIFS('S&amp;L Data'!AU2:AU500,'S&amp;L Data'!$D2:$D500,"Severance Taxes")</f>
        <v>16569866</v>
      </c>
      <c r="AK18" s="109">
        <f>SUMIFS('S&amp;L Data'!AV2:AV500,'S&amp;L Data'!$D2:$D500,"Severance Taxes")</f>
        <v>17869250</v>
      </c>
    </row>
    <row r="19" spans="1:37" outlineLevel="1">
      <c r="A19" s="22" t="str">
        <f>B6</f>
        <v>Tax Revenue</v>
      </c>
      <c r="B19" s="27" t="s">
        <v>11</v>
      </c>
      <c r="C19" s="109">
        <f>SUMIFS('S&amp;L Data'!N2:N500,'S&amp;L Data'!$D2:$D500,"Licenses")</f>
        <v>9078807</v>
      </c>
      <c r="D19" s="109">
        <f>SUMIFS('S&amp;L Data'!O2:O500,'S&amp;L Data'!$D2:$D500,"Licenses")</f>
        <v>9904838</v>
      </c>
      <c r="E19" s="109">
        <f>SUMIFS('S&amp;L Data'!P2:P500,'S&amp;L Data'!$D2:$D500,"Licenses")</f>
        <v>10530741</v>
      </c>
      <c r="F19" s="109">
        <f>SUMIFS('S&amp;L Data'!Q2:Q500,'S&amp;L Data'!$D2:$D500,"Licenses")</f>
        <v>11117117</v>
      </c>
      <c r="G19" s="109">
        <f>SUMIFS('S&amp;L Data'!R2:R500,'S&amp;L Data'!$D2:$D500,"Licenses")</f>
        <v>12402129</v>
      </c>
      <c r="H19" s="109">
        <f>SUMIFS('S&amp;L Data'!S2:S500,'S&amp;L Data'!$D2:$D500,"Licenses")</f>
        <v>14326555</v>
      </c>
      <c r="I19" s="109">
        <f>SUMIFS('S&amp;L Data'!T2:T500,'S&amp;L Data'!$D2:$D500,"Licenses")</f>
        <v>15494400</v>
      </c>
      <c r="J19" s="109">
        <f>SUMIFS('S&amp;L Data'!U2:U500,'S&amp;L Data'!$D2:$D500,"Licenses")</f>
        <v>16596116</v>
      </c>
      <c r="K19" s="109">
        <f>SUMIFS('S&amp;L Data'!V2:V500,'S&amp;L Data'!$D2:$D500,"Licenses")</f>
        <v>17673687</v>
      </c>
      <c r="L19" s="109">
        <f>SUMIFS('S&amp;L Data'!W2:W500,'S&amp;L Data'!$D2:$D500,"Licenses")</f>
        <v>18415462</v>
      </c>
      <c r="M19" s="109">
        <f>SUMIFS('S&amp;L Data'!X2:X500,'S&amp;L Data'!$D2:$D500,"Licenses")</f>
        <v>19634702</v>
      </c>
      <c r="N19" s="109">
        <f>SUMIFS('S&amp;L Data'!Y2:Y500,'S&amp;L Data'!$D2:$D500,"Licenses")</f>
        <v>20225962</v>
      </c>
      <c r="O19" s="109">
        <f>SUMIFS('S&amp;L Data'!Z2:Z500,'S&amp;L Data'!$D2:$D500,"Licenses")</f>
        <v>22466000</v>
      </c>
      <c r="P19" s="109">
        <f>SUMIFS('S&amp;L Data'!AA2:AA500,'S&amp;L Data'!$D2:$D500,"Licenses")</f>
        <v>24182294</v>
      </c>
      <c r="Q19" s="109">
        <f>SUMIFS('S&amp;L Data'!AB2:AB500,'S&amp;L Data'!$D2:$D500,"Licenses")</f>
        <v>25047834</v>
      </c>
      <c r="R19" s="109">
        <f>SUMIFS('S&amp;L Data'!AC2:AC500,'S&amp;L Data'!$D2:$D500,"Licenses")</f>
        <v>27210725</v>
      </c>
      <c r="S19" s="109">
        <f>SUMIFS('S&amp;L Data'!AD2:AD500,'S&amp;L Data'!$D2:$D500,"Licenses")</f>
        <v>28333996</v>
      </c>
      <c r="T19" s="109">
        <f>SUMIFS('S&amp;L Data'!AE2:AE500,'S&amp;L Data'!$D2:$D500,"Licenses")</f>
        <v>29293738</v>
      </c>
      <c r="U19" s="109">
        <f>SUMIFS('S&amp;L Data'!AF2:AF500,'S&amp;L Data'!$D2:$D500,"Licenses")</f>
        <v>30906539</v>
      </c>
      <c r="V19" s="109">
        <f>SUMIFS('S&amp;L Data'!AG2:AG500,'S&amp;L Data'!$D2:$D500,"Licenses")</f>
        <v>31727532</v>
      </c>
      <c r="W19" s="109">
        <f>SUMIFS('S&amp;L Data'!AH2:AH500,'S&amp;L Data'!$D2:$D500,"Licenses")</f>
        <v>33927319</v>
      </c>
      <c r="X19" s="109">
        <f>SUMIFS('S&amp;L Data'!AI2:AI500,'S&amp;L Data'!$D2:$D500,"Licenses")</f>
        <v>34197890</v>
      </c>
      <c r="Y19" s="109">
        <f>SUMIFS('S&amp;L Data'!AJ2:AJ500,'S&amp;L Data'!$D2:$D500,"Licenses")</f>
        <v>36716191</v>
      </c>
      <c r="Z19" s="109">
        <f>SUMIFS('S&amp;L Data'!AK2:AK500,'S&amp;L Data'!$D2:$D500,"Licenses")</f>
        <v>37269481</v>
      </c>
      <c r="AA19" s="109">
        <f>SUMIFS('S&amp;L Data'!AL2:AL500,'S&amp;L Data'!$D2:$D500,"Licenses")</f>
        <v>41255979</v>
      </c>
      <c r="AB19" s="109">
        <f>SUMIFS('S&amp;L Data'!AM2:AM500,'S&amp;L Data'!$D2:$D500,"Licenses")</f>
        <v>56809940</v>
      </c>
      <c r="AC19" s="109">
        <f>SUMIFS('S&amp;L Data'!AN2:AN500,'S&amp;L Data'!$D2:$D500,"Licenses")</f>
        <v>61403130</v>
      </c>
      <c r="AD19" s="109">
        <f>SUMIFS('S&amp;L Data'!AO2:AO500,'S&amp;L Data'!$D2:$D500,"Licenses")</f>
        <v>63744902</v>
      </c>
      <c r="AE19" s="109">
        <f>SUMIFS('S&amp;L Data'!AP2:AP500,'S&amp;L Data'!$D2:$D500,"Licenses")</f>
        <v>65978268</v>
      </c>
      <c r="AF19" s="109">
        <f>SUMIFS('S&amp;L Data'!AQ2:AQ500,'S&amp;L Data'!$D2:$D500,"Licenses")</f>
        <v>64356905</v>
      </c>
      <c r="AG19" s="109">
        <f>SUMIFS('S&amp;L Data'!AR2:AR500,'S&amp;L Data'!$D2:$D500,"Licenses")</f>
        <v>64614156</v>
      </c>
      <c r="AH19" s="109">
        <f>SUMIFS('S&amp;L Data'!AS2:AS500,'S&amp;L Data'!$D2:$D500,"Licenses")</f>
        <v>66317275</v>
      </c>
      <c r="AI19" s="109">
        <f>SUMIFS('S&amp;L Data'!AT2:AT500,'S&amp;L Data'!$D2:$D500,"Licenses")</f>
        <v>69701116</v>
      </c>
      <c r="AJ19" s="109">
        <f>SUMIFS('S&amp;L Data'!AU2:AU500,'S&amp;L Data'!$D2:$D500,"Licenses")</f>
        <v>71371532</v>
      </c>
      <c r="AK19" s="109">
        <f>SUMIFS('S&amp;L Data'!AV2:AV500,'S&amp;L Data'!$D2:$D500,"Licenses")</f>
        <v>68015921</v>
      </c>
    </row>
    <row r="20" spans="1:37" outlineLevel="1">
      <c r="A20" s="22" t="str">
        <f>B6</f>
        <v>Tax Revenue</v>
      </c>
      <c r="B20" s="40" t="s">
        <v>12</v>
      </c>
      <c r="C20" s="115">
        <f>SUMIFS('S&amp;L Data'!N2:N500,'S&amp;L Data'!$D2:$D500,"Other Taxes")</f>
        <v>5642519</v>
      </c>
      <c r="D20" s="115">
        <f>SUMIFS('S&amp;L Data'!O2:O500,'S&amp;L Data'!$D2:$D500,"Other Taxes")</f>
        <v>5843830</v>
      </c>
      <c r="E20" s="115">
        <f>SUMIFS('S&amp;L Data'!P2:P500,'S&amp;L Data'!$D2:$D500,"Other Taxes")</f>
        <v>5831561</v>
      </c>
      <c r="F20" s="115">
        <f>SUMIFS('S&amp;L Data'!Q2:Q500,'S&amp;L Data'!$D2:$D500,"Other Taxes")</f>
        <v>6255641</v>
      </c>
      <c r="G20" s="115">
        <f>SUMIFS('S&amp;L Data'!R2:R500,'S&amp;L Data'!$D2:$D500,"Other Taxes")</f>
        <v>7981102</v>
      </c>
      <c r="H20" s="115">
        <f>SUMIFS('S&amp;L Data'!S2:S500,'S&amp;L Data'!$D2:$D500,"Other Taxes")</f>
        <v>8965917</v>
      </c>
      <c r="I20" s="115">
        <f>SUMIFS('S&amp;L Data'!T2:T500,'S&amp;L Data'!$D2:$D500,"Other Taxes")</f>
        <v>10013988</v>
      </c>
      <c r="J20" s="115">
        <f>SUMIFS('S&amp;L Data'!U2:U500,'S&amp;L Data'!$D2:$D500,"Other Taxes")</f>
        <v>11845824</v>
      </c>
      <c r="K20" s="115">
        <f>SUMIFS('S&amp;L Data'!V2:V500,'S&amp;L Data'!$D2:$D500,"Other Taxes")</f>
        <v>12342251</v>
      </c>
      <c r="L20" s="115">
        <f>SUMIFS('S&amp;L Data'!W2:W500,'S&amp;L Data'!$D2:$D500,"Other Taxes")</f>
        <v>12628300</v>
      </c>
      <c r="M20" s="115">
        <f>SUMIFS('S&amp;L Data'!X2:X500,'S&amp;L Data'!$D2:$D500,"Other Taxes")</f>
        <v>13168515</v>
      </c>
      <c r="N20" s="115">
        <f>SUMIFS('S&amp;L Data'!Y2:Y500,'S&amp;L Data'!$D2:$D500,"Other Taxes")</f>
        <v>12618891</v>
      </c>
      <c r="O20" s="115">
        <f>SUMIFS('S&amp;L Data'!Z2:Z500,'S&amp;L Data'!$D2:$D500,"Other Taxes")</f>
        <v>13246762</v>
      </c>
      <c r="P20" s="115">
        <f>SUMIFS('S&amp;L Data'!AA2:AA500,'S&amp;L Data'!$D2:$D500,"Other Taxes")</f>
        <v>14130988</v>
      </c>
      <c r="Q20" s="115">
        <f>SUMIFS('S&amp;L Data'!AB2:AB500,'S&amp;L Data'!$D2:$D500,"Other Taxes")</f>
        <v>16219822</v>
      </c>
      <c r="R20" s="115">
        <f>SUMIFS('S&amp;L Data'!AC2:AC500,'S&amp;L Data'!$D2:$D500,"Other Taxes")</f>
        <v>17026953</v>
      </c>
      <c r="S20" s="115">
        <f>SUMIFS('S&amp;L Data'!AD2:AD500,'S&amp;L Data'!$D2:$D500,"Other Taxes")</f>
        <v>17073747</v>
      </c>
      <c r="T20" s="115">
        <f>SUMIFS('S&amp;L Data'!AE2:AE500,'S&amp;L Data'!$D2:$D500,"Other Taxes")</f>
        <v>18545161</v>
      </c>
      <c r="U20" s="115">
        <f>SUMIFS('S&amp;L Data'!AF2:AF500,'S&amp;L Data'!$D2:$D500,"Other Taxes")</f>
        <v>20622196</v>
      </c>
      <c r="V20" s="115">
        <f>SUMIFS('S&amp;L Data'!AG2:AG500,'S&amp;L Data'!$D2:$D500,"Other Taxes")</f>
        <v>22691303</v>
      </c>
      <c r="W20" s="115">
        <f>SUMIFS('S&amp;L Data'!AH2:AH500,'S&amp;L Data'!$D2:$D500,"Other Taxes")</f>
        <v>23650054</v>
      </c>
      <c r="X20" s="115">
        <f>SUMIFS('S&amp;L Data'!AI2:AI500,'S&amp;L Data'!$D2:$D500,"Other Taxes")</f>
        <v>24358887</v>
      </c>
      <c r="Y20" s="115">
        <f>SUMIFS('S&amp;L Data'!AJ2:AJ500,'S&amp;L Data'!$D2:$D500,"Other Taxes")</f>
        <v>27121638</v>
      </c>
      <c r="Z20" s="115">
        <f>SUMIFS('S&amp;L Data'!AK2:AK500,'S&amp;L Data'!$D2:$D500,"Other Taxes")</f>
        <v>30227868</v>
      </c>
      <c r="AA20" s="115">
        <f>SUMIFS('S&amp;L Data'!AL2:AL500,'S&amp;L Data'!$D2:$D500,"Other Taxes")</f>
        <v>35581371</v>
      </c>
      <c r="AB20" s="115">
        <f>SUMIFS('S&amp;L Data'!AM2:AM500,'S&amp;L Data'!$D2:$D500,"Other Taxes")</f>
        <v>28865327</v>
      </c>
      <c r="AC20" s="115">
        <f>SUMIFS('S&amp;L Data'!AN2:AN500,'S&amp;L Data'!$D2:$D500,"Other Taxes")</f>
        <v>31536985</v>
      </c>
      <c r="AD20" s="115">
        <f>SUMIFS('S&amp;L Data'!AO2:AO500,'S&amp;L Data'!$D2:$D500,"Other Taxes")</f>
        <v>30157804</v>
      </c>
      <c r="AE20" s="115">
        <f>SUMIFS('S&amp;L Data'!AP2:AP500,'S&amp;L Data'!$D2:$D500,"Other Taxes")</f>
        <v>26235078</v>
      </c>
      <c r="AF20" s="115">
        <f>SUMIFS('S&amp;L Data'!AQ2:AQ500,'S&amp;L Data'!$D2:$D500,"Other Taxes")</f>
        <v>20059437</v>
      </c>
      <c r="AG20" s="115">
        <f>SUMIFS('S&amp;L Data'!AR2:AR500,'S&amp;L Data'!$D2:$D500,"Other Taxes")</f>
        <v>20464224</v>
      </c>
      <c r="AH20" s="115">
        <f>SUMIFS('S&amp;L Data'!AS2:AS500,'S&amp;L Data'!$D2:$D500,"Other Taxes")</f>
        <v>21711733</v>
      </c>
      <c r="AI20" s="115">
        <f>SUMIFS('S&amp;L Data'!AT2:AT500,'S&amp;L Data'!$D2:$D500,"Other Taxes")</f>
        <v>23494522</v>
      </c>
      <c r="AJ20" s="115">
        <f>SUMIFS('S&amp;L Data'!AU2:AU500,'S&amp;L Data'!$D2:$D500,"Other Taxes")</f>
        <v>25732848</v>
      </c>
      <c r="AK20" s="115">
        <f>SUMIFS('S&amp;L Data'!AV2:AV500,'S&amp;L Data'!$D2:$D500,"Other Taxes")</f>
        <v>28246512</v>
      </c>
    </row>
    <row r="21" spans="1:37">
      <c r="A21" s="22" t="str">
        <f>B4</f>
        <v>Revenue</v>
      </c>
      <c r="B21" s="73" t="s">
        <v>2</v>
      </c>
      <c r="C21" s="116">
        <f>SUMIFS('S&amp;L Data'!N2:N500,'S&amp;L Data'!$C2:$C500,"Non-Tax Revenue")</f>
        <v>107829812</v>
      </c>
      <c r="D21" s="116">
        <f>SUMIFS('S&amp;L Data'!O2:O500,'S&amp;L Data'!$C2:$C500,"Non-Tax Revenue")</f>
        <v>121472741</v>
      </c>
      <c r="E21" s="116">
        <f>SUMIFS('S&amp;L Data'!P2:P500,'S&amp;L Data'!$C2:$C500,"Non-Tax Revenue")</f>
        <v>124224815</v>
      </c>
      <c r="F21" s="116">
        <f>SUMIFS('S&amp;L Data'!Q2:Q500,'S&amp;L Data'!$C2:$C500,"Non-Tax Revenue")</f>
        <v>135980128</v>
      </c>
      <c r="G21" s="116">
        <f>SUMIFS('S&amp;L Data'!R2:R500,'S&amp;L Data'!$C2:$C500,"Non-Tax Revenue")</f>
        <v>150783858</v>
      </c>
      <c r="H21" s="116">
        <f>SUMIFS('S&amp;L Data'!S2:S500,'S&amp;L Data'!$C2:$C500,"Non-Tax Revenue")</f>
        <v>169196877</v>
      </c>
      <c r="I21" s="116">
        <f>SUMIFS('S&amp;L Data'!T2:T500,'S&amp;L Data'!$C2:$C500,"Non-Tax Revenue")</f>
        <v>194327744</v>
      </c>
      <c r="J21" s="116">
        <f>SUMIFS('S&amp;L Data'!U2:U500,'S&amp;L Data'!$C2:$C500,"Non-Tax Revenue")</f>
        <v>207772533</v>
      </c>
      <c r="K21" s="116">
        <f>SUMIFS('S&amp;L Data'!V2:V500,'S&amp;L Data'!$C2:$C500,"Non-Tax Revenue")</f>
        <v>195720232</v>
      </c>
      <c r="L21" s="116">
        <f>SUMIFS('S&amp;L Data'!W2:W500,'S&amp;L Data'!$C2:$C500,"Non-Tax Revenue")</f>
        <v>206456838</v>
      </c>
      <c r="M21" s="116">
        <f>SUMIFS('S&amp;L Data'!X2:X500,'S&amp;L Data'!$C2:$C500,"Non-Tax Revenue")</f>
        <v>231045675</v>
      </c>
      <c r="N21" s="116">
        <f>SUMIFS('S&amp;L Data'!Y2:Y500,'S&amp;L Data'!$C2:$C500,"Non-Tax Revenue")</f>
        <v>241318653</v>
      </c>
      <c r="O21" s="116">
        <f>SUMIFS('S&amp;L Data'!Z2:Z500,'S&amp;L Data'!$C2:$C500,"Non-Tax Revenue")</f>
        <v>291951079</v>
      </c>
      <c r="P21" s="116">
        <f>SUMIFS('S&amp;L Data'!AA2:AA500,'S&amp;L Data'!$C2:$C500,"Non-Tax Revenue")</f>
        <v>319041678</v>
      </c>
      <c r="Q21" s="116">
        <f>SUMIFS('S&amp;L Data'!AB2:AB500,'S&amp;L Data'!$C2:$C500,"Non-Tax Revenue")</f>
        <v>334805978</v>
      </c>
      <c r="R21" s="116">
        <f>SUMIFS('S&amp;L Data'!AC2:AC500,'S&amp;L Data'!$C2:$C500,"Non-Tax Revenue")</f>
        <v>357104915</v>
      </c>
      <c r="S21" s="116">
        <f>SUMIFS('S&amp;L Data'!AD2:AD500,'S&amp;L Data'!$C2:$C500,"Non-Tax Revenue")</f>
        <v>407870970</v>
      </c>
      <c r="T21" s="116">
        <f>SUMIFS('S&amp;L Data'!AE2:AE500,'S&amp;L Data'!$C2:$C500,"Non-Tax Revenue")</f>
        <v>452822266</v>
      </c>
      <c r="U21" s="116">
        <f>SUMIFS('S&amp;L Data'!AF2:AF500,'S&amp;L Data'!$C2:$C500,"Non-Tax Revenue")</f>
        <v>508512152</v>
      </c>
      <c r="V21" s="116">
        <f>SUMIFS('S&amp;L Data'!AG2:AG500,'S&amp;L Data'!$C2:$C500,"Non-Tax Revenue")</f>
        <v>525267108</v>
      </c>
      <c r="W21" s="116">
        <f>SUMIFS('S&amp;L Data'!AH2:AH500,'S&amp;L Data'!$C2:$C500,"Non-Tax Revenue")</f>
        <v>592253010</v>
      </c>
      <c r="X21" s="116">
        <f>SUMIFS('S&amp;L Data'!AI2:AI500,'S&amp;L Data'!$C2:$C500,"Non-Tax Revenue")</f>
        <v>459104654</v>
      </c>
      <c r="Y21" s="116">
        <f>SUMIFS('S&amp;L Data'!AJ2:AJ500,'S&amp;L Data'!$C2:$C500,"Non-Tax Revenue")</f>
        <v>366049735</v>
      </c>
      <c r="Z21" s="116">
        <f>SUMIFS('S&amp;L Data'!AK2:AK500,'S&amp;L Data'!$C2:$C500,"Non-Tax Revenue")</f>
        <v>547160796</v>
      </c>
      <c r="AA21" s="116">
        <f>SUMIFS('S&amp;L Data'!AL2:AL500,'S&amp;L Data'!$C2:$C500,"Non-Tax Revenue")</f>
        <v>829565320</v>
      </c>
      <c r="AB21" s="116">
        <f>SUMIFS('S&amp;L Data'!AM2:AM500,'S&amp;L Data'!$C2:$C500,"Non-Tax Revenue")</f>
        <v>801640925</v>
      </c>
      <c r="AC21" s="116">
        <f>SUMIFS('S&amp;L Data'!AN2:AN500,'S&amp;L Data'!$C2:$C500,"Non-Tax Revenue")</f>
        <v>848189232</v>
      </c>
      <c r="AD21" s="116">
        <f>SUMIFS('S&amp;L Data'!AO2:AO500,'S&amp;L Data'!$C2:$C500,"Non-Tax Revenue")</f>
        <v>1046689398</v>
      </c>
      <c r="AE21" s="116">
        <f>SUMIFS('S&amp;L Data'!AP2:AP500,'S&amp;L Data'!$C2:$C500,"Non-Tax Revenue")</f>
        <v>520038603</v>
      </c>
      <c r="AF21" s="116">
        <f>SUMIFS('S&amp;L Data'!AQ2:AQ500,'S&amp;L Data'!$C2:$C500,"Non-Tax Revenue")</f>
        <v>26996204</v>
      </c>
      <c r="AG21" s="116">
        <f>SUMIFS('S&amp;L Data'!AR2:AR500,'S&amp;L Data'!$C2:$C500,"Non-Tax Revenue")</f>
        <v>1080522548</v>
      </c>
      <c r="AH21" s="116">
        <f>SUMIFS('S&amp;L Data'!AS2:AS500,'S&amp;L Data'!$C2:$C500,"Non-Tax Revenue")</f>
        <v>1240854098</v>
      </c>
      <c r="AI21" s="116">
        <f>SUMIFS('S&amp;L Data'!AT2:AT500,'S&amp;L Data'!$C2:$C500,"Non-Tax Revenue")</f>
        <v>801982497</v>
      </c>
      <c r="AJ21" s="116">
        <f>SUMIFS('S&amp;L Data'!AU2:AU500,'S&amp;L Data'!$C2:$C500,"Non-Tax Revenue")</f>
        <v>1096573059</v>
      </c>
      <c r="AK21" s="116">
        <f>SUMIFS('S&amp;L Data'!AV2:AV500,'S&amp;L Data'!$C2:$C500,"Non-Tax Revenue")</f>
        <v>1269963926</v>
      </c>
    </row>
    <row r="22" spans="1:37" outlineLevel="1">
      <c r="A22" s="22" t="str">
        <f>B21</f>
        <v>Non-Tax Revenue</v>
      </c>
      <c r="B22" s="27" t="s">
        <v>13</v>
      </c>
      <c r="C22" s="109">
        <f>SUMIFS('S&amp;L Data'!N2:N500,'S&amp;L Data'!$D2:$D500,"Sales of Government Resources")</f>
        <v>4164639</v>
      </c>
      <c r="D22" s="109">
        <f>SUMIFS('S&amp;L Data'!O2:O500,'S&amp;L Data'!$D2:$D500,"Sales of Government Resources")</f>
        <v>6161455</v>
      </c>
      <c r="E22" s="109">
        <f>SUMIFS('S&amp;L Data'!P2:P500,'S&amp;L Data'!$D2:$D500,"Sales of Government Resources")</f>
        <v>8031106</v>
      </c>
      <c r="F22" s="109">
        <f>SUMIFS('S&amp;L Data'!Q2:Q500,'S&amp;L Data'!$D2:$D500,"Sales of Government Resources")</f>
        <v>10057631</v>
      </c>
      <c r="G22" s="109">
        <f>SUMIFS('S&amp;L Data'!R2:R500,'S&amp;L Data'!$D2:$D500,"Sales of Government Resources")</f>
        <v>12918217</v>
      </c>
      <c r="H22" s="109">
        <f>SUMIFS('S&amp;L Data'!S2:S500,'S&amp;L Data'!$D2:$D500,"Sales of Government Resources")</f>
        <v>15040053</v>
      </c>
      <c r="I22" s="109">
        <f>SUMIFS('S&amp;L Data'!T2:T500,'S&amp;L Data'!$D2:$D500,"Sales of Government Resources")</f>
        <v>16540403</v>
      </c>
      <c r="J22" s="109">
        <f>SUMIFS('S&amp;L Data'!U2:U500,'S&amp;L Data'!$D2:$D500,"Sales of Government Resources")</f>
        <v>17927586</v>
      </c>
      <c r="K22" s="109">
        <f>SUMIFS('S&amp;L Data'!V2:V500,'S&amp;L Data'!$D2:$D500,"Sales of Government Resources")</f>
        <v>5563505</v>
      </c>
      <c r="L22" s="109">
        <f>SUMIFS('S&amp;L Data'!W2:W500,'S&amp;L Data'!$D2:$D500,"Sales of Government Resources")</f>
        <v>4801018</v>
      </c>
      <c r="M22" s="109">
        <f>SUMIFS('S&amp;L Data'!X2:X500,'S&amp;L Data'!$D2:$D500,"Sales of Government Resources")</f>
        <v>5484490</v>
      </c>
      <c r="N22" s="109">
        <f>SUMIFS('S&amp;L Data'!Y2:Y500,'S&amp;L Data'!$D2:$D500,"Sales of Government Resources")</f>
        <v>5575617</v>
      </c>
      <c r="O22" s="109">
        <f>SUMIFS('S&amp;L Data'!Z2:Z500,'S&amp;L Data'!$D2:$D500,"Sales of Government Resources")</f>
        <v>4948152</v>
      </c>
      <c r="P22" s="109">
        <f>SUMIFS('S&amp;L Data'!AA2:AA500,'S&amp;L Data'!$D2:$D500,"Sales of Government Resources")</f>
        <v>5418897</v>
      </c>
      <c r="Q22" s="109">
        <f>SUMIFS('S&amp;L Data'!AB2:AB500,'S&amp;L Data'!$D2:$D500,"Sales of Government Resources")</f>
        <v>5129292</v>
      </c>
      <c r="R22" s="109">
        <f>SUMIFS('S&amp;L Data'!AC2:AC500,'S&amp;L Data'!$D2:$D500,"Sales of Government Resources")</f>
        <v>5733469</v>
      </c>
      <c r="S22" s="109">
        <f>SUMIFS('S&amp;L Data'!AD2:AD500,'S&amp;L Data'!$D2:$D500,"Sales of Government Resources")</f>
        <v>5607514</v>
      </c>
      <c r="T22" s="109">
        <f>SUMIFS('S&amp;L Data'!AE2:AE500,'S&amp;L Data'!$D2:$D500,"Sales of Government Resources")</f>
        <v>7593251</v>
      </c>
      <c r="U22" s="109">
        <f>SUMIFS('S&amp;L Data'!AF2:AF500,'S&amp;L Data'!$D2:$D500,"Sales of Government Resources")</f>
        <v>8042909</v>
      </c>
      <c r="V22" s="109">
        <f>SUMIFS('S&amp;L Data'!AG2:AG500,'S&amp;L Data'!$D2:$D500,"Sales of Government Resources")</f>
        <v>7236440</v>
      </c>
      <c r="W22" s="109">
        <f>SUMIFS('S&amp;L Data'!AH2:AH500,'S&amp;L Data'!$D2:$D500,"Sales of Government Resources")</f>
        <v>8817982</v>
      </c>
      <c r="X22" s="109">
        <f>SUMIFS('S&amp;L Data'!AI2:AI500,'S&amp;L Data'!$D2:$D500,"Sales of Government Resources")</f>
        <v>10778913</v>
      </c>
      <c r="Y22" s="109">
        <f>SUMIFS('S&amp;L Data'!AJ2:AJ500,'S&amp;L Data'!$D2:$D500,"Sales of Government Resources")</f>
        <v>9167566</v>
      </c>
      <c r="Z22" s="109">
        <f>SUMIFS('S&amp;L Data'!AK2:AK500,'S&amp;L Data'!$D2:$D500,"Sales of Government Resources")</f>
        <v>9688791</v>
      </c>
      <c r="AA22" s="109">
        <f>SUMIFS('S&amp;L Data'!AL2:AL500,'S&amp;L Data'!$D2:$D500,"Sales of Government Resources")</f>
        <v>11082321</v>
      </c>
      <c r="AB22" s="109">
        <f>SUMIFS('S&amp;L Data'!AM2:AM500,'S&amp;L Data'!$D2:$D500,"Sales of Government Resources")</f>
        <v>13769120</v>
      </c>
      <c r="AC22" s="109">
        <f>SUMIFS('S&amp;L Data'!AN2:AN500,'S&amp;L Data'!$D2:$D500,"Sales of Government Resources")</f>
        <v>13963858</v>
      </c>
      <c r="AD22" s="109">
        <f>SUMIFS('S&amp;L Data'!AO2:AO500,'S&amp;L Data'!$D2:$D500,"Sales of Government Resources")</f>
        <v>17576530</v>
      </c>
      <c r="AE22" s="109">
        <f>SUMIFS('S&amp;L Data'!AP2:AP500,'S&amp;L Data'!$D2:$D500,"Sales of Government Resources")</f>
        <v>19513412</v>
      </c>
      <c r="AF22" s="109">
        <f>SUMIFS('S&amp;L Data'!AQ2:AQ500,'S&amp;L Data'!$D2:$D500,"Sales of Government Resources")</f>
        <v>17814688</v>
      </c>
      <c r="AG22" s="109">
        <f>SUMIFS('S&amp;L Data'!AR2:AR500,'S&amp;L Data'!$D2:$D500,"Sales of Government Resources")</f>
        <v>16823058</v>
      </c>
      <c r="AH22" s="109">
        <f>SUMIFS('S&amp;L Data'!AS2:AS500,'S&amp;L Data'!$D2:$D500,"Sales of Government Resources")</f>
        <v>17740432</v>
      </c>
      <c r="AI22" s="109">
        <f>SUMIFS('S&amp;L Data'!AT2:AT500,'S&amp;L Data'!$D2:$D500,"Sales of Government Resources")</f>
        <v>18763913</v>
      </c>
      <c r="AJ22" s="109">
        <f>SUMIFS('S&amp;L Data'!AU2:AU500,'S&amp;L Data'!$D2:$D500,"Sales of Government Resources")</f>
        <v>19135512</v>
      </c>
      <c r="AK22" s="109">
        <f>SUMIFS('S&amp;L Data'!AV2:AV500,'S&amp;L Data'!$D2:$D500,"Sales of Government Resources")</f>
        <v>19735919</v>
      </c>
    </row>
    <row r="23" spans="1:37" outlineLevel="1">
      <c r="A23" s="22" t="str">
        <f>B21</f>
        <v>Non-Tax Revenue</v>
      </c>
      <c r="B23" s="27" t="s">
        <v>299</v>
      </c>
      <c r="C23" s="109">
        <f>SUMIFS('S&amp;L Data'!N2:N500,'S&amp;L Data'!$D2:$D500,"Earnings on Investments")</f>
        <v>14031154</v>
      </c>
      <c r="D23" s="109">
        <f>SUMIFS('S&amp;L Data'!O2:O500,'S&amp;L Data'!$D2:$D500,"Earnings on Investments")</f>
        <v>17240949</v>
      </c>
      <c r="E23" s="109">
        <f>SUMIFS('S&amp;L Data'!P2:P500,'S&amp;L Data'!$D2:$D500,"Earnings on Investments")</f>
        <v>20233222</v>
      </c>
      <c r="F23" s="109">
        <f>SUMIFS('S&amp;L Data'!Q2:Q500,'S&amp;L Data'!$D2:$D500,"Earnings on Investments")</f>
        <v>27416969</v>
      </c>
      <c r="G23" s="109">
        <f>SUMIFS('S&amp;L Data'!R2:R500,'S&amp;L Data'!$D2:$D500,"Earnings on Investments")</f>
        <v>30610640</v>
      </c>
      <c r="H23" s="109">
        <f>SUMIFS('S&amp;L Data'!S2:S500,'S&amp;L Data'!$D2:$D500,"Earnings on Investments")</f>
        <v>36285574</v>
      </c>
      <c r="I23" s="109">
        <f>SUMIFS('S&amp;L Data'!T2:T500,'S&amp;L Data'!$D2:$D500,"Earnings on Investments")</f>
        <v>50888782</v>
      </c>
      <c r="J23" s="109">
        <f>SUMIFS('S&amp;L Data'!U2:U500,'S&amp;L Data'!$D2:$D500,"Earnings on Investments")</f>
        <v>59605976</v>
      </c>
      <c r="K23" s="109">
        <f>SUMIFS('S&amp;L Data'!V2:V500,'S&amp;L Data'!$D2:$D500,"Earnings on Investments")</f>
        <v>57234466</v>
      </c>
      <c r="L23" s="109">
        <f>SUMIFS('S&amp;L Data'!W2:W500,'S&amp;L Data'!$D2:$D500,"Earnings on Investments")</f>
        <v>58979925</v>
      </c>
      <c r="M23" s="109">
        <f>SUMIFS('S&amp;L Data'!X2:X500,'S&amp;L Data'!$D2:$D500,"Earnings on Investments")</f>
        <v>70279883</v>
      </c>
      <c r="N23" s="109">
        <f>SUMIFS('S&amp;L Data'!Y2:Y500,'S&amp;L Data'!$D2:$D500,"Earnings on Investments")</f>
        <v>61496254</v>
      </c>
      <c r="O23" s="109">
        <f>SUMIFS('S&amp;L Data'!Z2:Z500,'S&amp;L Data'!$D2:$D500,"Earnings on Investments")</f>
        <v>80548468</v>
      </c>
      <c r="P23" s="109">
        <f>SUMIFS('S&amp;L Data'!AA2:AA500,'S&amp;L Data'!$D2:$D500,"Earnings on Investments")</f>
        <v>86823768</v>
      </c>
      <c r="Q23" s="109">
        <f>SUMIFS('S&amp;L Data'!AB2:AB500,'S&amp;L Data'!$D2:$D500,"Earnings on Investments")</f>
        <v>86148733</v>
      </c>
      <c r="R23" s="109">
        <f>SUMIFS('S&amp;L Data'!AC2:AC500,'S&amp;L Data'!$D2:$D500,"Earnings on Investments")</f>
        <v>91445381</v>
      </c>
      <c r="S23" s="109">
        <f>SUMIFS('S&amp;L Data'!AD2:AD500,'S&amp;L Data'!$D2:$D500,"Earnings on Investments")</f>
        <v>133003671</v>
      </c>
      <c r="T23" s="109">
        <f>SUMIFS('S&amp;L Data'!AE2:AE500,'S&amp;L Data'!$D2:$D500,"Earnings on Investments")</f>
        <v>163630677</v>
      </c>
      <c r="U23" s="109">
        <f>SUMIFS('S&amp;L Data'!AF2:AF500,'S&amp;L Data'!$D2:$D500,"Earnings on Investments")</f>
        <v>202869262</v>
      </c>
      <c r="V23" s="109">
        <f>SUMIFS('S&amp;L Data'!AG2:AG500,'S&amp;L Data'!$D2:$D500,"Earnings on Investments")</f>
        <v>202892663</v>
      </c>
      <c r="W23" s="109">
        <f>SUMIFS('S&amp;L Data'!AH2:AH500,'S&amp;L Data'!$D2:$D500,"Earnings on Investments")</f>
        <v>237185135</v>
      </c>
      <c r="X23" s="109">
        <f>SUMIFS('S&amp;L Data'!AI2:AI500,'S&amp;L Data'!$D2:$D500,"Earnings on Investments")</f>
        <v>65366063</v>
      </c>
      <c r="Y23" s="109">
        <f>SUMIFS('S&amp;L Data'!AJ2:AJ500,'S&amp;L Data'!$D2:$D500,"Earnings on Investments")</f>
        <v>-70639641</v>
      </c>
      <c r="Z23" s="109">
        <f>SUMIFS('S&amp;L Data'!AK2:AK500,'S&amp;L Data'!$D2:$D500,"Earnings on Investments")</f>
        <v>76243075</v>
      </c>
      <c r="AA23" s="109">
        <f>SUMIFS('S&amp;L Data'!AL2:AL500,'S&amp;L Data'!$D2:$D500,"Earnings on Investments")</f>
        <v>319821409</v>
      </c>
      <c r="AB23" s="109">
        <f>SUMIFS('S&amp;L Data'!AM2:AM500,'S&amp;L Data'!$D2:$D500,"Earnings on Investments")</f>
        <v>268012830</v>
      </c>
      <c r="AC23" s="109">
        <f>SUMIFS('S&amp;L Data'!AN2:AN500,'S&amp;L Data'!$D2:$D500,"Earnings on Investments")</f>
        <v>295140122</v>
      </c>
      <c r="AD23" s="109">
        <f>SUMIFS('S&amp;L Data'!AO2:AO500,'S&amp;L Data'!$D2:$D500,"Earnings on Investments")</f>
        <v>477666015</v>
      </c>
      <c r="AE23" s="109">
        <f>SUMIFS('S&amp;L Data'!AP2:AP500,'S&amp;L Data'!$D2:$D500,"Earnings on Investments")</f>
        <v>-65516951</v>
      </c>
      <c r="AF23" s="109">
        <f>SUMIFS('S&amp;L Data'!AQ2:AQ500,'S&amp;L Data'!$D2:$D500,"Earnings on Investments")</f>
        <v>-617535968</v>
      </c>
      <c r="AG23" s="109">
        <f>SUMIFS('S&amp;L Data'!AR2:AR500,'S&amp;L Data'!$D2:$D500,"Earnings on Investments")</f>
        <v>351703928</v>
      </c>
      <c r="AH23" s="109">
        <f>SUMIFS('S&amp;L Data'!AS2:AS500,'S&amp;L Data'!$D2:$D500,"Earnings on Investments")</f>
        <v>485354988</v>
      </c>
      <c r="AI23" s="109">
        <f>SUMIFS('S&amp;L Data'!AT2:AT500,'S&amp;L Data'!$D2:$D500,"Earnings on Investments")</f>
        <v>97715350</v>
      </c>
      <c r="AJ23" s="109">
        <f>SUMIFS('S&amp;L Data'!AU2:AU500,'S&amp;L Data'!$D2:$D500,"Earnings on Investments")</f>
        <v>388306592</v>
      </c>
      <c r="AK23" s="109">
        <f>SUMIFS('S&amp;L Data'!AV2:AV500,'S&amp;L Data'!$D2:$D500,"Earnings on Investments")</f>
        <v>538987532</v>
      </c>
    </row>
    <row r="24" spans="1:37" outlineLevel="1">
      <c r="A24" s="22" t="str">
        <f>B21</f>
        <v>Non-Tax Revenue</v>
      </c>
      <c r="B24" s="27" t="s">
        <v>17</v>
      </c>
      <c r="C24" s="109">
        <f>SUMIFS('S&amp;L Data'!N2:N500,'S&amp;L Data'!$D2:$D500,"Other Non-Tax Revenue")</f>
        <v>8341390</v>
      </c>
      <c r="D24" s="109">
        <f>SUMIFS('S&amp;L Data'!O2:O500,'S&amp;L Data'!$D2:$D500,"Other Non-Tax Revenue")</f>
        <v>9633000</v>
      </c>
      <c r="E24" s="109">
        <f>SUMIFS('S&amp;L Data'!P2:P500,'S&amp;L Data'!$D2:$D500,"Other Non-Tax Revenue")</f>
        <v>10457653</v>
      </c>
      <c r="F24" s="109">
        <f>SUMIFS('S&amp;L Data'!Q2:Q500,'S&amp;L Data'!$D2:$D500,"Other Non-Tax Revenue")</f>
        <v>10247525</v>
      </c>
      <c r="G24" s="109">
        <f>SUMIFS('S&amp;L Data'!R2:R500,'S&amp;L Data'!$D2:$D500,"Other Non-Tax Revenue")</f>
        <v>12023811</v>
      </c>
      <c r="H24" s="109">
        <f>SUMIFS('S&amp;L Data'!S2:S500,'S&amp;L Data'!$D2:$D500,"Other Non-Tax Revenue")</f>
        <v>13669050</v>
      </c>
      <c r="I24" s="109">
        <f>SUMIFS('S&amp;L Data'!T2:T500,'S&amp;L Data'!$D2:$D500,"Other Non-Tax Revenue")</f>
        <v>15883433</v>
      </c>
      <c r="J24" s="109">
        <f>SUMIFS('S&amp;L Data'!U2:U500,'S&amp;L Data'!$D2:$D500,"Other Non-Tax Revenue")</f>
        <v>17811925</v>
      </c>
      <c r="K24" s="109">
        <f>SUMIFS('S&amp;L Data'!V2:V500,'S&amp;L Data'!$D2:$D500,"Other Non-Tax Revenue")</f>
        <v>17952801</v>
      </c>
      <c r="L24" s="109">
        <f>SUMIFS('S&amp;L Data'!W2:W500,'S&amp;L Data'!$D2:$D500,"Other Non-Tax Revenue")</f>
        <v>19768596</v>
      </c>
      <c r="M24" s="109">
        <f>SUMIFS('S&amp;L Data'!X2:X500,'S&amp;L Data'!$D2:$D500,"Other Non-Tax Revenue")</f>
        <v>21711247</v>
      </c>
      <c r="N24" s="109">
        <f>SUMIFS('S&amp;L Data'!Y2:Y500,'S&amp;L Data'!$D2:$D500,"Other Non-Tax Revenue")</f>
        <v>23585687</v>
      </c>
      <c r="O24" s="109">
        <f>SUMIFS('S&amp;L Data'!Z2:Z500,'S&amp;L Data'!$D2:$D500,"Other Non-Tax Revenue")</f>
        <v>30982334</v>
      </c>
      <c r="P24" s="109">
        <f>SUMIFS('S&amp;L Data'!AA2:AA500,'S&amp;L Data'!$D2:$D500,"Other Non-Tax Revenue")</f>
        <v>31763213</v>
      </c>
      <c r="Q24" s="109">
        <f>SUMIFS('S&amp;L Data'!AB2:AB500,'S&amp;L Data'!$D2:$D500,"Other Non-Tax Revenue")</f>
        <v>31683191</v>
      </c>
      <c r="R24" s="109">
        <f>SUMIFS('S&amp;L Data'!AC2:AC500,'S&amp;L Data'!$D2:$D500,"Other Non-Tax Revenue")</f>
        <v>34829550</v>
      </c>
      <c r="S24" s="109">
        <f>SUMIFS('S&amp;L Data'!AD2:AD500,'S&amp;L Data'!$D2:$D500,"Other Non-Tax Revenue")</f>
        <v>38289284</v>
      </c>
      <c r="T24" s="109">
        <f>SUMIFS('S&amp;L Data'!AE2:AE500,'S&amp;L Data'!$D2:$D500,"Other Non-Tax Revenue")</f>
        <v>40854610</v>
      </c>
      <c r="U24" s="109">
        <f>SUMIFS('S&amp;L Data'!AF2:AF500,'S&amp;L Data'!$D2:$D500,"Other Non-Tax Revenue")</f>
        <v>46097777</v>
      </c>
      <c r="V24" s="109">
        <f>SUMIFS('S&amp;L Data'!AG2:AG500,'S&amp;L Data'!$D2:$D500,"Other Non-Tax Revenue")</f>
        <v>48346003</v>
      </c>
      <c r="W24" s="109">
        <f>SUMIFS('S&amp;L Data'!AH2:AH500,'S&amp;L Data'!$D2:$D500,"Other Non-Tax Revenue")</f>
        <v>58329216</v>
      </c>
      <c r="X24" s="109">
        <f>SUMIFS('S&amp;L Data'!AI2:AI500,'S&amp;L Data'!$D2:$D500,"Other Non-Tax Revenue")</f>
        <v>63232225</v>
      </c>
      <c r="Y24" s="109">
        <f>SUMIFS('S&amp;L Data'!AJ2:AJ500,'S&amp;L Data'!$D2:$D500,"Other Non-Tax Revenue")</f>
        <v>71363075</v>
      </c>
      <c r="Z24" s="109">
        <f>SUMIFS('S&amp;L Data'!AK2:AK500,'S&amp;L Data'!$D2:$D500,"Other Non-Tax Revenue")</f>
        <v>77250722</v>
      </c>
      <c r="AA24" s="109">
        <f>SUMIFS('S&amp;L Data'!AL2:AL500,'S&amp;L Data'!$D2:$D500,"Other Non-Tax Revenue")</f>
        <v>80177239</v>
      </c>
      <c r="AB24" s="109">
        <f>SUMIFS('S&amp;L Data'!AM2:AM500,'S&amp;L Data'!$D2:$D500,"Other Non-Tax Revenue")</f>
        <v>85921028</v>
      </c>
      <c r="AC24" s="109">
        <f>SUMIFS('S&amp;L Data'!AN2:AN500,'S&amp;L Data'!$D2:$D500,"Other Non-Tax Revenue")</f>
        <v>93010454</v>
      </c>
      <c r="AD24" s="109">
        <f>SUMIFS('S&amp;L Data'!AO2:AO500,'S&amp;L Data'!$D2:$D500,"Other Non-Tax Revenue")</f>
        <v>98257486</v>
      </c>
      <c r="AE24" s="109">
        <f>SUMIFS('S&amp;L Data'!AP2:AP500,'S&amp;L Data'!$D2:$D500,"Other Non-Tax Revenue")</f>
        <v>100276363</v>
      </c>
      <c r="AF24" s="109">
        <f>SUMIFS('S&amp;L Data'!AQ2:AQ500,'S&amp;L Data'!$D2:$D500,"Other Non-Tax Revenue")</f>
        <v>101027894</v>
      </c>
      <c r="AG24" s="109">
        <f>SUMIFS('S&amp;L Data'!AR2:AR500,'S&amp;L Data'!$D2:$D500,"Other Non-Tax Revenue")</f>
        <v>97570930</v>
      </c>
      <c r="AH24" s="109">
        <f>SUMIFS('S&amp;L Data'!AS2:AS500,'S&amp;L Data'!$D2:$D500,"Other Non-Tax Revenue")</f>
        <v>100368537</v>
      </c>
      <c r="AI24" s="109">
        <f>SUMIFS('S&amp;L Data'!AT2:AT500,'S&amp;L Data'!$D2:$D500,"Other Non-Tax Revenue")</f>
        <v>104532561</v>
      </c>
      <c r="AJ24" s="109">
        <f>SUMIFS('S&amp;L Data'!AU2:AU500,'S&amp;L Data'!$D2:$D500,"Other Non-Tax Revenue")</f>
        <v>109553183</v>
      </c>
      <c r="AK24" s="109">
        <f>SUMIFS('S&amp;L Data'!AV2:AV500,'S&amp;L Data'!$D2:$D500,"Other Non-Tax Revenue")</f>
        <v>112399651</v>
      </c>
    </row>
    <row r="25" spans="1:37" outlineLevel="1">
      <c r="A25" s="22" t="str">
        <f>B21</f>
        <v>Non-Tax Revenue</v>
      </c>
      <c r="B25" s="27" t="s">
        <v>236</v>
      </c>
      <c r="C25" s="109">
        <f>SUMIFS('S&amp;L Data'!N2:N500,'S&amp;L Data'!$D2:$D500,"Payments from Federal Government (Net)")</f>
        <v>81292629</v>
      </c>
      <c r="D25" s="109">
        <f>SUMIFS('S&amp;L Data'!O2:O500,'S&amp;L Data'!$D2:$D500,"Payments from Federal Government (Net)")</f>
        <v>88437337</v>
      </c>
      <c r="E25" s="109">
        <f>SUMIFS('S&amp;L Data'!P2:P500,'S&amp;L Data'!$D2:$D500,"Payments from Federal Government (Net)")</f>
        <v>85502834</v>
      </c>
      <c r="F25" s="109">
        <f>SUMIFS('S&amp;L Data'!Q2:Q500,'S&amp;L Data'!$D2:$D500,"Payments from Federal Government (Net)")</f>
        <v>88258003</v>
      </c>
      <c r="G25" s="109">
        <f>SUMIFS('S&amp;L Data'!R2:R500,'S&amp;L Data'!$D2:$D500,"Payments from Federal Government (Net)")</f>
        <v>95231190</v>
      </c>
      <c r="H25" s="109">
        <f>SUMIFS('S&amp;L Data'!S2:S500,'S&amp;L Data'!$D2:$D500,"Payments from Federal Government (Net)")</f>
        <v>104202200</v>
      </c>
      <c r="I25" s="109">
        <f>SUMIFS('S&amp;L Data'!T2:T500,'S&amp;L Data'!$D2:$D500,"Payments from Federal Government (Net)")</f>
        <v>111015126</v>
      </c>
      <c r="J25" s="109">
        <f>SUMIFS('S&amp;L Data'!U2:U500,'S&amp;L Data'!$D2:$D500,"Payments from Federal Government (Net)")</f>
        <v>112427046</v>
      </c>
      <c r="K25" s="109">
        <f>SUMIFS('S&amp;L Data'!V2:V500,'S&amp;L Data'!$D2:$D500,"Payments from Federal Government (Net)")</f>
        <v>114969460</v>
      </c>
      <c r="L25" s="109">
        <f>SUMIFS('S&amp;L Data'!W2:W500,'S&amp;L Data'!$D2:$D500,"Payments from Federal Government (Net)")</f>
        <v>122907299</v>
      </c>
      <c r="M25" s="109">
        <f>SUMIFS('S&amp;L Data'!X2:X500,'S&amp;L Data'!$D2:$D500,"Payments from Federal Government (Net)")</f>
        <v>133570055</v>
      </c>
      <c r="N25" s="109">
        <f>SUMIFS('S&amp;L Data'!Y2:Y500,'S&amp;L Data'!$D2:$D500,"Payments from Federal Government (Net)")</f>
        <v>150661095</v>
      </c>
      <c r="O25" s="109">
        <f>SUMIFS('S&amp;L Data'!Z2:Z500,'S&amp;L Data'!$D2:$D500,"Payments from Federal Government (Net)")</f>
        <v>175472125</v>
      </c>
      <c r="P25" s="109">
        <f>SUMIFS('S&amp;L Data'!AA2:AA500,'S&amp;L Data'!$D2:$D500,"Payments from Federal Government (Net)")</f>
        <v>195035800</v>
      </c>
      <c r="Q25" s="109">
        <f>SUMIFS('S&amp;L Data'!AB2:AB500,'S&amp;L Data'!$D2:$D500,"Payments from Federal Government (Net)")</f>
        <v>211844762</v>
      </c>
      <c r="R25" s="109">
        <f>SUMIFS('S&amp;L Data'!AC2:AC500,'S&amp;L Data'!$D2:$D500,"Payments from Federal Government (Net)")</f>
        <v>225096515</v>
      </c>
      <c r="S25" s="109">
        <f>SUMIFS('S&amp;L Data'!AD2:AD500,'S&amp;L Data'!$D2:$D500,"Payments from Federal Government (Net)")</f>
        <v>230970501</v>
      </c>
      <c r="T25" s="109">
        <f>SUMIFS('S&amp;L Data'!AE2:AE500,'S&amp;L Data'!$D2:$D500,"Payments from Federal Government (Net)")</f>
        <v>240743728</v>
      </c>
      <c r="U25" s="109">
        <f>SUMIFS('S&amp;L Data'!AF2:AF500,'S&amp;L Data'!$D2:$D500,"Payments from Federal Government (Net)")</f>
        <v>251502204</v>
      </c>
      <c r="V25" s="109">
        <f>SUMIFS('S&amp;L Data'!AG2:AG500,'S&amp;L Data'!$D2:$D500,"Payments from Federal Government (Net)")</f>
        <v>266792002</v>
      </c>
      <c r="W25" s="109">
        <f>SUMIFS('S&amp;L Data'!AH2:AH500,'S&amp;L Data'!$D2:$D500,"Payments from Federal Government (Net)")</f>
        <v>287920677</v>
      </c>
      <c r="X25" s="109">
        <f>SUMIFS('S&amp;L Data'!AI2:AI500,'S&amp;L Data'!$D2:$D500,"Payments from Federal Government (Net)")</f>
        <v>319727453</v>
      </c>
      <c r="Y25" s="109">
        <f>SUMIFS('S&amp;L Data'!AJ2:AJ500,'S&amp;L Data'!$D2:$D500,"Payments from Federal Government (Net)")</f>
        <v>356158735</v>
      </c>
      <c r="Z25" s="109">
        <f>SUMIFS('S&amp;L Data'!AK2:AK500,'S&amp;L Data'!$D2:$D500,"Payments from Federal Government (Net)")</f>
        <v>383978208</v>
      </c>
      <c r="AA25" s="109">
        <f>SUMIFS('S&amp;L Data'!AL2:AL500,'S&amp;L Data'!$D2:$D500,"Payments from Federal Government (Net)")</f>
        <v>418484351</v>
      </c>
      <c r="AB25" s="109">
        <f>SUMIFS('S&amp;L Data'!AM2:AM500,'S&amp;L Data'!$D2:$D500,"Payments from Federal Government (Net)")</f>
        <v>433937947</v>
      </c>
      <c r="AC25" s="109">
        <f>SUMIFS('S&amp;L Data'!AN2:AN500,'S&amp;L Data'!$D2:$D500,"Payments from Federal Government (Net)")</f>
        <v>446074798</v>
      </c>
      <c r="AD25" s="109">
        <f>SUMIFS('S&amp;L Data'!AO2:AO500,'S&amp;L Data'!$D2:$D500,"Payments from Federal Government (Net)")</f>
        <v>453189367</v>
      </c>
      <c r="AE25" s="109">
        <f>SUMIFS('S&amp;L Data'!AP2:AP500,'S&amp;L Data'!$D2:$D500,"Payments from Federal Government (Net)")</f>
        <v>465765779</v>
      </c>
      <c r="AF25" s="109">
        <f>SUMIFS('S&amp;L Data'!AQ2:AQ500,'S&amp;L Data'!$D2:$D500,"Payments from Federal Government (Net)")</f>
        <v>525689590</v>
      </c>
      <c r="AG25" s="109">
        <f>SUMIFS('S&amp;L Data'!AR2:AR500,'S&amp;L Data'!$D2:$D500,"Payments from Federal Government (Net)")</f>
        <v>614424632</v>
      </c>
      <c r="AH25" s="109">
        <f>SUMIFS('S&amp;L Data'!AS2:AS500,'S&amp;L Data'!$D2:$D500,"Payments from Federal Government (Net)")</f>
        <v>637390141</v>
      </c>
      <c r="AI25" s="109">
        <f>SUMIFS('S&amp;L Data'!AT2:AT500,'S&amp;L Data'!$D2:$D500,"Payments from Federal Government (Net)")</f>
        <v>580970673</v>
      </c>
      <c r="AJ25" s="109">
        <f>SUMIFS('S&amp;L Data'!AU2:AU500,'S&amp;L Data'!$D2:$D500,"Payments from Federal Government (Net)")</f>
        <v>579577772</v>
      </c>
      <c r="AK25" s="109">
        <f>SUMIFS('S&amp;L Data'!AV2:AV500,'S&amp;L Data'!$D2:$D500,"Payments from Federal Government (Net)")</f>
        <v>598840824</v>
      </c>
    </row>
    <row r="26" spans="1:37">
      <c r="B26" s="24" t="s">
        <v>503</v>
      </c>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row>
    <row r="27" spans="1:37">
      <c r="A27" s="22" t="str">
        <f>B26</f>
        <v>Spending By Mission</v>
      </c>
      <c r="B27" s="25" t="s">
        <v>504</v>
      </c>
      <c r="C27" s="111">
        <f>SUMIFS('S&amp;L Data'!N2:N500,'S&amp;L Data'!$B2:$B500,"Spending")</f>
        <v>331647901</v>
      </c>
      <c r="D27" s="111">
        <f>SUMIFS('S&amp;L Data'!O2:O500,'S&amp;L Data'!$B2:$B500,"Spending")</f>
        <v>365432410</v>
      </c>
      <c r="E27" s="111">
        <f>SUMIFS('S&amp;L Data'!P2:P500,'S&amp;L Data'!$B2:$B500,"Spending")</f>
        <v>388040231</v>
      </c>
      <c r="F27" s="111">
        <f>SUMIFS('S&amp;L Data'!Q2:Q500,'S&amp;L Data'!$B2:$B500,"Spending")</f>
        <v>418635720</v>
      </c>
      <c r="G27" s="111">
        <f>SUMIFS('S&amp;L Data'!R2:R500,'S&amp;L Data'!$B2:$B500,"Spending")</f>
        <v>454283466</v>
      </c>
      <c r="H27" s="111">
        <f>SUMIFS('S&amp;L Data'!S2:S500,'S&amp;L Data'!$B2:$B500,"Spending")</f>
        <v>497234344</v>
      </c>
      <c r="I27" s="111">
        <f>SUMIFS('S&amp;L Data'!T2:T500,'S&amp;L Data'!$B2:$B500,"Spending")</f>
        <v>546848656</v>
      </c>
      <c r="J27" s="111">
        <f>SUMIFS('S&amp;L Data'!U2:U500,'S&amp;L Data'!$B2:$B500,"Spending")</f>
        <v>596538937</v>
      </c>
      <c r="K27" s="111">
        <f>SUMIFS('S&amp;L Data'!V2:V500,'S&amp;L Data'!$B2:$B500,"Spending")</f>
        <v>628741437</v>
      </c>
      <c r="L27" s="111">
        <f>SUMIFS('S&amp;L Data'!W2:W500,'S&amp;L Data'!$B2:$B500,"Spending")</f>
        <v>671548374</v>
      </c>
      <c r="M27" s="111">
        <f>SUMIFS('S&amp;L Data'!X2:X500,'S&amp;L Data'!$B2:$B500,"Spending")</f>
        <v>734258445</v>
      </c>
      <c r="N27" s="111">
        <f>SUMIFS('S&amp;L Data'!Y2:Y500,'S&amp;L Data'!$B2:$B500,"Spending")</f>
        <v>801421255</v>
      </c>
      <c r="O27" s="111">
        <f>SUMIFS('S&amp;L Data'!Z2:Z500,'S&amp;L Data'!$B2:$B500,"Spending")</f>
        <v>826981477</v>
      </c>
      <c r="P27" s="111">
        <f>SUMIFS('S&amp;L Data'!AA2:AA500,'S&amp;L Data'!$B2:$B500,"Spending")</f>
        <v>871281434</v>
      </c>
      <c r="Q27" s="111">
        <f>SUMIFS('S&amp;L Data'!AB2:AB500,'S&amp;L Data'!$B2:$B500,"Spending")</f>
        <v>911311398</v>
      </c>
      <c r="R27" s="111">
        <f>SUMIFS('S&amp;L Data'!AC2:AC500,'S&amp;L Data'!$B2:$B500,"Spending")</f>
        <v>972077211</v>
      </c>
      <c r="S27" s="111">
        <f>SUMIFS('S&amp;L Data'!AD2:AD500,'S&amp;L Data'!$B2:$B500,"Spending")</f>
        <v>1004883341</v>
      </c>
      <c r="T27" s="111">
        <f>SUMIFS('S&amp;L Data'!AE2:AE500,'S&amp;L Data'!$B2:$B500,"Spending")</f>
        <v>1055649251</v>
      </c>
      <c r="U27" s="111">
        <f>SUMIFS('S&amp;L Data'!AF2:AF500,'S&amp;L Data'!$B2:$B500,"Spending")</f>
        <v>1116530042</v>
      </c>
      <c r="V27" s="111">
        <f>SUMIFS('S&amp;L Data'!AG2:AG500,'S&amp;L Data'!$B2:$B500,"Spending")</f>
        <v>1194605774</v>
      </c>
      <c r="W27" s="111">
        <f>SUMIFS('S&amp;L Data'!AH2:AH500,'S&amp;L Data'!$B2:$B500,"Spending")</f>
        <v>1294773012</v>
      </c>
      <c r="X27" s="111">
        <f>SUMIFS('S&amp;L Data'!AI2:AI500,'S&amp;L Data'!$B2:$B500,"Spending")</f>
        <v>1401564744</v>
      </c>
      <c r="Y27" s="111">
        <f>SUMIFS('S&amp;L Data'!AJ2:AJ500,'S&amp;L Data'!$B2:$B500,"Spending")</f>
        <v>1521880158</v>
      </c>
      <c r="Z27" s="111">
        <f>SUMIFS('S&amp;L Data'!AK2:AK500,'S&amp;L Data'!$B2:$B500,"Spending")</f>
        <v>1600905069</v>
      </c>
      <c r="AA27" s="111">
        <f>SUMIFS('S&amp;L Data'!AL2:AL500,'S&amp;L Data'!$B2:$B500,"Spending")</f>
        <v>1692976424</v>
      </c>
      <c r="AB27" s="111">
        <f>SUMIFS('S&amp;L Data'!AM2:AM500,'S&amp;L Data'!$B2:$B500,"Spending")</f>
        <v>1774697556</v>
      </c>
      <c r="AC27" s="111">
        <f>SUMIFS('S&amp;L Data'!AN2:AN500,'S&amp;L Data'!$B2:$B500,"Spending")</f>
        <v>1842541292</v>
      </c>
      <c r="AD27" s="111">
        <f>SUMIFS('S&amp;L Data'!AO2:AO500,'S&amp;L Data'!$B2:$B500,"Spending")</f>
        <v>1968810369</v>
      </c>
      <c r="AE27" s="111">
        <f>SUMIFS('S&amp;L Data'!AP2:AP500,'S&amp;L Data'!$B2:$B500,"Spending")</f>
        <v>2103505224</v>
      </c>
      <c r="AF27" s="111">
        <f>SUMIFS('S&amp;L Data'!AQ2:AQ500,'S&amp;L Data'!$B2:$B500,"Spending")</f>
        <v>2216653378</v>
      </c>
      <c r="AG27" s="111">
        <f>SUMIFS('S&amp;L Data'!AR2:AR500,'S&amp;L Data'!$B2:$B500,"Spending")</f>
        <v>2271068664</v>
      </c>
      <c r="AH27" s="111">
        <f>SUMIFS('S&amp;L Data'!AS2:AS500,'S&amp;L Data'!$B2:$B500,"Spending")</f>
        <v>2309791678</v>
      </c>
      <c r="AI27" s="111">
        <f>SUMIFS('S&amp;L Data'!AT2:AT500,'S&amp;L Data'!$B2:$B500,"Spending")</f>
        <v>2336460149</v>
      </c>
      <c r="AJ27" s="111">
        <f>SUMIFS('S&amp;L Data'!AU2:AU500,'S&amp;L Data'!$B2:$B500,"Spending")</f>
        <v>2368224105</v>
      </c>
      <c r="AK27" s="111">
        <f>SUMIFS('S&amp;L Data'!AV2:AV500,'S&amp;L Data'!$B2:$B500,"Spending")</f>
        <v>2452304801</v>
      </c>
    </row>
    <row r="28" spans="1:37">
      <c r="A28" s="22" t="str">
        <f>B26</f>
        <v>Spending By Mission</v>
      </c>
      <c r="B28" s="73" t="s">
        <v>325</v>
      </c>
      <c r="C28" s="117">
        <f>SUMIFS('S&amp;L Data'!N2:N500,'S&amp;L Data'!$C2:$C500,"Establish Justice")</f>
        <v>41840915</v>
      </c>
      <c r="D28" s="117">
        <f>SUMIFS('S&amp;L Data'!O2:O500,'S&amp;L Data'!$C2:$C500,"Establish Justice")</f>
        <v>46994049</v>
      </c>
      <c r="E28" s="117">
        <f>SUMIFS('S&amp;L Data'!P2:P500,'S&amp;L Data'!$C2:$C500,"Establish Justice")</f>
        <v>53953471</v>
      </c>
      <c r="F28" s="117">
        <f>SUMIFS('S&amp;L Data'!Q2:Q500,'S&amp;L Data'!$C2:$C500,"Establish Justice")</f>
        <v>59667997</v>
      </c>
      <c r="G28" s="117">
        <f>SUMIFS('S&amp;L Data'!R2:R500,'S&amp;L Data'!$C2:$C500,"Establish Justice")</f>
        <v>65203979</v>
      </c>
      <c r="H28" s="117">
        <f>SUMIFS('S&amp;L Data'!S2:S500,'S&amp;L Data'!$C2:$C500,"Establish Justice")</f>
        <v>71992573</v>
      </c>
      <c r="I28" s="117">
        <f>SUMIFS('S&amp;L Data'!T2:T500,'S&amp;L Data'!$C2:$C500,"Establish Justice")</f>
        <v>78370320</v>
      </c>
      <c r="J28" s="117">
        <f>SUMIFS('S&amp;L Data'!U2:U500,'S&amp;L Data'!$C2:$C500,"Establish Justice")</f>
        <v>85914798</v>
      </c>
      <c r="K28" s="117">
        <f>SUMIFS('S&amp;L Data'!V2:V500,'S&amp;L Data'!$C2:$C500,"Establish Justice")</f>
        <v>94010522</v>
      </c>
      <c r="L28" s="117">
        <f>SUMIFS('S&amp;L Data'!W2:W500,'S&amp;L Data'!$C2:$C500,"Establish Justice")</f>
        <v>101702966</v>
      </c>
      <c r="M28" s="117">
        <f>SUMIFS('S&amp;L Data'!X2:X500,'S&amp;L Data'!$C2:$C500,"Establish Justice")</f>
        <v>113534507</v>
      </c>
      <c r="N28" s="117">
        <f>SUMIFS('S&amp;L Data'!Y2:Y500,'S&amp;L Data'!$C2:$C500,"Establish Justice")</f>
        <v>123596033</v>
      </c>
      <c r="O28" s="117">
        <f>SUMIFS('S&amp;L Data'!Z2:Z500,'S&amp;L Data'!$C2:$C500,"Establish Justice")</f>
        <v>132708280</v>
      </c>
      <c r="P28" s="117">
        <f>SUMIFS('S&amp;L Data'!AA2:AA500,'S&amp;L Data'!$C2:$C500,"Establish Justice")</f>
        <v>137768600</v>
      </c>
      <c r="Q28" s="117">
        <f>SUMIFS('S&amp;L Data'!AB2:AB500,'S&amp;L Data'!$C2:$C500,"Establish Justice")</f>
        <v>147839678</v>
      </c>
      <c r="R28" s="117">
        <f>SUMIFS('S&amp;L Data'!AC2:AC500,'S&amp;L Data'!$C2:$C500,"Establish Justice")</f>
        <v>160090940</v>
      </c>
      <c r="S28" s="117">
        <f>SUMIFS('S&amp;L Data'!AD2:AD500,'S&amp;L Data'!$C2:$C500,"Establish Justice")</f>
        <v>168165725</v>
      </c>
      <c r="T28" s="117">
        <f>SUMIFS('S&amp;L Data'!AE2:AE500,'S&amp;L Data'!$C2:$C500,"Establish Justice")</f>
        <v>179167148</v>
      </c>
      <c r="U28" s="117">
        <f>SUMIFS('S&amp;L Data'!AF2:AF500,'S&amp;L Data'!$C2:$C500,"Establish Justice")</f>
        <v>191362557</v>
      </c>
      <c r="V28" s="117">
        <f>SUMIFS('S&amp;L Data'!AG2:AG500,'S&amp;L Data'!$C2:$C500,"Establish Justice")</f>
        <v>204728937</v>
      </c>
      <c r="W28" s="117">
        <f>SUMIFS('S&amp;L Data'!AH2:AH500,'S&amp;L Data'!$C2:$C500,"Establish Justice")</f>
        <v>219213888</v>
      </c>
      <c r="X28" s="117">
        <f>SUMIFS('S&amp;L Data'!AI2:AI500,'S&amp;L Data'!$C2:$C500,"Establish Justice")</f>
        <v>234658589</v>
      </c>
      <c r="Y28" s="117">
        <f>SUMIFS('S&amp;L Data'!AJ2:AJ500,'S&amp;L Data'!$C2:$C500,"Establish Justice")</f>
        <v>252861660</v>
      </c>
      <c r="Z28" s="117">
        <f>SUMIFS('S&amp;L Data'!AK2:AK500,'S&amp;L Data'!$C2:$C500,"Establish Justice")</f>
        <v>260655461</v>
      </c>
      <c r="AA28" s="117">
        <f>SUMIFS('S&amp;L Data'!AL2:AL500,'S&amp;L Data'!$C2:$C500,"Establish Justice")</f>
        <v>265988078</v>
      </c>
      <c r="AB28" s="117">
        <f>SUMIFS('S&amp;L Data'!AM2:AM500,'S&amp;L Data'!$C2:$C500,"Establish Justice")</f>
        <v>275345434</v>
      </c>
      <c r="AC28" s="117">
        <f>SUMIFS('S&amp;L Data'!AN2:AN500,'S&amp;L Data'!$C2:$C500,"Establish Justice")</f>
        <v>289348465</v>
      </c>
      <c r="AD28" s="117">
        <f>SUMIFS('S&amp;L Data'!AO2:AO500,'S&amp;L Data'!$C2:$C500,"Establish Justice")</f>
        <v>307109549</v>
      </c>
      <c r="AE28" s="117">
        <f>SUMIFS('S&amp;L Data'!AP2:AP500,'S&amp;L Data'!$C2:$C500,"Establish Justice")</f>
        <v>325956875</v>
      </c>
      <c r="AF28" s="117">
        <f>SUMIFS('S&amp;L Data'!AQ2:AQ500,'S&amp;L Data'!$C2:$C500,"Establish Justice")</f>
        <v>340279672</v>
      </c>
      <c r="AG28" s="117">
        <f>SUMIFS('S&amp;L Data'!AR2:AR500,'S&amp;L Data'!$C2:$C500,"Establish Justice")</f>
        <v>338062434</v>
      </c>
      <c r="AH28" s="117">
        <f>SUMIFS('S&amp;L Data'!AS2:AS500,'S&amp;L Data'!$C2:$C500,"Establish Justice")</f>
        <v>337389305</v>
      </c>
      <c r="AI28" s="117">
        <f>SUMIFS('S&amp;L Data'!AT2:AT500,'S&amp;L Data'!$C2:$C500,"Establish Justice")</f>
        <v>337606276</v>
      </c>
      <c r="AJ28" s="117">
        <f>SUMIFS('S&amp;L Data'!AU2:AU500,'S&amp;L Data'!$C2:$C500,"Establish Justice")</f>
        <v>341166066</v>
      </c>
      <c r="AK28" s="117">
        <f>SUMIFS('S&amp;L Data'!AV2:AV500,'S&amp;L Data'!$C2:$C500,"Establish Justice")</f>
        <v>351990520</v>
      </c>
    </row>
    <row r="29" spans="1:37" outlineLevel="1">
      <c r="A29" s="22" t="str">
        <f>B28</f>
        <v>Establish Justice and Ensure Domestic Tranquility</v>
      </c>
      <c r="B29" s="27" t="s">
        <v>28</v>
      </c>
      <c r="C29" s="113">
        <f>SUMIFS('S&amp;L Data'!N2:N500,'S&amp;L Data'!$D2:$D500,"Crime and Disaster")</f>
        <v>28247050</v>
      </c>
      <c r="D29" s="113">
        <f>SUMIFS('S&amp;L Data'!O2:O500,'S&amp;L Data'!$D2:$D500,"Crime and Disaster")</f>
        <v>31325337</v>
      </c>
      <c r="E29" s="113">
        <f>SUMIFS('S&amp;L Data'!P2:P500,'S&amp;L Data'!$D2:$D500,"Crime and Disaster")</f>
        <v>36759186</v>
      </c>
      <c r="F29" s="113">
        <f>SUMIFS('S&amp;L Data'!Q2:Q500,'S&amp;L Data'!$D2:$D500,"Crime and Disaster")</f>
        <v>42330601</v>
      </c>
      <c r="G29" s="113">
        <f>SUMIFS('S&amp;L Data'!R2:R500,'S&amp;L Data'!$D2:$D500,"Crime and Disaster")</f>
        <v>46200486</v>
      </c>
      <c r="H29" s="113">
        <f>SUMIFS('S&amp;L Data'!S2:S500,'S&amp;L Data'!$D2:$D500,"Crime and Disaster")</f>
        <v>51148699</v>
      </c>
      <c r="I29" s="113">
        <f>SUMIFS('S&amp;L Data'!T2:T500,'S&amp;L Data'!$D2:$D500,"Crime and Disaster")</f>
        <v>56533169</v>
      </c>
      <c r="J29" s="113">
        <f>SUMIFS('S&amp;L Data'!U2:U500,'S&amp;L Data'!$D2:$D500,"Crime and Disaster")</f>
        <v>61936387</v>
      </c>
      <c r="K29" s="113">
        <f>SUMIFS('S&amp;L Data'!V2:V500,'S&amp;L Data'!$D2:$D500,"Crime and Disaster")</f>
        <v>68228979</v>
      </c>
      <c r="L29" s="113">
        <f>SUMIFS('S&amp;L Data'!W2:W500,'S&amp;L Data'!$D2:$D500,"Crime and Disaster")</f>
        <v>73487190</v>
      </c>
      <c r="M29" s="113">
        <f>SUMIFS('S&amp;L Data'!X2:X500,'S&amp;L Data'!$D2:$D500,"Crime and Disaster")</f>
        <v>82505388</v>
      </c>
      <c r="N29" s="113">
        <f>SUMIFS('S&amp;L Data'!Y2:Y500,'S&amp;L Data'!$D2:$D500,"Crime and Disaster")</f>
        <v>89301996</v>
      </c>
      <c r="O29" s="113">
        <f>SUMIFS('S&amp;L Data'!Z2:Z500,'S&amp;L Data'!$D2:$D500,"Crime and Disaster")</f>
        <v>95391158</v>
      </c>
      <c r="P29" s="113">
        <f>SUMIFS('S&amp;L Data'!AA2:AA500,'S&amp;L Data'!$D2:$D500,"Crime and Disaster")</f>
        <v>98402810</v>
      </c>
      <c r="Q29" s="113">
        <f>SUMIFS('S&amp;L Data'!AB2:AB500,'S&amp;L Data'!$D2:$D500,"Crime and Disaster")</f>
        <v>104914980</v>
      </c>
      <c r="R29" s="113">
        <f>SUMIFS('S&amp;L Data'!AC2:AC500,'S&amp;L Data'!$D2:$D500,"Crime and Disaster")</f>
        <v>113089020</v>
      </c>
      <c r="S29" s="113">
        <f>SUMIFS('S&amp;L Data'!AD2:AD500,'S&amp;L Data'!$D2:$D500,"Crime and Disaster")</f>
        <v>120355551</v>
      </c>
      <c r="T29" s="113">
        <f>SUMIFS('S&amp;L Data'!AE2:AE500,'S&amp;L Data'!$D2:$D500,"Crime and Disaster")</f>
        <v>128618227</v>
      </c>
      <c r="U29" s="113">
        <f>SUMIFS('S&amp;L Data'!AF2:AF500,'S&amp;L Data'!$D2:$D500,"Crime and Disaster")</f>
        <v>136796077</v>
      </c>
      <c r="V29" s="113">
        <f>SUMIFS('S&amp;L Data'!AG2:AG500,'S&amp;L Data'!$D2:$D500,"Crime and Disaster")</f>
        <v>145542988</v>
      </c>
      <c r="W29" s="113">
        <f>SUMIFS('S&amp;L Data'!AH2:AH500,'S&amp;L Data'!$D2:$D500,"Crime and Disaster")</f>
        <v>155737621</v>
      </c>
      <c r="X29" s="113">
        <f>SUMIFS('S&amp;L Data'!AI2:AI500,'S&amp;L Data'!$D2:$D500,"Crime and Disaster")</f>
        <v>166128389</v>
      </c>
      <c r="Y29" s="113">
        <f>SUMIFS('S&amp;L Data'!AJ2:AJ500,'S&amp;L Data'!$D2:$D500,"Crime and Disaster")</f>
        <v>176281400</v>
      </c>
      <c r="Z29" s="113">
        <f>SUMIFS('S&amp;L Data'!AK2:AK500,'S&amp;L Data'!$D2:$D500,"Crime and Disaster")</f>
        <v>181630544</v>
      </c>
      <c r="AA29" s="113">
        <f>SUMIFS('S&amp;L Data'!AL2:AL500,'S&amp;L Data'!$D2:$D500,"Crime and Disaster")</f>
        <v>188459321</v>
      </c>
      <c r="AB29" s="113">
        <f>SUMIFS('S&amp;L Data'!AM2:AM500,'S&amp;L Data'!$D2:$D500,"Crime and Disaster")</f>
        <v>199123657</v>
      </c>
      <c r="AC29" s="113">
        <f>SUMIFS('S&amp;L Data'!AN2:AN500,'S&amp;L Data'!$D2:$D500,"Crime and Disaster")</f>
        <v>211692087</v>
      </c>
      <c r="AD29" s="113">
        <f>SUMIFS('S&amp;L Data'!AO2:AO500,'S&amp;L Data'!$D2:$D500,"Crime and Disaster")</f>
        <v>227416290</v>
      </c>
      <c r="AE29" s="113">
        <f>SUMIFS('S&amp;L Data'!AP2:AP500,'S&amp;L Data'!$D2:$D500,"Crime and Disaster")</f>
        <v>242620895</v>
      </c>
      <c r="AF29" s="113">
        <f>SUMIFS('S&amp;L Data'!AQ2:AQ500,'S&amp;L Data'!$D2:$D500,"Crime and Disaster")</f>
        <v>253756557</v>
      </c>
      <c r="AG29" s="113">
        <f>SUMIFS('S&amp;L Data'!AR2:AR500,'S&amp;L Data'!$D2:$D500,"Crime and Disaster")</f>
        <v>253245646</v>
      </c>
      <c r="AH29" s="113">
        <f>SUMIFS('S&amp;L Data'!AS2:AS500,'S&amp;L Data'!$D2:$D500,"Crime and Disaster")</f>
        <v>254316127</v>
      </c>
      <c r="AI29" s="113">
        <f>SUMIFS('S&amp;L Data'!AT2:AT500,'S&amp;L Data'!$D2:$D500,"Crime and Disaster")</f>
        <v>255249963</v>
      </c>
      <c r="AJ29" s="113">
        <f>SUMIFS('S&amp;L Data'!AU2:AU500,'S&amp;L Data'!$D2:$D500,"Crime and Disaster")</f>
        <v>257099117</v>
      </c>
      <c r="AK29" s="113">
        <f>SUMIFS('S&amp;L Data'!AV2:AV500,'S&amp;L Data'!$D2:$D500,"Crime and Disaster")</f>
        <v>264885131</v>
      </c>
    </row>
    <row r="30" spans="1:37" outlineLevel="2">
      <c r="A30" s="22" t="str">
        <f>B29</f>
        <v>Crime and Disaster</v>
      </c>
      <c r="B30" s="28" t="s">
        <v>29</v>
      </c>
      <c r="C30" s="113">
        <f>SUMIFS('S&amp;L Data'!N2:N500,'S&amp;L Data'!$E2:$E500,"Law Enforcement and Corrections")</f>
        <v>19941205</v>
      </c>
      <c r="D30" s="113">
        <f>SUMIFS('S&amp;L Data'!O2:O500,'S&amp;L Data'!$E2:$E500,"Law Enforcement and Corrections")</f>
        <v>22339916</v>
      </c>
      <c r="E30" s="113">
        <f>SUMIFS('S&amp;L Data'!P2:P500,'S&amp;L Data'!$E2:$E500,"Law Enforcement and Corrections")</f>
        <v>24981342</v>
      </c>
      <c r="F30" s="113">
        <f>SUMIFS('S&amp;L Data'!Q2:Q500,'S&amp;L Data'!$E2:$E500,"Law Enforcement and Corrections")</f>
        <v>27741095</v>
      </c>
      <c r="G30" s="113">
        <f>SUMIFS('S&amp;L Data'!R2:R500,'S&amp;L Data'!$E2:$E500,"Law Enforcement and Corrections")</f>
        <v>30349893</v>
      </c>
      <c r="H30" s="113">
        <f>SUMIFS('S&amp;L Data'!S2:S500,'S&amp;L Data'!$E2:$E500,"Law Enforcement and Corrections")</f>
        <v>33794943</v>
      </c>
      <c r="I30" s="113">
        <f>SUMIFS('S&amp;L Data'!T2:T500,'S&amp;L Data'!$E2:$E500,"Law Enforcement and Corrections")</f>
        <v>37642801</v>
      </c>
      <c r="J30" s="113">
        <f>SUMIFS('S&amp;L Data'!U2:U500,'S&amp;L Data'!$E2:$E500,"Law Enforcement and Corrections")</f>
        <v>41380269</v>
      </c>
      <c r="K30" s="113">
        <f>SUMIFS('S&amp;L Data'!V2:V500,'S&amp;L Data'!$E2:$E500,"Law Enforcement and Corrections")</f>
        <v>45262749</v>
      </c>
      <c r="L30" s="113">
        <f>SUMIFS('S&amp;L Data'!W2:W500,'S&amp;L Data'!$E2:$E500,"Law Enforcement and Corrections")</f>
        <v>48968112</v>
      </c>
      <c r="M30" s="113">
        <f>SUMIFS('S&amp;L Data'!X2:X500,'S&amp;L Data'!$E2:$E500,"Law Enforcement and Corrections")</f>
        <v>55211807</v>
      </c>
      <c r="N30" s="113">
        <f>SUMIFS('S&amp;L Data'!Y2:Y500,'S&amp;L Data'!$E2:$E500,"Law Enforcement and Corrections")</f>
        <v>60128061</v>
      </c>
      <c r="O30" s="113">
        <f>SUMIFS('S&amp;L Data'!Z2:Z500,'S&amp;L Data'!$E2:$E500,"Law Enforcement and Corrections")</f>
        <v>64181520</v>
      </c>
      <c r="P30" s="113">
        <f>SUMIFS('S&amp;L Data'!AA2:AA500,'S&amp;L Data'!$E2:$E500,"Law Enforcement and Corrections")</f>
        <v>66037631</v>
      </c>
      <c r="Q30" s="113">
        <f>SUMIFS('S&amp;L Data'!AB2:AB500,'S&amp;L Data'!$E2:$E500,"Law Enforcement and Corrections")</f>
        <v>70914966</v>
      </c>
      <c r="R30" s="113">
        <f>SUMIFS('S&amp;L Data'!AC2:AC500,'S&amp;L Data'!$E2:$E500,"Law Enforcement and Corrections")</f>
        <v>76911386</v>
      </c>
      <c r="S30" s="113">
        <f>SUMIFS('S&amp;L Data'!AD2:AD500,'S&amp;L Data'!$E2:$E500,"Law Enforcement and Corrections")</f>
        <v>82193002</v>
      </c>
      <c r="T30" s="113">
        <f>SUMIFS('S&amp;L Data'!AE2:AE500,'S&amp;L Data'!$E2:$E500,"Law Enforcement and Corrections")</f>
        <v>87565200</v>
      </c>
      <c r="U30" s="113">
        <f>SUMIFS('S&amp;L Data'!AF2:AF500,'S&amp;L Data'!$E2:$E500,"Law Enforcement and Corrections")</f>
        <v>92953832</v>
      </c>
      <c r="V30" s="113">
        <f>SUMIFS('S&amp;L Data'!AG2:AG500,'S&amp;L Data'!$E2:$E500,"Law Enforcement and Corrections")</f>
        <v>98964591</v>
      </c>
      <c r="W30" s="113">
        <f>SUMIFS('S&amp;L Data'!AH2:AH500,'S&amp;L Data'!$E2:$E500,"Law Enforcement and Corrections")</f>
        <v>105603510</v>
      </c>
      <c r="X30" s="113">
        <f>SUMIFS('S&amp;L Data'!AI2:AI500,'S&amp;L Data'!$E2:$E500,"Law Enforcement and Corrections")</f>
        <v>111954428</v>
      </c>
      <c r="Y30" s="113">
        <f>SUMIFS('S&amp;L Data'!AJ2:AJ500,'S&amp;L Data'!$E2:$E500,"Law Enforcement and Corrections")</f>
        <v>119073631</v>
      </c>
      <c r="Z30" s="113">
        <f>SUMIFS('S&amp;L Data'!AK2:AK500,'S&amp;L Data'!$E2:$E500,"Law Enforcement and Corrections")</f>
        <v>122832686</v>
      </c>
      <c r="AA30" s="113">
        <f>SUMIFS('S&amp;L Data'!AL2:AL500,'S&amp;L Data'!$E2:$E500,"Law Enforcement and Corrections")</f>
        <v>126414466</v>
      </c>
      <c r="AB30" s="113">
        <f>SUMIFS('S&amp;L Data'!AM2:AM500,'S&amp;L Data'!$E2:$E500,"Law Enforcement and Corrections")</f>
        <v>133233166</v>
      </c>
      <c r="AC30" s="113">
        <f>SUMIFS('S&amp;L Data'!AN2:AN500,'S&amp;L Data'!$E2:$E500,"Law Enforcement and Corrections")</f>
        <v>141045798</v>
      </c>
      <c r="AD30" s="113">
        <f>SUMIFS('S&amp;L Data'!AO2:AO500,'S&amp;L Data'!$E2:$E500,"Law Enforcement and Corrections")</f>
        <v>152031914</v>
      </c>
      <c r="AE30" s="113">
        <f>SUMIFS('S&amp;L Data'!AP2:AP500,'S&amp;L Data'!$E2:$E500,"Law Enforcement and Corrections")</f>
        <v>162215648</v>
      </c>
      <c r="AF30" s="113">
        <f>SUMIFS('S&amp;L Data'!AQ2:AQ500,'S&amp;L Data'!$E2:$E500,"Law Enforcement and Corrections")</f>
        <v>170113275</v>
      </c>
      <c r="AG30" s="113">
        <f>SUMIFS('S&amp;L Data'!AR2:AR500,'S&amp;L Data'!$E2:$E500,"Law Enforcement and Corrections")</f>
        <v>168872071</v>
      </c>
      <c r="AH30" s="113">
        <f>SUMIFS('S&amp;L Data'!AS2:AS500,'S&amp;L Data'!$E2:$E500,"Law Enforcement and Corrections")</f>
        <v>170009525</v>
      </c>
      <c r="AI30" s="113">
        <f>SUMIFS('S&amp;L Data'!AT2:AT500,'S&amp;L Data'!$E2:$E500,"Law Enforcement and Corrections")</f>
        <v>169612728</v>
      </c>
      <c r="AJ30" s="113">
        <f>SUMIFS('S&amp;L Data'!AU2:AU500,'S&amp;L Data'!$E2:$E500,"Law Enforcement and Corrections")</f>
        <v>171991712</v>
      </c>
      <c r="AK30" s="113">
        <f>SUMIFS('S&amp;L Data'!AV2:AV500,'S&amp;L Data'!$E2:$E500,"Law Enforcement and Corrections")</f>
        <v>176694596</v>
      </c>
    </row>
    <row r="31" spans="1:37" outlineLevel="3">
      <c r="A31" s="22" t="str">
        <f>B30</f>
        <v>Law Enforcement and Corrections</v>
      </c>
      <c r="B31" s="29" t="s">
        <v>498</v>
      </c>
      <c r="C31" s="113">
        <f>SUMIFS('S&amp;L Data'!N2:N500,'S&amp;L Data'!$F2:$F500,"Law Enforcement")</f>
        <v>13493702</v>
      </c>
      <c r="D31" s="113">
        <f>SUMIFS('S&amp;L Data'!O2:O500,'S&amp;L Data'!$F2:$F500,"Law Enforcement")</f>
        <v>14947018</v>
      </c>
      <c r="E31" s="113">
        <f>SUMIFS('S&amp;L Data'!P2:P500,'S&amp;L Data'!$F2:$F500,"Law Enforcement")</f>
        <v>16511354</v>
      </c>
      <c r="F31" s="113">
        <f>SUMIFS('S&amp;L Data'!Q2:Q500,'S&amp;L Data'!$F2:$F500,"Law Enforcement")</f>
        <v>17957612</v>
      </c>
      <c r="G31" s="113">
        <f>SUMIFS('S&amp;L Data'!R2:R500,'S&amp;L Data'!$F2:$F500,"Law Enforcement")</f>
        <v>19261992</v>
      </c>
      <c r="H31" s="113">
        <f>SUMIFS('S&amp;L Data'!S2:S500,'S&amp;L Data'!$F2:$F500,"Law Enforcement")</f>
        <v>20956316</v>
      </c>
      <c r="I31" s="113">
        <f>SUMIFS('S&amp;L Data'!T2:T500,'S&amp;L Data'!$F2:$F500,"Law Enforcement")</f>
        <v>22685458</v>
      </c>
      <c r="J31" s="113">
        <f>SUMIFS('S&amp;L Data'!U2:U500,'S&amp;L Data'!$F2:$F500,"Law Enforcement")</f>
        <v>24742362</v>
      </c>
      <c r="K31" s="113">
        <f>SUMIFS('S&amp;L Data'!V2:V500,'S&amp;L Data'!$F2:$F500,"Law Enforcement")</f>
        <v>26276791</v>
      </c>
      <c r="L31" s="113">
        <f>SUMIFS('S&amp;L Data'!W2:W500,'S&amp;L Data'!$F2:$F500,"Law Enforcement")</f>
        <v>27770661</v>
      </c>
      <c r="M31" s="113">
        <f>SUMIFS('S&amp;L Data'!X2:X500,'S&amp;L Data'!$F2:$F500,"Law Enforcement")</f>
        <v>30576606</v>
      </c>
      <c r="N31" s="113">
        <f>SUMIFS('S&amp;L Data'!Y2:Y500,'S&amp;L Data'!$F2:$F500,"Law Enforcement")</f>
        <v>32771685</v>
      </c>
      <c r="O31" s="113">
        <f>SUMIFS('S&amp;L Data'!Z2:Z500,'S&amp;L Data'!$F2:$F500,"Law Enforcement")</f>
        <v>35408174</v>
      </c>
      <c r="P31" s="113">
        <f>SUMIFS('S&amp;L Data'!AA2:AA500,'S&amp;L Data'!$F2:$F500,"Law Enforcement")</f>
        <v>36406822</v>
      </c>
      <c r="Q31" s="113">
        <f>SUMIFS('S&amp;L Data'!AB2:AB500,'S&amp;L Data'!$F2:$F500,"Law Enforcement")</f>
        <v>38644621</v>
      </c>
      <c r="R31" s="113">
        <f>SUMIFS('S&amp;L Data'!AC2:AC500,'S&amp;L Data'!$F2:$F500,"Law Enforcement")</f>
        <v>41054532</v>
      </c>
      <c r="S31" s="113">
        <f>SUMIFS('S&amp;L Data'!AD2:AD500,'S&amp;L Data'!$F2:$F500,"Law Enforcement")</f>
        <v>44682901</v>
      </c>
      <c r="T31" s="113">
        <f>SUMIFS('S&amp;L Data'!AE2:AE500,'S&amp;L Data'!$F2:$F500,"Law Enforcement")</f>
        <v>47618740</v>
      </c>
      <c r="U31" s="113">
        <f>SUMIFS('S&amp;L Data'!AF2:AF500,'S&amp;L Data'!$F2:$F500,"Law Enforcement")</f>
        <v>50475211</v>
      </c>
      <c r="V31" s="113">
        <f>SUMIFS('S&amp;L Data'!AG2:AG500,'S&amp;L Data'!$F2:$F500,"Law Enforcement")</f>
        <v>53366526</v>
      </c>
      <c r="W31" s="113">
        <f>SUMIFS('S&amp;L Data'!AH2:AH500,'S&amp;L Data'!$F2:$F500,"Law Enforcement")</f>
        <v>56798071</v>
      </c>
      <c r="X31" s="113">
        <f>SUMIFS('S&amp;L Data'!AI2:AI500,'S&amp;L Data'!$F2:$F500,"Law Enforcement")</f>
        <v>59584216</v>
      </c>
      <c r="Y31" s="113">
        <f>SUMIFS('S&amp;L Data'!AJ2:AJ500,'S&amp;L Data'!$F2:$F500,"Law Enforcement")</f>
        <v>64458395</v>
      </c>
      <c r="Z31" s="113">
        <f>SUMIFS('S&amp;L Data'!AK2:AK500,'S&amp;L Data'!$F2:$F500,"Law Enforcement")</f>
        <v>67361388</v>
      </c>
      <c r="AA31" s="113">
        <f>SUMIFS('S&amp;L Data'!AL2:AL500,'S&amp;L Data'!$F2:$F500,"Law Enforcement")</f>
        <v>70088308</v>
      </c>
      <c r="AB31" s="113">
        <f>SUMIFS('S&amp;L Data'!AM2:AM500,'S&amp;L Data'!$F2:$F500,"Law Enforcement")</f>
        <v>74131066</v>
      </c>
      <c r="AC31" s="113">
        <f>SUMIFS('S&amp;L Data'!AN2:AN500,'S&amp;L Data'!$F2:$F500,"Law Enforcement")</f>
        <v>78471954</v>
      </c>
      <c r="AD31" s="113">
        <f>SUMIFS('S&amp;L Data'!AO2:AO500,'S&amp;L Data'!$F2:$F500,"Law Enforcement")</f>
        <v>84002152</v>
      </c>
      <c r="AE31" s="113">
        <f>SUMIFS('S&amp;L Data'!AP2:AP500,'S&amp;L Data'!$F2:$F500,"Law Enforcement")</f>
        <v>89463025</v>
      </c>
      <c r="AF31" s="113">
        <f>SUMIFS('S&amp;L Data'!AQ2:AQ500,'S&amp;L Data'!$F2:$F500,"Law Enforcement")</f>
        <v>95017084</v>
      </c>
      <c r="AG31" s="113">
        <f>SUMIFS('S&amp;L Data'!AR2:AR500,'S&amp;L Data'!$F2:$F500,"Law Enforcement")</f>
        <v>95771705</v>
      </c>
      <c r="AH31" s="113">
        <f>SUMIFS('S&amp;L Data'!AS2:AS500,'S&amp;L Data'!$F2:$F500,"Law Enforcement")</f>
        <v>96766175</v>
      </c>
      <c r="AI31" s="113">
        <f>SUMIFS('S&amp;L Data'!AT2:AT500,'S&amp;L Data'!$F2:$F500,"Law Enforcement")</f>
        <v>96924511</v>
      </c>
      <c r="AJ31" s="113">
        <f>SUMIFS('S&amp;L Data'!AU2:AU500,'S&amp;L Data'!$F2:$F500,"Law Enforcement")</f>
        <v>98982282</v>
      </c>
      <c r="AK31" s="113">
        <f>SUMIFS('S&amp;L Data'!AV2:AV500,'S&amp;L Data'!$F2:$F500,"Law Enforcement")</f>
        <v>101944943</v>
      </c>
    </row>
    <row r="32" spans="1:37" outlineLevel="3">
      <c r="A32" s="22" t="str">
        <f>B30</f>
        <v>Law Enforcement and Corrections</v>
      </c>
      <c r="B32" s="29" t="s">
        <v>499</v>
      </c>
      <c r="C32" s="113">
        <f>SUMIFS('S&amp;L Data'!N2:N500,'S&amp;L Data'!$F2:$F500,"Corrections")</f>
        <v>6447503</v>
      </c>
      <c r="D32" s="113">
        <f>SUMIFS('S&amp;L Data'!O2:O500,'S&amp;L Data'!$F2:$F500,"Corrections")</f>
        <v>7392898</v>
      </c>
      <c r="E32" s="113">
        <f>SUMIFS('S&amp;L Data'!P2:P500,'S&amp;L Data'!$F2:$F500,"Corrections")</f>
        <v>8469988</v>
      </c>
      <c r="F32" s="113">
        <f>SUMIFS('S&amp;L Data'!Q2:Q500,'S&amp;L Data'!$F2:$F500,"Corrections")</f>
        <v>9783483</v>
      </c>
      <c r="G32" s="113">
        <f>SUMIFS('S&amp;L Data'!R2:R500,'S&amp;L Data'!$F2:$F500,"Corrections")</f>
        <v>11087901</v>
      </c>
      <c r="H32" s="113">
        <f>SUMIFS('S&amp;L Data'!S2:S500,'S&amp;L Data'!$F2:$F500,"Corrections")</f>
        <v>12838627</v>
      </c>
      <c r="I32" s="113">
        <f>SUMIFS('S&amp;L Data'!T2:T500,'S&amp;L Data'!$F2:$F500,"Corrections")</f>
        <v>14957343</v>
      </c>
      <c r="J32" s="113">
        <f>SUMIFS('S&amp;L Data'!U2:U500,'S&amp;L Data'!$F2:$F500,"Corrections")</f>
        <v>16637907</v>
      </c>
      <c r="K32" s="113">
        <f>SUMIFS('S&amp;L Data'!V2:V500,'S&amp;L Data'!$F2:$F500,"Corrections")</f>
        <v>18985958</v>
      </c>
      <c r="L32" s="113">
        <f>SUMIFS('S&amp;L Data'!W2:W500,'S&amp;L Data'!$F2:$F500,"Corrections")</f>
        <v>21197451</v>
      </c>
      <c r="M32" s="113">
        <f>SUMIFS('S&amp;L Data'!X2:X500,'S&amp;L Data'!$F2:$F500,"Corrections")</f>
        <v>24635201</v>
      </c>
      <c r="N32" s="113">
        <f>SUMIFS('S&amp;L Data'!Y2:Y500,'S&amp;L Data'!$F2:$F500,"Corrections")</f>
        <v>27356376</v>
      </c>
      <c r="O32" s="113">
        <f>SUMIFS('S&amp;L Data'!Z2:Z500,'S&amp;L Data'!$F2:$F500,"Corrections")</f>
        <v>28773346</v>
      </c>
      <c r="P32" s="113">
        <f>SUMIFS('S&amp;L Data'!AA2:AA500,'S&amp;L Data'!$F2:$F500,"Corrections")</f>
        <v>29630809</v>
      </c>
      <c r="Q32" s="113">
        <f>SUMIFS('S&amp;L Data'!AB2:AB500,'S&amp;L Data'!$F2:$F500,"Corrections")</f>
        <v>32270345</v>
      </c>
      <c r="R32" s="113">
        <f>SUMIFS('S&amp;L Data'!AC2:AC500,'S&amp;L Data'!$F2:$F500,"Corrections")</f>
        <v>35856854</v>
      </c>
      <c r="S32" s="113">
        <f>SUMIFS('S&amp;L Data'!AD2:AD500,'S&amp;L Data'!$F2:$F500,"Corrections")</f>
        <v>37510101</v>
      </c>
      <c r="T32" s="113">
        <f>SUMIFS('S&amp;L Data'!AE2:AE500,'S&amp;L Data'!$F2:$F500,"Corrections")</f>
        <v>39946460</v>
      </c>
      <c r="U32" s="113">
        <f>SUMIFS('S&amp;L Data'!AF2:AF500,'S&amp;L Data'!$F2:$F500,"Corrections")</f>
        <v>42478621</v>
      </c>
      <c r="V32" s="113">
        <f>SUMIFS('S&amp;L Data'!AG2:AG500,'S&amp;L Data'!$F2:$F500,"Corrections")</f>
        <v>45598065</v>
      </c>
      <c r="W32" s="113">
        <f>SUMIFS('S&amp;L Data'!AH2:AH500,'S&amp;L Data'!$F2:$F500,"Corrections")</f>
        <v>48805439</v>
      </c>
      <c r="X32" s="113">
        <f>SUMIFS('S&amp;L Data'!AI2:AI500,'S&amp;L Data'!$F2:$F500,"Corrections")</f>
        <v>52370212</v>
      </c>
      <c r="Y32" s="113">
        <f>SUMIFS('S&amp;L Data'!AJ2:AJ500,'S&amp;L Data'!$F2:$F500,"Corrections")</f>
        <v>54615236</v>
      </c>
      <c r="Z32" s="113">
        <f>SUMIFS('S&amp;L Data'!AK2:AK500,'S&amp;L Data'!$F2:$F500,"Corrections")</f>
        <v>55471298</v>
      </c>
      <c r="AA32" s="113">
        <f>SUMIFS('S&amp;L Data'!AL2:AL500,'S&amp;L Data'!$F2:$F500,"Corrections")</f>
        <v>56326158</v>
      </c>
      <c r="AB32" s="113">
        <f>SUMIFS('S&amp;L Data'!AM2:AM500,'S&amp;L Data'!$F2:$F500,"Corrections")</f>
        <v>59102100</v>
      </c>
      <c r="AC32" s="113">
        <f>SUMIFS('S&amp;L Data'!AN2:AN500,'S&amp;L Data'!$F2:$F500,"Corrections")</f>
        <v>62573844</v>
      </c>
      <c r="AD32" s="113">
        <f>SUMIFS('S&amp;L Data'!AO2:AO500,'S&amp;L Data'!$F2:$F500,"Corrections")</f>
        <v>68029762</v>
      </c>
      <c r="AE32" s="113">
        <f>SUMIFS('S&amp;L Data'!AP2:AP500,'S&amp;L Data'!$F2:$F500,"Corrections")</f>
        <v>72752623</v>
      </c>
      <c r="AF32" s="113">
        <f>SUMIFS('S&amp;L Data'!AQ2:AQ500,'S&amp;L Data'!$F2:$F500,"Corrections")</f>
        <v>75096191</v>
      </c>
      <c r="AG32" s="113">
        <f>SUMIFS('S&amp;L Data'!AR2:AR500,'S&amp;L Data'!$F2:$F500,"Corrections")</f>
        <v>73100366</v>
      </c>
      <c r="AH32" s="113">
        <f>SUMIFS('S&amp;L Data'!AS2:AS500,'S&amp;L Data'!$F2:$F500,"Corrections")</f>
        <v>73243350</v>
      </c>
      <c r="AI32" s="113">
        <f>SUMIFS('S&amp;L Data'!AT2:AT500,'S&amp;L Data'!$F2:$F500,"Corrections")</f>
        <v>72688217</v>
      </c>
      <c r="AJ32" s="113">
        <f>SUMIFS('S&amp;L Data'!AU2:AU500,'S&amp;L Data'!$F2:$F500,"Corrections")</f>
        <v>73009430</v>
      </c>
      <c r="AK32" s="113">
        <f>SUMIFS('S&amp;L Data'!AV2:AV500,'S&amp;L Data'!$F2:$F500,"Corrections")</f>
        <v>74749653</v>
      </c>
    </row>
    <row r="33" spans="1:37" outlineLevel="2">
      <c r="A33" s="22" t="str">
        <f>B29</f>
        <v>Crime and Disaster</v>
      </c>
      <c r="B33" s="28" t="s">
        <v>30</v>
      </c>
      <c r="C33" s="113">
        <f>SUMIFS('S&amp;L Data'!N2:N500,'S&amp;L Data'!$E2:$E500,"Justice System")</f>
        <v>2587613</v>
      </c>
      <c r="D33" s="113">
        <f>SUMIFS('S&amp;L Data'!O2:O500,'S&amp;L Data'!$E2:$E500,"Justice System")</f>
        <v>2649660</v>
      </c>
      <c r="E33" s="113">
        <f>SUMIFS('S&amp;L Data'!P2:P500,'S&amp;L Data'!$E2:$E500,"Justice System")</f>
        <v>4752288</v>
      </c>
      <c r="F33" s="113">
        <f>SUMIFS('S&amp;L Data'!Q2:Q500,'S&amp;L Data'!$E2:$E500,"Justice System")</f>
        <v>7007431</v>
      </c>
      <c r="G33" s="113">
        <f>SUMIFS('S&amp;L Data'!R2:R500,'S&amp;L Data'!$E2:$E500,"Justice System")</f>
        <v>7648866</v>
      </c>
      <c r="H33" s="113">
        <f>SUMIFS('S&amp;L Data'!S2:S500,'S&amp;L Data'!$E2:$E500,"Justice System")</f>
        <v>8437125</v>
      </c>
      <c r="I33" s="113">
        <f>SUMIFS('S&amp;L Data'!T2:T500,'S&amp;L Data'!$E2:$E500,"Justice System")</f>
        <v>9303842</v>
      </c>
      <c r="J33" s="113">
        <f>SUMIFS('S&amp;L Data'!U2:U500,'S&amp;L Data'!$E2:$E500,"Justice System")</f>
        <v>10103225</v>
      </c>
      <c r="K33" s="113">
        <f>SUMIFS('S&amp;L Data'!V2:V500,'S&amp;L Data'!$E2:$E500,"Justice System")</f>
        <v>11213374</v>
      </c>
      <c r="L33" s="113">
        <f>SUMIFS('S&amp;L Data'!W2:W500,'S&amp;L Data'!$E2:$E500,"Justice System")</f>
        <v>12586861</v>
      </c>
      <c r="M33" s="113">
        <f>SUMIFS('S&amp;L Data'!X2:X500,'S&amp;L Data'!$E2:$E500,"Justice System")</f>
        <v>14107500</v>
      </c>
      <c r="N33" s="113">
        <f>SUMIFS('S&amp;L Data'!Y2:Y500,'S&amp;L Data'!$E2:$E500,"Justice System")</f>
        <v>15377798</v>
      </c>
      <c r="O33" s="113">
        <f>SUMIFS('S&amp;L Data'!Z2:Z500,'S&amp;L Data'!$E2:$E500,"Justice System")</f>
        <v>16458980</v>
      </c>
      <c r="P33" s="113">
        <f>SUMIFS('S&amp;L Data'!AA2:AA500,'S&amp;L Data'!$E2:$E500,"Justice System")</f>
        <v>16992532</v>
      </c>
      <c r="Q33" s="113">
        <f>SUMIFS('S&amp;L Data'!AB2:AB500,'S&amp;L Data'!$E2:$E500,"Justice System")</f>
        <v>17877217</v>
      </c>
      <c r="R33" s="113">
        <f>SUMIFS('S&amp;L Data'!AC2:AC500,'S&amp;L Data'!$E2:$E500,"Justice System")</f>
        <v>19168153</v>
      </c>
      <c r="S33" s="113">
        <f>SUMIFS('S&amp;L Data'!AD2:AD500,'S&amp;L Data'!$E2:$E500,"Justice System")</f>
        <v>20453777</v>
      </c>
      <c r="T33" s="113">
        <f>SUMIFS('S&amp;L Data'!AE2:AE500,'S&amp;L Data'!$E2:$E500,"Justice System")</f>
        <v>21645774</v>
      </c>
      <c r="U33" s="113">
        <f>SUMIFS('S&amp;L Data'!AF2:AF500,'S&amp;L Data'!$E2:$E500,"Justice System")</f>
        <v>23573382</v>
      </c>
      <c r="V33" s="113">
        <f>SUMIFS('S&amp;L Data'!AG2:AG500,'S&amp;L Data'!$E2:$E500,"Justice System")</f>
        <v>25316294</v>
      </c>
      <c r="W33" s="113">
        <f>SUMIFS('S&amp;L Data'!AH2:AH500,'S&amp;L Data'!$E2:$E500,"Justice System")</f>
        <v>27032180</v>
      </c>
      <c r="X33" s="113">
        <f>SUMIFS('S&amp;L Data'!AI2:AI500,'S&amp;L Data'!$E2:$E500,"Justice System")</f>
        <v>29203901</v>
      </c>
      <c r="Y33" s="113">
        <f>SUMIFS('S&amp;L Data'!AJ2:AJ500,'S&amp;L Data'!$E2:$E500,"Justice System")</f>
        <v>31210148</v>
      </c>
      <c r="Z33" s="113">
        <f>SUMIFS('S&amp;L Data'!AK2:AK500,'S&amp;L Data'!$E2:$E500,"Justice System")</f>
        <v>32460282</v>
      </c>
      <c r="AA33" s="113">
        <f>SUMIFS('S&amp;L Data'!AL2:AL500,'S&amp;L Data'!$E2:$E500,"Justice System")</f>
        <v>33054300</v>
      </c>
      <c r="AB33" s="113">
        <f>SUMIFS('S&amp;L Data'!AM2:AM500,'S&amp;L Data'!$E2:$E500,"Justice System")</f>
        <v>35060379</v>
      </c>
      <c r="AC33" s="113">
        <f>SUMIFS('S&amp;L Data'!AN2:AN500,'S&amp;L Data'!$E2:$E500,"Justice System")</f>
        <v>36991723</v>
      </c>
      <c r="AD33" s="113">
        <f>SUMIFS('S&amp;L Data'!AO2:AO500,'S&amp;L Data'!$E2:$E500,"Justice System")</f>
        <v>38696825</v>
      </c>
      <c r="AE33" s="113">
        <f>SUMIFS('S&amp;L Data'!AP2:AP500,'S&amp;L Data'!$E2:$E500,"Justice System")</f>
        <v>41100373</v>
      </c>
      <c r="AF33" s="113">
        <f>SUMIFS('S&amp;L Data'!AQ2:AQ500,'S&amp;L Data'!$E2:$E500,"Justice System")</f>
        <v>42756817</v>
      </c>
      <c r="AG33" s="113">
        <f>SUMIFS('S&amp;L Data'!AR2:AR500,'S&amp;L Data'!$E2:$E500,"Justice System")</f>
        <v>43038929</v>
      </c>
      <c r="AH33" s="113">
        <f>SUMIFS('S&amp;L Data'!AS2:AS500,'S&amp;L Data'!$E2:$E500,"Justice System")</f>
        <v>42925983</v>
      </c>
      <c r="AI33" s="113">
        <f>SUMIFS('S&amp;L Data'!AT2:AT500,'S&amp;L Data'!$E2:$E500,"Justice System")</f>
        <v>43187152</v>
      </c>
      <c r="AJ33" s="113">
        <f>SUMIFS('S&amp;L Data'!AU2:AU500,'S&amp;L Data'!$E2:$E500,"Justice System")</f>
        <v>42556541</v>
      </c>
      <c r="AK33" s="113">
        <f>SUMIFS('S&amp;L Data'!AV2:AV500,'S&amp;L Data'!$E2:$E500,"Justice System")</f>
        <v>44050275</v>
      </c>
    </row>
    <row r="34" spans="1:37" outlineLevel="2">
      <c r="A34" s="22" t="str">
        <f>B29</f>
        <v>Crime and Disaster</v>
      </c>
      <c r="B34" s="28" t="s">
        <v>31</v>
      </c>
      <c r="C34" s="113">
        <f>SUMIFS('S&amp;L Data'!N2:N500,'S&amp;L Data'!$E2:$E500,"Fire Protection")</f>
        <v>5718232</v>
      </c>
      <c r="D34" s="113">
        <f>SUMIFS('S&amp;L Data'!O2:O500,'S&amp;L Data'!$E2:$E500,"Fire Protection")</f>
        <v>6335761</v>
      </c>
      <c r="E34" s="113">
        <f>SUMIFS('S&amp;L Data'!P2:P500,'S&amp;L Data'!$E2:$E500,"Fire Protection")</f>
        <v>7025556</v>
      </c>
      <c r="F34" s="113">
        <f>SUMIFS('S&amp;L Data'!Q2:Q500,'S&amp;L Data'!$E2:$E500,"Fire Protection")</f>
        <v>7582075</v>
      </c>
      <c r="G34" s="113">
        <f>SUMIFS('S&amp;L Data'!R2:R500,'S&amp;L Data'!$E2:$E500,"Fire Protection")</f>
        <v>8201727</v>
      </c>
      <c r="H34" s="113">
        <f>SUMIFS('S&amp;L Data'!S2:S500,'S&amp;L Data'!$E2:$E500,"Fire Protection")</f>
        <v>8916631</v>
      </c>
      <c r="I34" s="113">
        <f>SUMIFS('S&amp;L Data'!T2:T500,'S&amp;L Data'!$E2:$E500,"Fire Protection")</f>
        <v>9586526</v>
      </c>
      <c r="J34" s="113">
        <f>SUMIFS('S&amp;L Data'!U2:U500,'S&amp;L Data'!$E2:$E500,"Fire Protection")</f>
        <v>10452893</v>
      </c>
      <c r="K34" s="113">
        <f>SUMIFS('S&amp;L Data'!V2:V500,'S&amp;L Data'!$E2:$E500,"Fire Protection")</f>
        <v>11752856</v>
      </c>
      <c r="L34" s="113">
        <f>SUMIFS('S&amp;L Data'!W2:W500,'S&amp;L Data'!$E2:$E500,"Fire Protection")</f>
        <v>11932217</v>
      </c>
      <c r="M34" s="113">
        <f>SUMIFS('S&amp;L Data'!X2:X500,'S&amp;L Data'!$E2:$E500,"Fire Protection")</f>
        <v>13186081</v>
      </c>
      <c r="N34" s="113">
        <f>SUMIFS('S&amp;L Data'!Y2:Y500,'S&amp;L Data'!$E2:$E500,"Fire Protection")</f>
        <v>13796137</v>
      </c>
      <c r="O34" s="113">
        <f>SUMIFS('S&amp;L Data'!Z2:Z500,'S&amp;L Data'!$E2:$E500,"Fire Protection")</f>
        <v>14750658</v>
      </c>
      <c r="P34" s="113">
        <f>SUMIFS('S&amp;L Data'!AA2:AA500,'S&amp;L Data'!$E2:$E500,"Fire Protection")</f>
        <v>15372647</v>
      </c>
      <c r="Q34" s="113">
        <f>SUMIFS('S&amp;L Data'!AB2:AB500,'S&amp;L Data'!$E2:$E500,"Fire Protection")</f>
        <v>16122797</v>
      </c>
      <c r="R34" s="113">
        <f>SUMIFS('S&amp;L Data'!AC2:AC500,'S&amp;L Data'!$E2:$E500,"Fire Protection")</f>
        <v>17009481</v>
      </c>
      <c r="S34" s="113">
        <f>SUMIFS('S&amp;L Data'!AD2:AD500,'S&amp;L Data'!$E2:$E500,"Fire Protection")</f>
        <v>17708772</v>
      </c>
      <c r="T34" s="113">
        <f>SUMIFS('S&amp;L Data'!AE2:AE500,'S&amp;L Data'!$E2:$E500,"Fire Protection")</f>
        <v>19407253</v>
      </c>
      <c r="U34" s="113">
        <f>SUMIFS('S&amp;L Data'!AF2:AF500,'S&amp;L Data'!$E2:$E500,"Fire Protection")</f>
        <v>20268863</v>
      </c>
      <c r="V34" s="113">
        <f>SUMIFS('S&amp;L Data'!AG2:AG500,'S&amp;L Data'!$E2:$E500,"Fire Protection")</f>
        <v>21262103</v>
      </c>
      <c r="W34" s="113">
        <f>SUMIFS('S&amp;L Data'!AH2:AH500,'S&amp;L Data'!$E2:$E500,"Fire Protection")</f>
        <v>23101931</v>
      </c>
      <c r="X34" s="113">
        <f>SUMIFS('S&amp;L Data'!AI2:AI500,'S&amp;L Data'!$E2:$E500,"Fire Protection")</f>
        <v>24970060</v>
      </c>
      <c r="Y34" s="113">
        <f>SUMIFS('S&amp;L Data'!AJ2:AJ500,'S&amp;L Data'!$E2:$E500,"Fire Protection")</f>
        <v>25997621</v>
      </c>
      <c r="Z34" s="113">
        <f>SUMIFS('S&amp;L Data'!AK2:AK500,'S&amp;L Data'!$E2:$E500,"Fire Protection")</f>
        <v>26337576</v>
      </c>
      <c r="AA34" s="113">
        <f>SUMIFS('S&amp;L Data'!AL2:AL500,'S&amp;L Data'!$E2:$E500,"Fire Protection")</f>
        <v>28990555</v>
      </c>
      <c r="AB34" s="113">
        <f>SUMIFS('S&amp;L Data'!AM2:AM500,'S&amp;L Data'!$E2:$E500,"Fire Protection")</f>
        <v>30830112</v>
      </c>
      <c r="AC34" s="113">
        <f>SUMIFS('S&amp;L Data'!AN2:AN500,'S&amp;L Data'!$E2:$E500,"Fire Protection")</f>
        <v>33654566</v>
      </c>
      <c r="AD34" s="113">
        <f>SUMIFS('S&amp;L Data'!AO2:AO500,'S&amp;L Data'!$E2:$E500,"Fire Protection")</f>
        <v>36687551</v>
      </c>
      <c r="AE34" s="113">
        <f>SUMIFS('S&amp;L Data'!AP2:AP500,'S&amp;L Data'!$E2:$E500,"Fire Protection")</f>
        <v>39304874</v>
      </c>
      <c r="AF34" s="113">
        <f>SUMIFS('S&amp;L Data'!AQ2:AQ500,'S&amp;L Data'!$E2:$E500,"Fire Protection")</f>
        <v>40886465</v>
      </c>
      <c r="AG34" s="113">
        <f>SUMIFS('S&amp;L Data'!AR2:AR500,'S&amp;L Data'!$E2:$E500,"Fire Protection")</f>
        <v>41334646</v>
      </c>
      <c r="AH34" s="113">
        <f>SUMIFS('S&amp;L Data'!AS2:AS500,'S&amp;L Data'!$E2:$E500,"Fire Protection")</f>
        <v>41380619</v>
      </c>
      <c r="AI34" s="113">
        <f>SUMIFS('S&amp;L Data'!AT2:AT500,'S&amp;L Data'!$E2:$E500,"Fire Protection")</f>
        <v>42450083</v>
      </c>
      <c r="AJ34" s="113">
        <f>SUMIFS('S&amp;L Data'!AU2:AU500,'S&amp;L Data'!$E2:$E500,"Fire Protection")</f>
        <v>42550864</v>
      </c>
      <c r="AK34" s="113">
        <f>SUMIFS('S&amp;L Data'!AV2:AV500,'S&amp;L Data'!$E2:$E500,"Fire Protection")</f>
        <v>44140260</v>
      </c>
    </row>
    <row r="35" spans="1:37" outlineLevel="1">
      <c r="A35" s="22" t="str">
        <f>B28</f>
        <v>Establish Justice and Ensure Domestic Tranquility</v>
      </c>
      <c r="B35" s="27" t="s">
        <v>262</v>
      </c>
      <c r="C35" s="113">
        <f>SUMIFS('S&amp;L Data'!N2:N500,'S&amp;L Data'!$D2:$D500,"General Business Regulation")</f>
        <v>2317612</v>
      </c>
      <c r="D35" s="113">
        <f>SUMIFS('S&amp;L Data'!O2:O500,'S&amp;L Data'!$D2:$D500,"General Business Regulation")</f>
        <v>2556994</v>
      </c>
      <c r="E35" s="113">
        <f>SUMIFS('S&amp;L Data'!P2:P500,'S&amp;L Data'!$D2:$D500,"General Business Regulation")</f>
        <v>2787350</v>
      </c>
      <c r="F35" s="113">
        <f>SUMIFS('S&amp;L Data'!Q2:Q500,'S&amp;L Data'!$D2:$D500,"General Business Regulation")</f>
        <v>2967185</v>
      </c>
      <c r="G35" s="113">
        <f>SUMIFS('S&amp;L Data'!R2:R500,'S&amp;L Data'!$D2:$D500,"General Business Regulation")</f>
        <v>3233321</v>
      </c>
      <c r="H35" s="113">
        <f>SUMIFS('S&amp;L Data'!S2:S500,'S&amp;L Data'!$D2:$D500,"General Business Regulation")</f>
        <v>3530205</v>
      </c>
      <c r="I35" s="113">
        <f>SUMIFS('S&amp;L Data'!T2:T500,'S&amp;L Data'!$D2:$D500,"General Business Regulation")</f>
        <v>4078692</v>
      </c>
      <c r="J35" s="113">
        <f>SUMIFS('S&amp;L Data'!U2:U500,'S&amp;L Data'!$D2:$D500,"General Business Regulation")</f>
        <v>4417026</v>
      </c>
      <c r="K35" s="113">
        <f>SUMIFS('S&amp;L Data'!V2:V500,'S&amp;L Data'!$D2:$D500,"General Business Regulation")</f>
        <v>4723810</v>
      </c>
      <c r="L35" s="113">
        <f>SUMIFS('S&amp;L Data'!W2:W500,'S&amp;L Data'!$D2:$D500,"General Business Regulation")</f>
        <v>5080913</v>
      </c>
      <c r="M35" s="113">
        <f>SUMIFS('S&amp;L Data'!X2:X500,'S&amp;L Data'!$D2:$D500,"General Business Regulation")</f>
        <v>5570328</v>
      </c>
      <c r="N35" s="113">
        <f>SUMIFS('S&amp;L Data'!Y2:Y500,'S&amp;L Data'!$D2:$D500,"General Business Regulation")</f>
        <v>6008078</v>
      </c>
      <c r="O35" s="113">
        <f>SUMIFS('S&amp;L Data'!Z2:Z500,'S&amp;L Data'!$D2:$D500,"General Business Regulation")</f>
        <v>6272404</v>
      </c>
      <c r="P35" s="113">
        <f>SUMIFS('S&amp;L Data'!AA2:AA500,'S&amp;L Data'!$D2:$D500,"General Business Regulation")</f>
        <v>6353983</v>
      </c>
      <c r="Q35" s="113">
        <f>SUMIFS('S&amp;L Data'!AB2:AB500,'S&amp;L Data'!$D2:$D500,"General Business Regulation")</f>
        <v>6637861</v>
      </c>
      <c r="R35" s="113">
        <f>SUMIFS('S&amp;L Data'!AC2:AC500,'S&amp;L Data'!$D2:$D500,"General Business Regulation")</f>
        <v>7236299</v>
      </c>
      <c r="S35" s="113">
        <f>SUMIFS('S&amp;L Data'!AD2:AD500,'S&amp;L Data'!$D2:$D500,"General Business Regulation")</f>
        <v>7222021</v>
      </c>
      <c r="T35" s="113">
        <f>SUMIFS('S&amp;L Data'!AE2:AE500,'S&amp;L Data'!$D2:$D500,"General Business Regulation")</f>
        <v>7668988</v>
      </c>
      <c r="U35" s="113">
        <f>SUMIFS('S&amp;L Data'!AF2:AF500,'S&amp;L Data'!$D2:$D500,"General Business Regulation")</f>
        <v>7957951</v>
      </c>
      <c r="V35" s="113">
        <f>SUMIFS('S&amp;L Data'!AG2:AG500,'S&amp;L Data'!$D2:$D500,"General Business Regulation")</f>
        <v>8515847</v>
      </c>
      <c r="W35" s="113">
        <f>SUMIFS('S&amp;L Data'!AH2:AH500,'S&amp;L Data'!$D2:$D500,"General Business Regulation")</f>
        <v>9103757</v>
      </c>
      <c r="X35" s="113">
        <f>SUMIFS('S&amp;L Data'!AI2:AI500,'S&amp;L Data'!$D2:$D500,"General Business Regulation")</f>
        <v>9619967</v>
      </c>
      <c r="Y35" s="113">
        <f>SUMIFS('S&amp;L Data'!AJ2:AJ500,'S&amp;L Data'!$D2:$D500,"General Business Regulation")</f>
        <v>11631226</v>
      </c>
      <c r="Z35" s="113">
        <f>SUMIFS('S&amp;L Data'!AK2:AK500,'S&amp;L Data'!$D2:$D500,"General Business Regulation")</f>
        <v>11592515</v>
      </c>
      <c r="AA35" s="113">
        <f>SUMIFS('S&amp;L Data'!AL2:AL500,'S&amp;L Data'!$D2:$D500,"General Business Regulation")</f>
        <v>11494126</v>
      </c>
      <c r="AB35" s="113">
        <f>SUMIFS('S&amp;L Data'!AM2:AM500,'S&amp;L Data'!$D2:$D500,"General Business Regulation")</f>
        <v>12694457</v>
      </c>
      <c r="AC35" s="113">
        <f>SUMIFS('S&amp;L Data'!AN2:AN500,'S&amp;L Data'!$D2:$D500,"General Business Regulation")</f>
        <v>13010287</v>
      </c>
      <c r="AD35" s="113">
        <f>SUMIFS('S&amp;L Data'!AO2:AO500,'S&amp;L Data'!$D2:$D500,"General Business Regulation")</f>
        <v>14249981</v>
      </c>
      <c r="AE35" s="113">
        <f>SUMIFS('S&amp;L Data'!AP2:AP500,'S&amp;L Data'!$D2:$D500,"General Business Regulation")</f>
        <v>14950863</v>
      </c>
      <c r="AF35" s="113">
        <f>SUMIFS('S&amp;L Data'!AQ2:AQ500,'S&amp;L Data'!$D2:$D500,"General Business Regulation")</f>
        <v>14735225</v>
      </c>
      <c r="AG35" s="113">
        <f>SUMIFS('S&amp;L Data'!AR2:AR500,'S&amp;L Data'!$D2:$D500,"General Business Regulation")</f>
        <v>14138824</v>
      </c>
      <c r="AH35" s="113">
        <f>SUMIFS('S&amp;L Data'!AS2:AS500,'S&amp;L Data'!$D2:$D500,"General Business Regulation")</f>
        <v>13811995</v>
      </c>
      <c r="AI35" s="113">
        <f>SUMIFS('S&amp;L Data'!AT2:AT500,'S&amp;L Data'!$D2:$D500,"General Business Regulation")</f>
        <v>13567740</v>
      </c>
      <c r="AJ35" s="113">
        <f>SUMIFS('S&amp;L Data'!AU2:AU500,'S&amp;L Data'!$D2:$D500,"General Business Regulation")</f>
        <v>14043377</v>
      </c>
      <c r="AK35" s="113">
        <f>SUMIFS('S&amp;L Data'!AV2:AV500,'S&amp;L Data'!$D2:$D500,"General Business Regulation")</f>
        <v>14123867</v>
      </c>
    </row>
    <row r="36" spans="1:37" outlineLevel="1">
      <c r="A36" s="22" t="str">
        <f>B28</f>
        <v>Establish Justice and Ensure Domestic Tranquility</v>
      </c>
      <c r="B36" s="27" t="s">
        <v>248</v>
      </c>
      <c r="C36" s="113">
        <f>SUMIFS('S&amp;L Data'!N2:N500,'S&amp;L Data'!$D2:$D500,"Child and Social Services")</f>
        <v>11276253</v>
      </c>
      <c r="D36" s="113">
        <f>SUMIFS('S&amp;L Data'!O2:O500,'S&amp;L Data'!$D2:$D500,"Child and Social Services")</f>
        <v>13111718</v>
      </c>
      <c r="E36" s="113">
        <f>SUMIFS('S&amp;L Data'!P2:P500,'S&amp;L Data'!$D2:$D500,"Child and Social Services")</f>
        <v>14406935</v>
      </c>
      <c r="F36" s="113">
        <f>SUMIFS('S&amp;L Data'!Q2:Q500,'S&amp;L Data'!$D2:$D500,"Child and Social Services")</f>
        <v>14370211</v>
      </c>
      <c r="G36" s="113">
        <f>SUMIFS('S&amp;L Data'!R2:R500,'S&amp;L Data'!$D2:$D500,"Child and Social Services")</f>
        <v>15770172</v>
      </c>
      <c r="H36" s="113">
        <f>SUMIFS('S&amp;L Data'!S2:S500,'S&amp;L Data'!$D2:$D500,"Child and Social Services")</f>
        <v>17313669</v>
      </c>
      <c r="I36" s="113">
        <f>SUMIFS('S&amp;L Data'!T2:T500,'S&amp;L Data'!$D2:$D500,"Child and Social Services")</f>
        <v>17758459</v>
      </c>
      <c r="J36" s="113">
        <f>SUMIFS('S&amp;L Data'!U2:U500,'S&amp;L Data'!$D2:$D500,"Child and Social Services")</f>
        <v>19561385</v>
      </c>
      <c r="K36" s="113">
        <f>SUMIFS('S&amp;L Data'!V2:V500,'S&amp;L Data'!$D2:$D500,"Child and Social Services")</f>
        <v>21057733</v>
      </c>
      <c r="L36" s="113">
        <f>SUMIFS('S&amp;L Data'!W2:W500,'S&amp;L Data'!$D2:$D500,"Child and Social Services")</f>
        <v>23134863</v>
      </c>
      <c r="M36" s="113">
        <f>SUMIFS('S&amp;L Data'!X2:X500,'S&amp;L Data'!$D2:$D500,"Child and Social Services")</f>
        <v>25458791</v>
      </c>
      <c r="N36" s="113">
        <f>SUMIFS('S&amp;L Data'!Y2:Y500,'S&amp;L Data'!$D2:$D500,"Child and Social Services")</f>
        <v>28285959</v>
      </c>
      <c r="O36" s="113">
        <f>SUMIFS('S&amp;L Data'!Z2:Z500,'S&amp;L Data'!$D2:$D500,"Child and Social Services")</f>
        <v>31044718</v>
      </c>
      <c r="P36" s="113">
        <f>SUMIFS('S&amp;L Data'!AA2:AA500,'S&amp;L Data'!$D2:$D500,"Child and Social Services")</f>
        <v>33011807</v>
      </c>
      <c r="Q36" s="113">
        <f>SUMIFS('S&amp;L Data'!AB2:AB500,'S&amp;L Data'!$D2:$D500,"Child and Social Services")</f>
        <v>36286837</v>
      </c>
      <c r="R36" s="113">
        <f>SUMIFS('S&amp;L Data'!AC2:AC500,'S&amp;L Data'!$D2:$D500,"Child and Social Services")</f>
        <v>39765621</v>
      </c>
      <c r="S36" s="113">
        <f>SUMIFS('S&amp;L Data'!AD2:AD500,'S&amp;L Data'!$D2:$D500,"Child and Social Services")</f>
        <v>40588153</v>
      </c>
      <c r="T36" s="113">
        <f>SUMIFS('S&amp;L Data'!AE2:AE500,'S&amp;L Data'!$D2:$D500,"Child and Social Services")</f>
        <v>42879933</v>
      </c>
      <c r="U36" s="113">
        <f>SUMIFS('S&amp;L Data'!AF2:AF500,'S&amp;L Data'!$D2:$D500,"Child and Social Services")</f>
        <v>46608529</v>
      </c>
      <c r="V36" s="113">
        <f>SUMIFS('S&amp;L Data'!AG2:AG500,'S&amp;L Data'!$D2:$D500,"Child and Social Services")</f>
        <v>50670102</v>
      </c>
      <c r="W36" s="113">
        <f>SUMIFS('S&amp;L Data'!AH2:AH500,'S&amp;L Data'!$D2:$D500,"Child and Social Services")</f>
        <v>54372510</v>
      </c>
      <c r="X36" s="113">
        <f>SUMIFS('S&amp;L Data'!AI2:AI500,'S&amp;L Data'!$D2:$D500,"Child and Social Services")</f>
        <v>58910233</v>
      </c>
      <c r="Y36" s="113">
        <f>SUMIFS('S&amp;L Data'!AJ2:AJ500,'S&amp;L Data'!$D2:$D500,"Child and Social Services")</f>
        <v>64949034</v>
      </c>
      <c r="Z36" s="113">
        <f>SUMIFS('S&amp;L Data'!AK2:AK500,'S&amp;L Data'!$D2:$D500,"Child and Social Services")</f>
        <v>67432402</v>
      </c>
      <c r="AA36" s="113">
        <f>SUMIFS('S&amp;L Data'!AL2:AL500,'S&amp;L Data'!$D2:$D500,"Child and Social Services")</f>
        <v>66034631</v>
      </c>
      <c r="AB36" s="113">
        <f>SUMIFS('S&amp;L Data'!AM2:AM500,'S&amp;L Data'!$D2:$D500,"Child and Social Services")</f>
        <v>63527320</v>
      </c>
      <c r="AC36" s="113">
        <f>SUMIFS('S&amp;L Data'!AN2:AN500,'S&amp;L Data'!$D2:$D500,"Child and Social Services")</f>
        <v>64646091</v>
      </c>
      <c r="AD36" s="113">
        <f>SUMIFS('S&amp;L Data'!AO2:AO500,'S&amp;L Data'!$D2:$D500,"Child and Social Services")</f>
        <v>65443278</v>
      </c>
      <c r="AE36" s="113">
        <f>SUMIFS('S&amp;L Data'!AP2:AP500,'S&amp;L Data'!$D2:$D500,"Child and Social Services")</f>
        <v>68385117</v>
      </c>
      <c r="AF36" s="113">
        <f>SUMIFS('S&amp;L Data'!AQ2:AQ500,'S&amp;L Data'!$D2:$D500,"Child and Social Services")</f>
        <v>71787890</v>
      </c>
      <c r="AG36" s="113">
        <f>SUMIFS('S&amp;L Data'!AR2:AR500,'S&amp;L Data'!$D2:$D500,"Child and Social Services")</f>
        <v>70677964</v>
      </c>
      <c r="AH36" s="113">
        <f>SUMIFS('S&amp;L Data'!AS2:AS500,'S&amp;L Data'!$D2:$D500,"Child and Social Services")</f>
        <v>69261183</v>
      </c>
      <c r="AI36" s="113">
        <f>SUMIFS('S&amp;L Data'!AT2:AT500,'S&amp;L Data'!$D2:$D500,"Child and Social Services")</f>
        <v>68788573</v>
      </c>
      <c r="AJ36" s="113">
        <f>SUMIFS('S&amp;L Data'!AU2:AU500,'S&amp;L Data'!$D2:$D500,"Child and Social Services")</f>
        <v>70023572</v>
      </c>
      <c r="AK36" s="113">
        <f>SUMIFS('S&amp;L Data'!AV2:AV500,'S&amp;L Data'!$D2:$D500,"Child and Social Services")</f>
        <v>72981522</v>
      </c>
    </row>
    <row r="37" spans="1:37">
      <c r="A37" s="22" t="str">
        <f>B26</f>
        <v>Spending By Mission</v>
      </c>
      <c r="B37" s="74" t="s">
        <v>35</v>
      </c>
      <c r="C37" s="112">
        <f>SUMIFS('S&amp;L Data'!N2:N500,'S&amp;L Data'!$C2:$C500,"Common Defense")</f>
        <v>60951</v>
      </c>
      <c r="D37" s="112">
        <f>SUMIFS('S&amp;L Data'!O2:O500,'S&amp;L Data'!$C2:$C500,"Common Defense")</f>
        <v>56969</v>
      </c>
      <c r="E37" s="112">
        <f>SUMIFS('S&amp;L Data'!P2:P500,'S&amp;L Data'!$C2:$C500,"Common Defense")</f>
        <v>63798</v>
      </c>
      <c r="F37" s="112">
        <f>SUMIFS('S&amp;L Data'!Q2:Q500,'S&amp;L Data'!$C2:$C500,"Common Defense")</f>
        <v>74688</v>
      </c>
      <c r="G37" s="112">
        <f>SUMIFS('S&amp;L Data'!R2:R500,'S&amp;L Data'!$C2:$C500,"Common Defense")</f>
        <v>98572</v>
      </c>
      <c r="H37" s="112">
        <f>SUMIFS('S&amp;L Data'!S2:S500,'S&amp;L Data'!$C2:$C500,"Common Defense")</f>
        <v>112881</v>
      </c>
      <c r="I37" s="112">
        <f>SUMIFS('S&amp;L Data'!T2:T500,'S&amp;L Data'!$C2:$C500,"Common Defense")</f>
        <v>121785</v>
      </c>
      <c r="J37" s="112">
        <f>SUMIFS('S&amp;L Data'!U2:U500,'S&amp;L Data'!$C2:$C500,"Common Defense")</f>
        <v>129454</v>
      </c>
      <c r="K37" s="112">
        <f>SUMIFS('S&amp;L Data'!V2:V500,'S&amp;L Data'!$C2:$C500,"Common Defense")</f>
        <v>134281</v>
      </c>
      <c r="L37" s="112">
        <f>SUMIFS('S&amp;L Data'!W2:W500,'S&amp;L Data'!$C2:$C500,"Common Defense")</f>
        <v>146198</v>
      </c>
      <c r="M37" s="112">
        <f>SUMIFS('S&amp;L Data'!X2:X500,'S&amp;L Data'!$C2:$C500,"Common Defense")</f>
        <v>151682</v>
      </c>
      <c r="N37" s="112">
        <f>SUMIFS('S&amp;L Data'!Y2:Y500,'S&amp;L Data'!$C2:$C500,"Common Defense")</f>
        <v>157313</v>
      </c>
      <c r="O37" s="112">
        <f>SUMIFS('S&amp;L Data'!Z2:Z500,'S&amp;L Data'!$C2:$C500,"Common Defense")</f>
        <v>170014</v>
      </c>
      <c r="P37" s="112">
        <f>SUMIFS('S&amp;L Data'!AA2:AA500,'S&amp;L Data'!$C2:$C500,"Common Defense")</f>
        <v>164681</v>
      </c>
      <c r="Q37" s="112">
        <f>SUMIFS('S&amp;L Data'!AB2:AB500,'S&amp;L Data'!$C2:$C500,"Common Defense")</f>
        <v>179076</v>
      </c>
      <c r="R37" s="112">
        <f>SUMIFS('S&amp;L Data'!AC2:AC500,'S&amp;L Data'!$C2:$C500,"Common Defense")</f>
        <v>206109</v>
      </c>
      <c r="S37" s="112">
        <f>SUMIFS('S&amp;L Data'!AD2:AD500,'S&amp;L Data'!$C2:$C500,"Common Defense")</f>
        <v>225645</v>
      </c>
      <c r="T37" s="112">
        <f>SUMIFS('S&amp;L Data'!AE2:AE500,'S&amp;L Data'!$C2:$C500,"Common Defense")</f>
        <v>243188</v>
      </c>
      <c r="U37" s="112">
        <f>SUMIFS('S&amp;L Data'!AF2:AF500,'S&amp;L Data'!$C2:$C500,"Common Defense")</f>
        <v>288331</v>
      </c>
      <c r="V37" s="112">
        <f>SUMIFS('S&amp;L Data'!AG2:AG500,'S&amp;L Data'!$C2:$C500,"Common Defense")</f>
        <v>283242</v>
      </c>
      <c r="W37" s="112">
        <f>SUMIFS('S&amp;L Data'!AH2:AH500,'S&amp;L Data'!$C2:$C500,"Common Defense")</f>
        <v>356552</v>
      </c>
      <c r="X37" s="112">
        <f>SUMIFS('S&amp;L Data'!AI2:AI500,'S&amp;L Data'!$C2:$C500,"Common Defense")</f>
        <v>336520</v>
      </c>
      <c r="Y37" s="112">
        <f>SUMIFS('S&amp;L Data'!AJ2:AJ500,'S&amp;L Data'!$C2:$C500,"Common Defense")</f>
        <v>361190</v>
      </c>
      <c r="Z37" s="112">
        <f>SUMIFS('S&amp;L Data'!AK2:AK500,'S&amp;L Data'!$C2:$C500,"Common Defense")</f>
        <v>1016563</v>
      </c>
      <c r="AA37" s="112">
        <f>SUMIFS('S&amp;L Data'!AL2:AL500,'S&amp;L Data'!$C2:$C500,"Common Defense")</f>
        <v>1503822</v>
      </c>
      <c r="AB37" s="112">
        <f>SUMIFS('S&amp;L Data'!AM2:AM500,'S&amp;L Data'!$C2:$C500,"Common Defense")</f>
        <v>1188935</v>
      </c>
      <c r="AC37" s="112">
        <f>SUMIFS('S&amp;L Data'!AN2:AN500,'S&amp;L Data'!$C2:$C500,"Common Defense")</f>
        <v>992146</v>
      </c>
      <c r="AD37" s="112">
        <f>SUMIFS('S&amp;L Data'!AO2:AO500,'S&amp;L Data'!$C2:$C500,"Common Defense")</f>
        <v>1030506</v>
      </c>
      <c r="AE37" s="112">
        <f>SUMIFS('S&amp;L Data'!AP2:AP500,'S&amp;L Data'!$C2:$C500,"Common Defense")</f>
        <v>1080399</v>
      </c>
      <c r="AF37" s="112">
        <f>SUMIFS('S&amp;L Data'!AQ2:AQ500,'S&amp;L Data'!$C2:$C500,"Common Defense")</f>
        <v>933222</v>
      </c>
      <c r="AG37" s="112">
        <f>SUMIFS('S&amp;L Data'!AR2:AR500,'S&amp;L Data'!$C2:$C500,"Common Defense")</f>
        <v>793609</v>
      </c>
      <c r="AH37" s="112">
        <f>SUMIFS('S&amp;L Data'!AS2:AS500,'S&amp;L Data'!$C2:$C500,"Common Defense")</f>
        <v>927042</v>
      </c>
      <c r="AI37" s="112">
        <f>SUMIFS('S&amp;L Data'!AT2:AT500,'S&amp;L Data'!$C2:$C500,"Common Defense")</f>
        <v>838031</v>
      </c>
      <c r="AJ37" s="112">
        <f>SUMIFS('S&amp;L Data'!AU2:AU500,'S&amp;L Data'!$C2:$C500,"Common Defense")</f>
        <v>1024498</v>
      </c>
      <c r="AK37" s="120">
        <f>SUMIFS('S&amp;L Data'!AV2:AV500,'S&amp;L Data'!$C2:$C500,"Common Defense")</f>
        <v>1059763</v>
      </c>
    </row>
    <row r="38" spans="1:37" outlineLevel="1">
      <c r="A38" s="22" t="str">
        <f>B37</f>
        <v>Provide for the Common Defense</v>
      </c>
      <c r="B38" s="27" t="s">
        <v>23</v>
      </c>
      <c r="C38" s="113">
        <f>SUMIFS('S&amp;L Data'!N2:N500,'S&amp;L Data'!$D2:$D500,"National Defense and Support for Veterans")</f>
        <v>60951</v>
      </c>
      <c r="D38" s="113">
        <f>SUMIFS('S&amp;L Data'!O2:O500,'S&amp;L Data'!$D2:$D500,"National Defense and Support for Veterans")</f>
        <v>56969</v>
      </c>
      <c r="E38" s="113">
        <f>SUMIFS('S&amp;L Data'!P2:P500,'S&amp;L Data'!$D2:$D500,"National Defense and Support for Veterans")</f>
        <v>63798</v>
      </c>
      <c r="F38" s="113">
        <f>SUMIFS('S&amp;L Data'!Q2:Q500,'S&amp;L Data'!$D2:$D500,"National Defense and Support for Veterans")</f>
        <v>74688</v>
      </c>
      <c r="G38" s="113">
        <f>SUMIFS('S&amp;L Data'!R2:R500,'S&amp;L Data'!$D2:$D500,"National Defense and Support for Veterans")</f>
        <v>98572</v>
      </c>
      <c r="H38" s="113">
        <f>SUMIFS('S&amp;L Data'!S2:S500,'S&amp;L Data'!$D2:$D500,"National Defense and Support for Veterans")</f>
        <v>112881</v>
      </c>
      <c r="I38" s="113">
        <f>SUMIFS('S&amp;L Data'!T2:T500,'S&amp;L Data'!$D2:$D500,"National Defense and Support for Veterans")</f>
        <v>121785</v>
      </c>
      <c r="J38" s="113">
        <f>SUMIFS('S&amp;L Data'!U2:U500,'S&amp;L Data'!$D2:$D500,"National Defense and Support for Veterans")</f>
        <v>129454</v>
      </c>
      <c r="K38" s="113">
        <f>SUMIFS('S&amp;L Data'!V2:V500,'S&amp;L Data'!$D2:$D500,"National Defense and Support for Veterans")</f>
        <v>134281</v>
      </c>
      <c r="L38" s="113">
        <f>SUMIFS('S&amp;L Data'!W2:W500,'S&amp;L Data'!$D2:$D500,"National Defense and Support for Veterans")</f>
        <v>146198</v>
      </c>
      <c r="M38" s="113">
        <f>SUMIFS('S&amp;L Data'!X2:X500,'S&amp;L Data'!$D2:$D500,"National Defense and Support for Veterans")</f>
        <v>151682</v>
      </c>
      <c r="N38" s="113">
        <f>SUMIFS('S&amp;L Data'!Y2:Y500,'S&amp;L Data'!$D2:$D500,"National Defense and Support for Veterans")</f>
        <v>157313</v>
      </c>
      <c r="O38" s="113">
        <f>SUMIFS('S&amp;L Data'!Z2:Z500,'S&amp;L Data'!$D2:$D500,"National Defense and Support for Veterans")</f>
        <v>170014</v>
      </c>
      <c r="P38" s="113">
        <f>SUMIFS('S&amp;L Data'!AA2:AA500,'S&amp;L Data'!$D2:$D500,"National Defense and Support for Veterans")</f>
        <v>164681</v>
      </c>
      <c r="Q38" s="113">
        <f>SUMIFS('S&amp;L Data'!AB2:AB500,'S&amp;L Data'!$D2:$D500,"National Defense and Support for Veterans")</f>
        <v>179076</v>
      </c>
      <c r="R38" s="113">
        <f>SUMIFS('S&amp;L Data'!AC2:AC500,'S&amp;L Data'!$D2:$D500,"National Defense and Support for Veterans")</f>
        <v>206109</v>
      </c>
      <c r="S38" s="113">
        <f>SUMIFS('S&amp;L Data'!AD2:AD500,'S&amp;L Data'!$D2:$D500,"National Defense and Support for Veterans")</f>
        <v>225645</v>
      </c>
      <c r="T38" s="113">
        <f>SUMIFS('S&amp;L Data'!AE2:AE500,'S&amp;L Data'!$D2:$D500,"National Defense and Support for Veterans")</f>
        <v>243188</v>
      </c>
      <c r="U38" s="113">
        <f>SUMIFS('S&amp;L Data'!AF2:AF500,'S&amp;L Data'!$D2:$D500,"National Defense and Support for Veterans")</f>
        <v>288331</v>
      </c>
      <c r="V38" s="113">
        <f>SUMIFS('S&amp;L Data'!AG2:AG500,'S&amp;L Data'!$D2:$D500,"National Defense and Support for Veterans")</f>
        <v>283242</v>
      </c>
      <c r="W38" s="113">
        <f>SUMIFS('S&amp;L Data'!AH2:AH500,'S&amp;L Data'!$D2:$D500,"National Defense and Support for Veterans")</f>
        <v>356552</v>
      </c>
      <c r="X38" s="113">
        <f>SUMIFS('S&amp;L Data'!AI2:AI500,'S&amp;L Data'!$D2:$D500,"National Defense and Support for Veterans")</f>
        <v>336520</v>
      </c>
      <c r="Y38" s="113">
        <f>SUMIFS('S&amp;L Data'!AJ2:AJ500,'S&amp;L Data'!$D2:$D500,"National Defense and Support for Veterans")</f>
        <v>361190</v>
      </c>
      <c r="Z38" s="113">
        <f>SUMIFS('S&amp;L Data'!AK2:AK500,'S&amp;L Data'!$D2:$D500,"National Defense and Support for Veterans")</f>
        <v>1016563</v>
      </c>
      <c r="AA38" s="113">
        <f>SUMIFS('S&amp;L Data'!AL2:AL500,'S&amp;L Data'!$D2:$D500,"National Defense and Support for Veterans")</f>
        <v>1503822</v>
      </c>
      <c r="AB38" s="113">
        <f>SUMIFS('S&amp;L Data'!AM2:AM500,'S&amp;L Data'!$D2:$D500,"National Defense and Support for Veterans")</f>
        <v>1188935</v>
      </c>
      <c r="AC38" s="113">
        <f>SUMIFS('S&amp;L Data'!AN2:AN500,'S&amp;L Data'!$D2:$D500,"National Defense and Support for Veterans")</f>
        <v>992146</v>
      </c>
      <c r="AD38" s="113">
        <f>SUMIFS('S&amp;L Data'!AO2:AO500,'S&amp;L Data'!$D2:$D500,"National Defense and Support for Veterans")</f>
        <v>1030506</v>
      </c>
      <c r="AE38" s="113">
        <f>SUMIFS('S&amp;L Data'!AP2:AP500,'S&amp;L Data'!$D2:$D500,"National Defense and Support for Veterans")</f>
        <v>1080399</v>
      </c>
      <c r="AF38" s="113">
        <f>SUMIFS('S&amp;L Data'!AQ2:AQ500,'S&amp;L Data'!$D2:$D500,"National Defense and Support for Veterans")</f>
        <v>933222</v>
      </c>
      <c r="AG38" s="113">
        <f>SUMIFS('S&amp;L Data'!AR2:AR500,'S&amp;L Data'!$D2:$D500,"National Defense and Support for Veterans")</f>
        <v>793609</v>
      </c>
      <c r="AH38" s="113">
        <f>SUMIFS('S&amp;L Data'!AS2:AS500,'S&amp;L Data'!$D2:$D500,"National Defense and Support for Veterans")</f>
        <v>927042</v>
      </c>
      <c r="AI38" s="113">
        <f>SUMIFS('S&amp;L Data'!AT2:AT500,'S&amp;L Data'!$D2:$D500,"National Defense and Support for Veterans")</f>
        <v>838031</v>
      </c>
      <c r="AJ38" s="113">
        <f>SUMIFS('S&amp;L Data'!AU2:AU500,'S&amp;L Data'!$D2:$D500,"National Defense and Support for Veterans")</f>
        <v>1024498</v>
      </c>
      <c r="AK38" s="113">
        <f>SUMIFS('S&amp;L Data'!AV2:AV500,'S&amp;L Data'!$D2:$D500,"National Defense and Support for Veterans")</f>
        <v>1059763</v>
      </c>
    </row>
    <row r="39" spans="1:37" outlineLevel="1">
      <c r="A39" s="22" t="str">
        <f>B38</f>
        <v>National Defense and Support for Veterans</v>
      </c>
      <c r="B39" s="42" t="s">
        <v>25</v>
      </c>
      <c r="C39" s="118">
        <f>SUMIFS('S&amp;L Data'!N2:N500,'S&amp;L Data'!$E2:$E500,"Support for Veterans")</f>
        <v>60951</v>
      </c>
      <c r="D39" s="118">
        <f>SUMIFS('S&amp;L Data'!O2:O500,'S&amp;L Data'!$E2:$E500,"Support for Veterans")</f>
        <v>56969</v>
      </c>
      <c r="E39" s="118">
        <f>SUMIFS('S&amp;L Data'!P2:P500,'S&amp;L Data'!$E2:$E500,"Support for Veterans")</f>
        <v>63798</v>
      </c>
      <c r="F39" s="118">
        <f>SUMIFS('S&amp;L Data'!Q2:Q500,'S&amp;L Data'!$E2:$E500,"Support for Veterans")</f>
        <v>74688</v>
      </c>
      <c r="G39" s="118">
        <f>SUMIFS('S&amp;L Data'!R2:R500,'S&amp;L Data'!$E2:$E500,"Support for Veterans")</f>
        <v>98572</v>
      </c>
      <c r="H39" s="118">
        <f>SUMIFS('S&amp;L Data'!S2:S500,'S&amp;L Data'!$E2:$E500,"Support for Veterans")</f>
        <v>112881</v>
      </c>
      <c r="I39" s="118">
        <f>SUMIFS('S&amp;L Data'!T2:T500,'S&amp;L Data'!$E2:$E500,"Support for Veterans")</f>
        <v>121785</v>
      </c>
      <c r="J39" s="118">
        <f>SUMIFS('S&amp;L Data'!U2:U500,'S&amp;L Data'!$E2:$E500,"Support for Veterans")</f>
        <v>129454</v>
      </c>
      <c r="K39" s="118">
        <f>SUMIFS('S&amp;L Data'!V2:V500,'S&amp;L Data'!$E2:$E500,"Support for Veterans")</f>
        <v>134281</v>
      </c>
      <c r="L39" s="118">
        <f>SUMIFS('S&amp;L Data'!W2:W500,'S&amp;L Data'!$E2:$E500,"Support for Veterans")</f>
        <v>146198</v>
      </c>
      <c r="M39" s="118">
        <f>SUMIFS('S&amp;L Data'!X2:X500,'S&amp;L Data'!$E2:$E500,"Support for Veterans")</f>
        <v>151682</v>
      </c>
      <c r="N39" s="118">
        <f>SUMIFS('S&amp;L Data'!Y2:Y500,'S&amp;L Data'!$E2:$E500,"Support for Veterans")</f>
        <v>157313</v>
      </c>
      <c r="O39" s="118">
        <f>SUMIFS('S&amp;L Data'!Z2:Z500,'S&amp;L Data'!$E2:$E500,"Support for Veterans")</f>
        <v>170014</v>
      </c>
      <c r="P39" s="118">
        <f>SUMIFS('S&amp;L Data'!AA2:AA500,'S&amp;L Data'!$E2:$E500,"Support for Veterans")</f>
        <v>164681</v>
      </c>
      <c r="Q39" s="118">
        <f>SUMIFS('S&amp;L Data'!AB2:AB500,'S&amp;L Data'!$E2:$E500,"Support for Veterans")</f>
        <v>179076</v>
      </c>
      <c r="R39" s="118">
        <f>SUMIFS('S&amp;L Data'!AC2:AC500,'S&amp;L Data'!$E2:$E500,"Support for Veterans")</f>
        <v>206109</v>
      </c>
      <c r="S39" s="118">
        <f>SUMIFS('S&amp;L Data'!AD2:AD500,'S&amp;L Data'!$E2:$E500,"Support for Veterans")</f>
        <v>225645</v>
      </c>
      <c r="T39" s="118">
        <f>SUMIFS('S&amp;L Data'!AE2:AE500,'S&amp;L Data'!$E2:$E500,"Support for Veterans")</f>
        <v>243188</v>
      </c>
      <c r="U39" s="118">
        <f>SUMIFS('S&amp;L Data'!AF2:AF500,'S&amp;L Data'!$E2:$E500,"Support for Veterans")</f>
        <v>288331</v>
      </c>
      <c r="V39" s="118">
        <f>SUMIFS('S&amp;L Data'!AG2:AG500,'S&amp;L Data'!$E2:$E500,"Support for Veterans")</f>
        <v>283242</v>
      </c>
      <c r="W39" s="118">
        <f>SUMIFS('S&amp;L Data'!AH2:AH500,'S&amp;L Data'!$E2:$E500,"Support for Veterans")</f>
        <v>356552</v>
      </c>
      <c r="X39" s="118">
        <f>SUMIFS('S&amp;L Data'!AI2:AI500,'S&amp;L Data'!$E2:$E500,"Support for Veterans")</f>
        <v>336520</v>
      </c>
      <c r="Y39" s="118">
        <f>SUMIFS('S&amp;L Data'!AJ2:AJ500,'S&amp;L Data'!$E2:$E500,"Support for Veterans")</f>
        <v>361190</v>
      </c>
      <c r="Z39" s="118">
        <f>SUMIFS('S&amp;L Data'!AK2:AK500,'S&amp;L Data'!$E2:$E500,"Support for Veterans")</f>
        <v>1016563</v>
      </c>
      <c r="AA39" s="118">
        <f>SUMIFS('S&amp;L Data'!AL2:AL500,'S&amp;L Data'!$E2:$E500,"Support for Veterans")</f>
        <v>1503822</v>
      </c>
      <c r="AB39" s="118">
        <f>SUMIFS('S&amp;L Data'!AM2:AM500,'S&amp;L Data'!$E2:$E500,"Support for Veterans")</f>
        <v>1188935</v>
      </c>
      <c r="AC39" s="118">
        <f>SUMIFS('S&amp;L Data'!AN2:AN500,'S&amp;L Data'!$E2:$E500,"Support for Veterans")</f>
        <v>992146</v>
      </c>
      <c r="AD39" s="118">
        <f>SUMIFS('S&amp;L Data'!AO2:AO500,'S&amp;L Data'!$E2:$E500,"Support for Veterans")</f>
        <v>1030506</v>
      </c>
      <c r="AE39" s="118">
        <f>SUMIFS('S&amp;L Data'!AP2:AP500,'S&amp;L Data'!$E2:$E500,"Support for Veterans")</f>
        <v>1080399</v>
      </c>
      <c r="AF39" s="118">
        <f>SUMIFS('S&amp;L Data'!AQ2:AQ500,'S&amp;L Data'!$E2:$E500,"Support for Veterans")</f>
        <v>933222</v>
      </c>
      <c r="AG39" s="118">
        <f>SUMIFS('S&amp;L Data'!AR2:AR500,'S&amp;L Data'!$E2:$E500,"Support for Veterans")</f>
        <v>793609</v>
      </c>
      <c r="AH39" s="118">
        <f>SUMIFS('S&amp;L Data'!AS2:AS500,'S&amp;L Data'!$E2:$E500,"Support for Veterans")</f>
        <v>927042</v>
      </c>
      <c r="AI39" s="118">
        <f>SUMIFS('S&amp;L Data'!AT2:AT500,'S&amp;L Data'!$E2:$E500,"Support for Veterans")</f>
        <v>838031</v>
      </c>
      <c r="AJ39" s="118">
        <f>SUMIFS('S&amp;L Data'!AU2:AU500,'S&amp;L Data'!$E2:$E500,"Support for Veterans")</f>
        <v>1024498</v>
      </c>
      <c r="AK39" s="118">
        <f>SUMIFS('S&amp;L Data'!AV2:AV500,'S&amp;L Data'!$E2:$E500,"Support for Veterans")</f>
        <v>1059763</v>
      </c>
    </row>
    <row r="40" spans="1:37">
      <c r="A40" s="22" t="str">
        <f>B26</f>
        <v>Spending By Mission</v>
      </c>
      <c r="B40" s="73" t="s">
        <v>36</v>
      </c>
      <c r="C40" s="117">
        <f>SUMIFS('S&amp;L Data'!N2:N500,'S&amp;L Data'!$C2:$C500,"General Welfare")</f>
        <v>90974324</v>
      </c>
      <c r="D40" s="117">
        <f>SUMIFS('S&amp;L Data'!O2:O500,'S&amp;L Data'!$C2:$C500,"General Welfare")</f>
        <v>100298986</v>
      </c>
      <c r="E40" s="117">
        <f>SUMIFS('S&amp;L Data'!P2:P500,'S&amp;L Data'!$C2:$C500,"General Welfare")</f>
        <v>106120388</v>
      </c>
      <c r="F40" s="117">
        <f>SUMIFS('S&amp;L Data'!Q2:Q500,'S&amp;L Data'!$C2:$C500,"General Welfare")</f>
        <v>113818416</v>
      </c>
      <c r="G40" s="117">
        <f>SUMIFS('S&amp;L Data'!R2:R500,'S&amp;L Data'!$C2:$C500,"General Welfare")</f>
        <v>121827139</v>
      </c>
      <c r="H40" s="117">
        <f>SUMIFS('S&amp;L Data'!S2:S500,'S&amp;L Data'!$C2:$C500,"General Welfare")</f>
        <v>132870312</v>
      </c>
      <c r="I40" s="117">
        <f>SUMIFS('S&amp;L Data'!T2:T500,'S&amp;L Data'!$C2:$C500,"General Welfare")</f>
        <v>143482687</v>
      </c>
      <c r="J40" s="117">
        <f>SUMIFS('S&amp;L Data'!U2:U500,'S&amp;L Data'!$C2:$C500,"General Welfare")</f>
        <v>153399817</v>
      </c>
      <c r="K40" s="117">
        <f>SUMIFS('S&amp;L Data'!V2:V500,'S&amp;L Data'!$C2:$C500,"General Welfare")</f>
        <v>165514267</v>
      </c>
      <c r="L40" s="117">
        <f>SUMIFS('S&amp;L Data'!W2:W500,'S&amp;L Data'!$C2:$C500,"General Welfare")</f>
        <v>176713068</v>
      </c>
      <c r="M40" s="117">
        <f>SUMIFS('S&amp;L Data'!X2:X500,'S&amp;L Data'!$C2:$C500,"General Welfare")</f>
        <v>194814494</v>
      </c>
      <c r="N40" s="117">
        <f>SUMIFS('S&amp;L Data'!Y2:Y500,'S&amp;L Data'!$C2:$C500,"General Welfare")</f>
        <v>219982820</v>
      </c>
      <c r="O40" s="117">
        <f>SUMIFS('S&amp;L Data'!Z2:Z500,'S&amp;L Data'!$C2:$C500,"General Welfare")</f>
        <v>264650653</v>
      </c>
      <c r="P40" s="117">
        <f>SUMIFS('S&amp;L Data'!AA2:AA500,'S&amp;L Data'!$C2:$C500,"General Welfare")</f>
        <v>278833130</v>
      </c>
      <c r="Q40" s="117">
        <f>SUMIFS('S&amp;L Data'!AB2:AB500,'S&amp;L Data'!$C2:$C500,"General Welfare")</f>
        <v>297081455</v>
      </c>
      <c r="R40" s="117">
        <f>SUMIFS('S&amp;L Data'!AC2:AC500,'S&amp;L Data'!$C2:$C500,"General Welfare")</f>
        <v>313961037</v>
      </c>
      <c r="S40" s="117">
        <f>SUMIFS('S&amp;L Data'!AD2:AD500,'S&amp;L Data'!$C2:$C500,"General Welfare")</f>
        <v>316437392</v>
      </c>
      <c r="T40" s="117">
        <f>SUMIFS('S&amp;L Data'!AE2:AE500,'S&amp;L Data'!$C2:$C500,"General Welfare")</f>
        <v>324276199</v>
      </c>
      <c r="U40" s="117">
        <f>SUMIFS('S&amp;L Data'!AF2:AF500,'S&amp;L Data'!$C2:$C500,"General Welfare")</f>
        <v>334552691</v>
      </c>
      <c r="V40" s="117">
        <f>SUMIFS('S&amp;L Data'!AG2:AG500,'S&amp;L Data'!$C2:$C500,"General Welfare")</f>
        <v>353609840</v>
      </c>
      <c r="W40" s="117">
        <f>SUMIFS('S&amp;L Data'!AH2:AH500,'S&amp;L Data'!$C2:$C500,"General Welfare")</f>
        <v>384430108</v>
      </c>
      <c r="X40" s="117">
        <f>SUMIFS('S&amp;L Data'!AI2:AI500,'S&amp;L Data'!$C2:$C500,"General Welfare")</f>
        <v>416842972</v>
      </c>
      <c r="Y40" s="117">
        <f>SUMIFS('S&amp;L Data'!AJ2:AJ500,'S&amp;L Data'!$C2:$C500,"General Welfare")</f>
        <v>455361605</v>
      </c>
      <c r="Z40" s="117">
        <f>SUMIFS('S&amp;L Data'!AK2:AK500,'S&amp;L Data'!$C2:$C500,"General Welfare")</f>
        <v>488667414</v>
      </c>
      <c r="AA40" s="117">
        <f>SUMIFS('S&amp;L Data'!AL2:AL500,'S&amp;L Data'!$C2:$C500,"General Welfare")</f>
        <v>524782768</v>
      </c>
      <c r="AB40" s="117">
        <f>SUMIFS('S&amp;L Data'!AM2:AM500,'S&amp;L Data'!$C2:$C500,"General Welfare")</f>
        <v>567055942</v>
      </c>
      <c r="AC40" s="117">
        <f>SUMIFS('S&amp;L Data'!AN2:AN500,'S&amp;L Data'!$C2:$C500,"General Welfare")</f>
        <v>571749572</v>
      </c>
      <c r="AD40" s="117">
        <f>SUMIFS('S&amp;L Data'!AO2:AO500,'S&amp;L Data'!$C2:$C500,"General Welfare")</f>
        <v>611797028</v>
      </c>
      <c r="AE40" s="117">
        <f>SUMIFS('S&amp;L Data'!AP2:AP500,'S&amp;L Data'!$C2:$C500,"General Welfare")</f>
        <v>652204054</v>
      </c>
      <c r="AF40" s="117">
        <f>SUMIFS('S&amp;L Data'!AQ2:AQ500,'S&amp;L Data'!$C2:$C500,"General Welfare")</f>
        <v>689130553</v>
      </c>
      <c r="AG40" s="117">
        <f>SUMIFS('S&amp;L Data'!AR2:AR500,'S&amp;L Data'!$C2:$C500,"General Welfare")</f>
        <v>721178617</v>
      </c>
      <c r="AH40" s="117">
        <f>SUMIFS('S&amp;L Data'!AS2:AS500,'S&amp;L Data'!$C2:$C500,"General Welfare")</f>
        <v>753487577</v>
      </c>
      <c r="AI40" s="117">
        <f>SUMIFS('S&amp;L Data'!AT2:AT500,'S&amp;L Data'!$C2:$C500,"General Welfare")</f>
        <v>758159022</v>
      </c>
      <c r="AJ40" s="117">
        <f>SUMIFS('S&amp;L Data'!AU2:AU500,'S&amp;L Data'!$C2:$C500,"General Welfare")</f>
        <v>777529613</v>
      </c>
      <c r="AK40" s="117">
        <f>SUMIFS('S&amp;L Data'!AV2:AV500,'S&amp;L Data'!$C2:$C500,"General Welfare")</f>
        <v>812866200</v>
      </c>
    </row>
    <row r="41" spans="1:37" outlineLevel="1">
      <c r="A41" s="22" t="str">
        <f>B40</f>
        <v>Promote the General Welfare</v>
      </c>
      <c r="B41" s="27" t="s">
        <v>302</v>
      </c>
      <c r="C41" s="113">
        <f>SUMIFS('S&amp;L Data'!N2:N500,'S&amp;L Data'!$D2:$D500,"Economic Growth, GDP, and Jobs")</f>
        <v>36199515</v>
      </c>
      <c r="D41" s="113">
        <f>SUMIFS('S&amp;L Data'!O2:O500,'S&amp;L Data'!$D2:$D500,"Economic Growth, GDP, and Jobs")</f>
        <v>38768750</v>
      </c>
      <c r="E41" s="113">
        <f>SUMIFS('S&amp;L Data'!P2:P500,'S&amp;L Data'!$D2:$D500,"Economic Growth, GDP, and Jobs")</f>
        <v>38929399</v>
      </c>
      <c r="F41" s="113">
        <f>SUMIFS('S&amp;L Data'!Q2:Q500,'S&amp;L Data'!$D2:$D500,"Economic Growth, GDP, and Jobs")</f>
        <v>41637081</v>
      </c>
      <c r="G41" s="113">
        <f>SUMIFS('S&amp;L Data'!R2:R500,'S&amp;L Data'!$D2:$D500,"Economic Growth, GDP, and Jobs")</f>
        <v>44082095</v>
      </c>
      <c r="H41" s="113">
        <f>SUMIFS('S&amp;L Data'!S2:S500,'S&amp;L Data'!$D2:$D500,"Economic Growth, GDP, and Jobs")</f>
        <v>48648135</v>
      </c>
      <c r="I41" s="113">
        <f>SUMIFS('S&amp;L Data'!T2:T500,'S&amp;L Data'!$D2:$D500,"Economic Growth, GDP, and Jobs")</f>
        <v>52608133</v>
      </c>
      <c r="J41" s="113">
        <f>SUMIFS('S&amp;L Data'!U2:U500,'S&amp;L Data'!$D2:$D500,"Economic Growth, GDP, and Jobs")</f>
        <v>56134933</v>
      </c>
      <c r="K41" s="113">
        <f>SUMIFS('S&amp;L Data'!V2:V500,'S&amp;L Data'!$D2:$D500,"Economic Growth, GDP, and Jobs")</f>
        <v>58889974</v>
      </c>
      <c r="L41" s="113">
        <f>SUMIFS('S&amp;L Data'!W2:W500,'S&amp;L Data'!$D2:$D500,"Economic Growth, GDP, and Jobs")</f>
        <v>59965636</v>
      </c>
      <c r="M41" s="113">
        <f>SUMIFS('S&amp;L Data'!X2:X500,'S&amp;L Data'!$D2:$D500,"Economic Growth, GDP, and Jobs")</f>
        <v>63767650</v>
      </c>
      <c r="N41" s="113">
        <f>SUMIFS('S&amp;L Data'!Y2:Y500,'S&amp;L Data'!$D2:$D500,"Economic Growth, GDP, and Jobs")</f>
        <v>68316517</v>
      </c>
      <c r="O41" s="113">
        <f>SUMIFS('S&amp;L Data'!Z2:Z500,'S&amp;L Data'!$D2:$D500,"Economic Growth, GDP, and Jobs")</f>
        <v>72235522</v>
      </c>
      <c r="P41" s="113">
        <f>SUMIFS('S&amp;L Data'!AA2:AA500,'S&amp;L Data'!$D2:$D500,"Economic Growth, GDP, and Jobs")</f>
        <v>71667893</v>
      </c>
      <c r="Q41" s="113">
        <f>SUMIFS('S&amp;L Data'!AB2:AB500,'S&amp;L Data'!$D2:$D500,"Economic Growth, GDP, and Jobs")</f>
        <v>76707053</v>
      </c>
      <c r="R41" s="113">
        <f>SUMIFS('S&amp;L Data'!AC2:AC500,'S&amp;L Data'!$D2:$D500,"Economic Growth, GDP, and Jobs")</f>
        <v>79705242</v>
      </c>
      <c r="S41" s="113">
        <f>SUMIFS('S&amp;L Data'!AD2:AD500,'S&amp;L Data'!$D2:$D500,"Economic Growth, GDP, and Jobs")</f>
        <v>80284358</v>
      </c>
      <c r="T41" s="113">
        <f>SUMIFS('S&amp;L Data'!AE2:AE500,'S&amp;L Data'!$D2:$D500,"Economic Growth, GDP, and Jobs")</f>
        <v>83030067</v>
      </c>
      <c r="U41" s="113">
        <f>SUMIFS('S&amp;L Data'!AF2:AF500,'S&amp;L Data'!$D2:$D500,"Economic Growth, GDP, and Jobs")</f>
        <v>88382781</v>
      </c>
      <c r="V41" s="113">
        <f>SUMIFS('S&amp;L Data'!AG2:AG500,'S&amp;L Data'!$D2:$D500,"Economic Growth, GDP, and Jobs")</f>
        <v>96001806</v>
      </c>
      <c r="W41" s="113">
        <f>SUMIFS('S&amp;L Data'!AH2:AH500,'S&amp;L Data'!$D2:$D500,"Economic Growth, GDP, and Jobs")</f>
        <v>106169379</v>
      </c>
      <c r="X41" s="113">
        <f>SUMIFS('S&amp;L Data'!AI2:AI500,'S&amp;L Data'!$D2:$D500,"Economic Growth, GDP, and Jobs")</f>
        <v>116375317</v>
      </c>
      <c r="Y41" s="113">
        <f>SUMIFS('S&amp;L Data'!AJ2:AJ500,'S&amp;L Data'!$D2:$D500,"Economic Growth, GDP, and Jobs")</f>
        <v>125064238</v>
      </c>
      <c r="Z41" s="113">
        <f>SUMIFS('S&amp;L Data'!AK2:AK500,'S&amp;L Data'!$D2:$D500,"Economic Growth, GDP, and Jobs")</f>
        <v>128929293</v>
      </c>
      <c r="AA41" s="113">
        <f>SUMIFS('S&amp;L Data'!AL2:AL500,'S&amp;L Data'!$D2:$D500,"Economic Growth, GDP, and Jobs")</f>
        <v>130332834</v>
      </c>
      <c r="AB41" s="113">
        <f>SUMIFS('S&amp;L Data'!AM2:AM500,'S&amp;L Data'!$D2:$D500,"Economic Growth, GDP, and Jobs")</f>
        <v>139258313</v>
      </c>
      <c r="AC41" s="113">
        <f>SUMIFS('S&amp;L Data'!AN2:AN500,'S&amp;L Data'!$D2:$D500,"Economic Growth, GDP, and Jobs")</f>
        <v>141478678</v>
      </c>
      <c r="AD41" s="113">
        <f>SUMIFS('S&amp;L Data'!AO2:AO500,'S&amp;L Data'!$D2:$D500,"Economic Growth, GDP, and Jobs")</f>
        <v>152584415</v>
      </c>
      <c r="AE41" s="113">
        <f>SUMIFS('S&amp;L Data'!AP2:AP500,'S&amp;L Data'!$D2:$D500,"Economic Growth, GDP, and Jobs")</f>
        <v>162079871</v>
      </c>
      <c r="AF41" s="113">
        <f>SUMIFS('S&amp;L Data'!AQ2:AQ500,'S&amp;L Data'!$D2:$D500,"Economic Growth, GDP, and Jobs")</f>
        <v>171131236</v>
      </c>
      <c r="AG41" s="113">
        <f>SUMIFS('S&amp;L Data'!AR2:AR500,'S&amp;L Data'!$D2:$D500,"Economic Growth, GDP, and Jobs")</f>
        <v>173456959</v>
      </c>
      <c r="AH41" s="113">
        <f>SUMIFS('S&amp;L Data'!AS2:AS500,'S&amp;L Data'!$D2:$D500,"Economic Growth, GDP, and Jobs")</f>
        <v>168119067</v>
      </c>
      <c r="AI41" s="113">
        <f>SUMIFS('S&amp;L Data'!AT2:AT500,'S&amp;L Data'!$D2:$D500,"Economic Growth, GDP, and Jobs")</f>
        <v>171092957</v>
      </c>
      <c r="AJ41" s="113">
        <f>SUMIFS('S&amp;L Data'!AU2:AU500,'S&amp;L Data'!$D2:$D500,"Economic Growth, GDP, and Jobs")</f>
        <v>166862448</v>
      </c>
      <c r="AK41" s="113">
        <f>SUMIFS('S&amp;L Data'!AV2:AV500,'S&amp;L Data'!$D2:$D500,"Economic Growth, GDP, and Jobs")</f>
        <v>173447499</v>
      </c>
    </row>
    <row r="42" spans="1:37" outlineLevel="2">
      <c r="A42" s="22" t="str">
        <f>B41</f>
        <v>Economy and Infrastructure</v>
      </c>
      <c r="B42" s="28" t="s">
        <v>251</v>
      </c>
      <c r="C42" s="113">
        <f>SUMIFS('S&amp;L Data'!N2:N500,'S&amp;L Data'!$E2:$E500,"Transportation")</f>
        <v>37839770</v>
      </c>
      <c r="D42" s="113">
        <f>SUMIFS('S&amp;L Data'!O2:O500,'S&amp;L Data'!$E2:$E500,"Transportation")</f>
        <v>40537294</v>
      </c>
      <c r="E42" s="113">
        <f>SUMIFS('S&amp;L Data'!P2:P500,'S&amp;L Data'!$E2:$E500,"Transportation")</f>
        <v>41068654</v>
      </c>
      <c r="F42" s="113">
        <f>SUMIFS('S&amp;L Data'!Q2:Q500,'S&amp;L Data'!$E2:$E500,"Transportation")</f>
        <v>44147566</v>
      </c>
      <c r="G42" s="113">
        <f>SUMIFS('S&amp;L Data'!R2:R500,'S&amp;L Data'!$E2:$E500,"Transportation")</f>
        <v>47275115</v>
      </c>
      <c r="H42" s="113">
        <f>SUMIFS('S&amp;L Data'!S2:S500,'S&amp;L Data'!$E2:$E500,"Transportation")</f>
        <v>52603363</v>
      </c>
      <c r="I42" s="113">
        <f>SUMIFS('S&amp;L Data'!T2:T500,'S&amp;L Data'!$E2:$E500,"Transportation")</f>
        <v>57766965</v>
      </c>
      <c r="J42" s="113">
        <f>SUMIFS('S&amp;L Data'!U2:U500,'S&amp;L Data'!$E2:$E500,"Transportation")</f>
        <v>61405004</v>
      </c>
      <c r="K42" s="113">
        <f>SUMIFS('S&amp;L Data'!V2:V500,'S&amp;L Data'!$E2:$E500,"Transportation")</f>
        <v>64971418</v>
      </c>
      <c r="L42" s="113">
        <f>SUMIFS('S&amp;L Data'!W2:W500,'S&amp;L Data'!$E2:$E500,"Transportation")</f>
        <v>67462468</v>
      </c>
      <c r="M42" s="113">
        <f>SUMIFS('S&amp;L Data'!X2:X500,'S&amp;L Data'!$E2:$E500,"Transportation")</f>
        <v>71771771</v>
      </c>
      <c r="N42" s="113">
        <f>SUMIFS('S&amp;L Data'!Y2:Y500,'S&amp;L Data'!$E2:$E500,"Transportation")</f>
        <v>76562358</v>
      </c>
      <c r="O42" s="113">
        <f>SUMIFS('S&amp;L Data'!Z2:Z500,'S&amp;L Data'!$E2:$E500,"Transportation")</f>
        <v>80655878</v>
      </c>
      <c r="P42" s="113">
        <f>SUMIFS('S&amp;L Data'!AA2:AA500,'S&amp;L Data'!$E2:$E500,"Transportation")</f>
        <v>81141227</v>
      </c>
      <c r="Q42" s="113">
        <f>SUMIFS('S&amp;L Data'!AB2:AB500,'S&amp;L Data'!$E2:$E500,"Transportation")</f>
        <v>87136096</v>
      </c>
      <c r="R42" s="113">
        <f>SUMIFS('S&amp;L Data'!AC2:AC500,'S&amp;L Data'!$E2:$E500,"Transportation")</f>
        <v>91173969</v>
      </c>
      <c r="S42" s="113">
        <f>SUMIFS('S&amp;L Data'!AD2:AD500,'S&amp;L Data'!$E2:$E500,"Transportation")</f>
        <v>92754020</v>
      </c>
      <c r="T42" s="113">
        <f>SUMIFS('S&amp;L Data'!AE2:AE500,'S&amp;L Data'!$E2:$E500,"Transportation")</f>
        <v>95859323</v>
      </c>
      <c r="U42" s="113">
        <f>SUMIFS('S&amp;L Data'!AF2:AF500,'S&amp;L Data'!$E2:$E500,"Transportation")</f>
        <v>101296752</v>
      </c>
      <c r="V42" s="113">
        <f>SUMIFS('S&amp;L Data'!AG2:AG500,'S&amp;L Data'!$E2:$E500,"Transportation")</f>
        <v>109079514</v>
      </c>
      <c r="W42" s="113">
        <f>SUMIFS('S&amp;L Data'!AH2:AH500,'S&amp;L Data'!$E2:$E500,"Transportation")</f>
        <v>119104216</v>
      </c>
      <c r="X42" s="113">
        <f>SUMIFS('S&amp;L Data'!AI2:AI500,'S&amp;L Data'!$E2:$E500,"Transportation")</f>
        <v>129241758</v>
      </c>
      <c r="Y42" s="113">
        <f>SUMIFS('S&amp;L Data'!AJ2:AJ500,'S&amp;L Data'!$E2:$E500,"Transportation")</f>
        <v>139157438</v>
      </c>
      <c r="Z42" s="113">
        <f>SUMIFS('S&amp;L Data'!AK2:AK500,'S&amp;L Data'!$E2:$E500,"Transportation")</f>
        <v>144211321</v>
      </c>
      <c r="AA42" s="113">
        <f>SUMIFS('S&amp;L Data'!AL2:AL500,'S&amp;L Data'!$E2:$E500,"Transportation")</f>
        <v>146953918</v>
      </c>
      <c r="AB42" s="113">
        <f>SUMIFS('S&amp;L Data'!AM2:AM500,'S&amp;L Data'!$E2:$E500,"Transportation")</f>
        <v>152967218</v>
      </c>
      <c r="AC42" s="113">
        <f>SUMIFS('S&amp;L Data'!AN2:AN500,'S&amp;L Data'!$E2:$E500,"Transportation")</f>
        <v>155888518</v>
      </c>
      <c r="AD42" s="113">
        <f>SUMIFS('S&amp;L Data'!AO2:AO500,'S&amp;L Data'!$E2:$E500,"Transportation")</f>
        <v>172949590</v>
      </c>
      <c r="AE42" s="113">
        <f>SUMIFS('S&amp;L Data'!AP2:AP500,'S&amp;L Data'!$E2:$E500,"Transportation")</f>
        <v>184342589</v>
      </c>
      <c r="AF42" s="113">
        <f>SUMIFS('S&amp;L Data'!AQ2:AQ500,'S&amp;L Data'!$E2:$E500,"Transportation")</f>
        <v>191784233</v>
      </c>
      <c r="AG42" s="113">
        <f>SUMIFS('S&amp;L Data'!AR2:AR500,'S&amp;L Data'!$E2:$E500,"Transportation")</f>
        <v>194896683</v>
      </c>
      <c r="AH42" s="113">
        <f>SUMIFS('S&amp;L Data'!AS2:AS500,'S&amp;L Data'!$E2:$E500,"Transportation")</f>
        <v>190125430</v>
      </c>
      <c r="AI42" s="113">
        <f>SUMIFS('S&amp;L Data'!AT2:AT500,'S&amp;L Data'!$E2:$E500,"Transportation")</f>
        <v>194238315</v>
      </c>
      <c r="AJ42" s="113">
        <f>SUMIFS('S&amp;L Data'!AU2:AU500,'S&amp;L Data'!$E2:$E500,"Transportation")</f>
        <v>190937751</v>
      </c>
      <c r="AK42" s="113">
        <f>SUMIFS('S&amp;L Data'!AV2:AV500,'S&amp;L Data'!$E2:$E500,"Transportation")</f>
        <v>197857584</v>
      </c>
    </row>
    <row r="43" spans="1:37" outlineLevel="3">
      <c r="A43" s="22" t="str">
        <f>B42</f>
        <v>Transportation and Transportation Safety</v>
      </c>
      <c r="B43" s="29" t="s">
        <v>277</v>
      </c>
      <c r="C43" s="113">
        <f>SUMIFS('S&amp;L Data'!N2:N500,'S&amp;L Data'!$F2:$F500,"Air Transportation")</f>
        <v>675230</v>
      </c>
      <c r="D43" s="113">
        <f>SUMIFS('S&amp;L Data'!O2:O500,'S&amp;L Data'!$F2:$F500,"Air Transportation")</f>
        <v>645060</v>
      </c>
      <c r="E43" s="113">
        <f>SUMIFS('S&amp;L Data'!P2:P500,'S&amp;L Data'!$F2:$F500,"Air Transportation")</f>
        <v>567782</v>
      </c>
      <c r="F43" s="113">
        <f>SUMIFS('S&amp;L Data'!Q2:Q500,'S&amp;L Data'!$F2:$F500,"Air Transportation")</f>
        <v>478150</v>
      </c>
      <c r="G43" s="113">
        <f>SUMIFS('S&amp;L Data'!R2:R500,'S&amp;L Data'!$F2:$F500,"Air Transportation")</f>
        <v>839413</v>
      </c>
      <c r="H43" s="113">
        <f>SUMIFS('S&amp;L Data'!S2:S500,'S&amp;L Data'!$F2:$F500,"Air Transportation")</f>
        <v>626183</v>
      </c>
      <c r="I43" s="113">
        <f>SUMIFS('S&amp;L Data'!T2:T500,'S&amp;L Data'!$F2:$F500,"Air Transportation")</f>
        <v>802773</v>
      </c>
      <c r="J43" s="113">
        <f>SUMIFS('S&amp;L Data'!U2:U500,'S&amp;L Data'!$F2:$F500,"Air Transportation")</f>
        <v>1088876</v>
      </c>
      <c r="K43" s="113">
        <f>SUMIFS('S&amp;L Data'!V2:V500,'S&amp;L Data'!$F2:$F500,"Air Transportation")</f>
        <v>1241955</v>
      </c>
      <c r="L43" s="113">
        <f>SUMIFS('S&amp;L Data'!W2:W500,'S&amp;L Data'!$F2:$F500,"Air Transportation")</f>
        <v>1057274</v>
      </c>
      <c r="M43" s="113">
        <f>SUMIFS('S&amp;L Data'!X2:X500,'S&amp;L Data'!$F2:$F500,"Air Transportation")</f>
        <v>1310150</v>
      </c>
      <c r="N43" s="113">
        <f>SUMIFS('S&amp;L Data'!Y2:Y500,'S&amp;L Data'!$F2:$F500,"Air Transportation")</f>
        <v>1514959</v>
      </c>
      <c r="O43" s="113">
        <f>SUMIFS('S&amp;L Data'!Z2:Z500,'S&amp;L Data'!$F2:$F500,"Air Transportation")</f>
        <v>2317365</v>
      </c>
      <c r="P43" s="113">
        <f>SUMIFS('S&amp;L Data'!AA2:AA500,'S&amp;L Data'!$F2:$F500,"Air Transportation")</f>
        <v>2641959</v>
      </c>
      <c r="Q43" s="113">
        <f>SUMIFS('S&amp;L Data'!AB2:AB500,'S&amp;L Data'!$F2:$F500,"Air Transportation")</f>
        <v>2340211</v>
      </c>
      <c r="R43" s="113">
        <f>SUMIFS('S&amp;L Data'!AC2:AC500,'S&amp;L Data'!$F2:$F500,"Air Transportation")</f>
        <v>734358</v>
      </c>
      <c r="S43" s="113">
        <f>SUMIFS('S&amp;L Data'!AD2:AD500,'S&amp;L Data'!$F2:$F500,"Air Transportation")</f>
        <v>623541</v>
      </c>
      <c r="T43" s="113">
        <f>SUMIFS('S&amp;L Data'!AE2:AE500,'S&amp;L Data'!$F2:$F500,"Air Transportation")</f>
        <v>1072254</v>
      </c>
      <c r="U43" s="113">
        <f>SUMIFS('S&amp;L Data'!AF2:AF500,'S&amp;L Data'!$F2:$F500,"Air Transportation")</f>
        <v>936196</v>
      </c>
      <c r="V43" s="113">
        <f>SUMIFS('S&amp;L Data'!AG2:AG500,'S&amp;L Data'!$F2:$F500,"Air Transportation")</f>
        <v>2415190</v>
      </c>
      <c r="W43" s="113">
        <f>SUMIFS('S&amp;L Data'!AH2:AH500,'S&amp;L Data'!$F2:$F500,"Air Transportation")</f>
        <v>2076441</v>
      </c>
      <c r="X43" s="113">
        <f>SUMIFS('S&amp;L Data'!AI2:AI500,'S&amp;L Data'!$F2:$F500,"Air Transportation")</f>
        <v>3648860</v>
      </c>
      <c r="Y43" s="113">
        <f>SUMIFS('S&amp;L Data'!AJ2:AJ500,'S&amp;L Data'!$F2:$F500,"Air Transportation")</f>
        <v>3878627</v>
      </c>
      <c r="Z43" s="113">
        <f>SUMIFS('S&amp;L Data'!AK2:AK500,'S&amp;L Data'!$F2:$F500,"Air Transportation")</f>
        <v>4287336</v>
      </c>
      <c r="AA43" s="113">
        <f>SUMIFS('S&amp;L Data'!AL2:AL500,'S&amp;L Data'!$F2:$F500,"Air Transportation")</f>
        <v>4662120</v>
      </c>
      <c r="AB43" s="113">
        <f>SUMIFS('S&amp;L Data'!AM2:AM500,'S&amp;L Data'!$F2:$F500,"Air Transportation")</f>
        <v>3578538</v>
      </c>
      <c r="AC43" s="113">
        <f>SUMIFS('S&amp;L Data'!AN2:AN500,'S&amp;L Data'!$F2:$F500,"Air Transportation")</f>
        <v>1979785</v>
      </c>
      <c r="AD43" s="113">
        <f>SUMIFS('S&amp;L Data'!AO2:AO500,'S&amp;L Data'!$F2:$F500,"Air Transportation")</f>
        <v>3501884</v>
      </c>
      <c r="AE43" s="113">
        <f>SUMIFS('S&amp;L Data'!AP2:AP500,'S&amp;L Data'!$F2:$F500,"Air Transportation")</f>
        <v>3490592</v>
      </c>
      <c r="AF43" s="113">
        <f>SUMIFS('S&amp;L Data'!AQ2:AQ500,'S&amp;L Data'!$F2:$F500,"Air Transportation")</f>
        <v>4679038</v>
      </c>
      <c r="AG43" s="113">
        <f>SUMIFS('S&amp;L Data'!AR2:AR500,'S&amp;L Data'!$F2:$F500,"Air Transportation")</f>
        <v>6142089</v>
      </c>
      <c r="AH43" s="113">
        <f>SUMIFS('S&amp;L Data'!AS2:AS500,'S&amp;L Data'!$F2:$F500,"Air Transportation")</f>
        <v>3806624</v>
      </c>
      <c r="AI43" s="113">
        <f>SUMIFS('S&amp;L Data'!AT2:AT500,'S&amp;L Data'!$F2:$F500,"Air Transportation")</f>
        <v>1098129</v>
      </c>
      <c r="AJ43" s="113">
        <f>SUMIFS('S&amp;L Data'!AU2:AU500,'S&amp;L Data'!$F2:$F500,"Air Transportation")</f>
        <v>849148</v>
      </c>
      <c r="AK43" s="113">
        <f>SUMIFS('S&amp;L Data'!AV2:AV500,'S&amp;L Data'!$F2:$F500,"Air Transportation")</f>
        <v>562376</v>
      </c>
    </row>
    <row r="44" spans="1:37" outlineLevel="3">
      <c r="A44" s="22" t="str">
        <f>B42</f>
        <v>Transportation and Transportation Safety</v>
      </c>
      <c r="B44" s="29" t="s">
        <v>95</v>
      </c>
      <c r="C44" s="113">
        <f>SUMIFS('S&amp;L Data'!N2:N500,'S&amp;L Data'!$F2:$F500,"Highway Transportation")</f>
        <v>31568285</v>
      </c>
      <c r="D44" s="113">
        <f>SUMIFS('S&amp;L Data'!O2:O500,'S&amp;L Data'!$F2:$F500,"Highway Transportation")</f>
        <v>32698930</v>
      </c>
      <c r="E44" s="113">
        <f>SUMIFS('S&amp;L Data'!P2:P500,'S&amp;L Data'!$F2:$F500,"Highway Transportation")</f>
        <v>32450544</v>
      </c>
      <c r="F44" s="113">
        <f>SUMIFS('S&amp;L Data'!Q2:Q500,'S&amp;L Data'!$F2:$F500,"Highway Transportation")</f>
        <v>34418183</v>
      </c>
      <c r="G44" s="113">
        <f>SUMIFS('S&amp;L Data'!R2:R500,'S&amp;L Data'!$F2:$F500,"Highway Transportation")</f>
        <v>36905826</v>
      </c>
      <c r="H44" s="113">
        <f>SUMIFS('S&amp;L Data'!S2:S500,'S&amp;L Data'!$F2:$F500,"Highway Transportation")</f>
        <v>42250138</v>
      </c>
      <c r="I44" s="113">
        <f>SUMIFS('S&amp;L Data'!T2:T500,'S&amp;L Data'!$F2:$F500,"Highway Transportation")</f>
        <v>46501125</v>
      </c>
      <c r="J44" s="113">
        <f>SUMIFS('S&amp;L Data'!U2:U500,'S&amp;L Data'!$F2:$F500,"Highway Transportation")</f>
        <v>49238680</v>
      </c>
      <c r="K44" s="113">
        <f>SUMIFS('S&amp;L Data'!V2:V500,'S&amp;L Data'!$F2:$F500,"Highway Transportation")</f>
        <v>52059035</v>
      </c>
      <c r="L44" s="113">
        <f>SUMIFS('S&amp;L Data'!W2:W500,'S&amp;L Data'!$F2:$F500,"Highway Transportation")</f>
        <v>54133860</v>
      </c>
      <c r="M44" s="113">
        <f>SUMIFS('S&amp;L Data'!X2:X500,'S&amp;L Data'!$F2:$F500,"Highway Transportation")</f>
        <v>56803667</v>
      </c>
      <c r="N44" s="113">
        <f>SUMIFS('S&amp;L Data'!Y2:Y500,'S&amp;L Data'!$F2:$F500,"Highway Transportation")</f>
        <v>60313462</v>
      </c>
      <c r="O44" s="113">
        <f>SUMIFS('S&amp;L Data'!Z2:Z500,'S&amp;L Data'!$F2:$F500,"Highway Transportation")</f>
        <v>62474497</v>
      </c>
      <c r="P44" s="113">
        <f>SUMIFS('S&amp;L Data'!AA2:AA500,'S&amp;L Data'!$F2:$F500,"Highway Transportation")</f>
        <v>63136022</v>
      </c>
      <c r="Q44" s="113">
        <f>SUMIFS('S&amp;L Data'!AB2:AB500,'S&amp;L Data'!$F2:$F500,"Highway Transportation")</f>
        <v>66510168</v>
      </c>
      <c r="R44" s="113">
        <f>SUMIFS('S&amp;L Data'!AC2:AC500,'S&amp;L Data'!$F2:$F500,"Highway Transportation")</f>
        <v>71391300</v>
      </c>
      <c r="S44" s="113">
        <f>SUMIFS('S&amp;L Data'!AD2:AD500,'S&amp;L Data'!$F2:$F500,"Highway Transportation")</f>
        <v>73249597</v>
      </c>
      <c r="T44" s="113">
        <f>SUMIFS('S&amp;L Data'!AE2:AE500,'S&amp;L Data'!$F2:$F500,"Highway Transportation")</f>
        <v>75685831</v>
      </c>
      <c r="U44" s="113">
        <f>SUMIFS('S&amp;L Data'!AF2:AF500,'S&amp;L Data'!$F2:$F500,"Highway Transportation")</f>
        <v>80495941</v>
      </c>
      <c r="V44" s="113">
        <f>SUMIFS('S&amp;L Data'!AG2:AG500,'S&amp;L Data'!$F2:$F500,"Highway Transportation")</f>
        <v>85872430</v>
      </c>
      <c r="W44" s="113">
        <f>SUMIFS('S&amp;L Data'!AH2:AH500,'S&amp;L Data'!$F2:$F500,"Highway Transportation")</f>
        <v>93476159</v>
      </c>
      <c r="X44" s="113">
        <f>SUMIFS('S&amp;L Data'!AI2:AI500,'S&amp;L Data'!$F2:$F500,"Highway Transportation")</f>
        <v>98913528</v>
      </c>
      <c r="Y44" s="113">
        <f>SUMIFS('S&amp;L Data'!AJ2:AJ500,'S&amp;L Data'!$F2:$F500,"Highway Transportation")</f>
        <v>106818952</v>
      </c>
      <c r="Z44" s="113">
        <f>SUMIFS('S&amp;L Data'!AK2:AK500,'S&amp;L Data'!$F2:$F500,"Highway Transportation")</f>
        <v>108719202</v>
      </c>
      <c r="AA44" s="113">
        <f>SUMIFS('S&amp;L Data'!AL2:AL500,'S&amp;L Data'!$F2:$F500,"Highway Transportation")</f>
        <v>108084386</v>
      </c>
      <c r="AB44" s="113">
        <f>SUMIFS('S&amp;L Data'!AM2:AM500,'S&amp;L Data'!$F2:$F500,"Highway Transportation")</f>
        <v>116296403</v>
      </c>
      <c r="AC44" s="113">
        <f>SUMIFS('S&amp;L Data'!AN2:AN500,'S&amp;L Data'!$F2:$F500,"Highway Transportation")</f>
        <v>119604004</v>
      </c>
      <c r="AD44" s="113">
        <f>SUMIFS('S&amp;L Data'!AO2:AO500,'S&amp;L Data'!$F2:$F500,"Highway Transportation")</f>
        <v>133692205</v>
      </c>
      <c r="AE44" s="113">
        <f>SUMIFS('S&amp;L Data'!AP2:AP500,'S&amp;L Data'!$F2:$F500,"Highway Transportation")</f>
        <v>142156399</v>
      </c>
      <c r="AF44" s="113">
        <f>SUMIFS('S&amp;L Data'!AQ2:AQ500,'S&amp;L Data'!$F2:$F500,"Highway Transportation")</f>
        <v>142058730</v>
      </c>
      <c r="AG44" s="113">
        <f>SUMIFS('S&amp;L Data'!AR2:AR500,'S&amp;L Data'!$F2:$F500,"Highway Transportation")</f>
        <v>142373059</v>
      </c>
      <c r="AH44" s="113">
        <f>SUMIFS('S&amp;L Data'!AS2:AS500,'S&amp;L Data'!$F2:$F500,"Highway Transportation")</f>
        <v>140778171</v>
      </c>
      <c r="AI44" s="113">
        <f>SUMIFS('S&amp;L Data'!AT2:AT500,'S&amp;L Data'!$F2:$F500,"Highway Transportation")</f>
        <v>146233459</v>
      </c>
      <c r="AJ44" s="113">
        <f>SUMIFS('S&amp;L Data'!AU2:AU500,'S&amp;L Data'!$F2:$F500,"Highway Transportation")</f>
        <v>141626142</v>
      </c>
      <c r="AK44" s="113">
        <f>SUMIFS('S&amp;L Data'!AV2:AV500,'S&amp;L Data'!$F2:$F500,"Highway Transportation")</f>
        <v>144895451</v>
      </c>
    </row>
    <row r="45" spans="1:37" outlineLevel="4">
      <c r="A45" s="22" t="str">
        <f>B44</f>
        <v>Highway Transportation</v>
      </c>
      <c r="B45" s="31" t="s">
        <v>123</v>
      </c>
      <c r="C45" s="113">
        <f>SUMIFS('S&amp;L Data'!N2:N500,'S&amp;L Data'!$G2:$G500,"Regular HIghways")</f>
        <v>31862805</v>
      </c>
      <c r="D45" s="113">
        <f>SUMIFS('S&amp;L Data'!O2:O500,'S&amp;L Data'!$G2:$G500,"Regular HIghways")</f>
        <v>33075437</v>
      </c>
      <c r="E45" s="113">
        <f>SUMIFS('S&amp;L Data'!P2:P500,'S&amp;L Data'!$G2:$G500,"Regular HIghways")</f>
        <v>32932700</v>
      </c>
      <c r="F45" s="113">
        <f>SUMIFS('S&amp;L Data'!Q2:Q500,'S&amp;L Data'!$G2:$G500,"Regular HIghways")</f>
        <v>34845750</v>
      </c>
      <c r="G45" s="113">
        <f>SUMIFS('S&amp;L Data'!R2:R500,'S&amp;L Data'!$G2:$G500,"Regular HIghways")</f>
        <v>37458901</v>
      </c>
      <c r="H45" s="113">
        <f>SUMIFS('S&amp;L Data'!S2:S500,'S&amp;L Data'!$G2:$G500,"Regular HIghways")</f>
        <v>42847930</v>
      </c>
      <c r="I45" s="113">
        <f>SUMIFS('S&amp;L Data'!T2:T500,'S&amp;L Data'!$G2:$G500,"Regular HIghways")</f>
        <v>46809717</v>
      </c>
      <c r="J45" s="113">
        <f>SUMIFS('S&amp;L Data'!U2:U500,'S&amp;L Data'!$G2:$G500,"Regular HIghways")</f>
        <v>49477412</v>
      </c>
      <c r="K45" s="113">
        <f>SUMIFS('S&amp;L Data'!V2:V500,'S&amp;L Data'!$G2:$G500,"Regular HIghways")</f>
        <v>52105672</v>
      </c>
      <c r="L45" s="113">
        <f>SUMIFS('S&amp;L Data'!W2:W500,'S&amp;L Data'!$G2:$G500,"Regular HIghways")</f>
        <v>54400689</v>
      </c>
      <c r="M45" s="113">
        <f>SUMIFS('S&amp;L Data'!X2:X500,'S&amp;L Data'!$G2:$G500,"Regular HIghways")</f>
        <v>57258562</v>
      </c>
      <c r="N45" s="113">
        <f>SUMIFS('S&amp;L Data'!Y2:Y500,'S&amp;L Data'!$G2:$G500,"Regular HIghways")</f>
        <v>60710578</v>
      </c>
      <c r="O45" s="113">
        <f>SUMIFS('S&amp;L Data'!Z2:Z500,'S&amp;L Data'!$G2:$G500,"Regular HIghways")</f>
        <v>62738500</v>
      </c>
      <c r="P45" s="113">
        <f>SUMIFS('S&amp;L Data'!AA2:AA500,'S&amp;L Data'!$G2:$G500,"Regular HIghways")</f>
        <v>63618265</v>
      </c>
      <c r="Q45" s="113">
        <f>SUMIFS('S&amp;L Data'!AB2:AB500,'S&amp;L Data'!$G2:$G500,"Regular HIghways")</f>
        <v>67018644</v>
      </c>
      <c r="R45" s="113">
        <f>SUMIFS('S&amp;L Data'!AC2:AC500,'S&amp;L Data'!$G2:$G500,"Regular HIghways")</f>
        <v>72021240</v>
      </c>
      <c r="S45" s="113">
        <f>SUMIFS('S&amp;L Data'!AD2:AD500,'S&amp;L Data'!$G2:$G500,"Regular HIghways")</f>
        <v>73844940</v>
      </c>
      <c r="T45" s="113">
        <f>SUMIFS('S&amp;L Data'!AE2:AE500,'S&amp;L Data'!$G2:$G500,"Regular HIghways")</f>
        <v>76462365</v>
      </c>
      <c r="U45" s="113">
        <f>SUMIFS('S&amp;L Data'!AF2:AF500,'S&amp;L Data'!$G2:$G500,"Regular HIghways")</f>
        <v>81667278</v>
      </c>
      <c r="V45" s="113">
        <f>SUMIFS('S&amp;L Data'!AG2:AG500,'S&amp;L Data'!$G2:$G500,"Regular HIghways")</f>
        <v>86395756</v>
      </c>
      <c r="W45" s="113">
        <f>SUMIFS('S&amp;L Data'!AH2:AH500,'S&amp;L Data'!$G2:$G500,"Regular HIghways")</f>
        <v>93639370</v>
      </c>
      <c r="X45" s="113">
        <f>SUMIFS('S&amp;L Data'!AI2:AI500,'S&amp;L Data'!$G2:$G500,"Regular HIghways")</f>
        <v>98670132</v>
      </c>
      <c r="Y45" s="113">
        <f>SUMIFS('S&amp;L Data'!AJ2:AJ500,'S&amp;L Data'!$G2:$G500,"Regular HIghways")</f>
        <v>105625737</v>
      </c>
      <c r="Z45" s="113">
        <f>SUMIFS('S&amp;L Data'!AK2:AK500,'S&amp;L Data'!$G2:$G500,"Regular HIghways")</f>
        <v>107030399</v>
      </c>
      <c r="AA45" s="113">
        <f>SUMIFS('S&amp;L Data'!AL2:AL500,'S&amp;L Data'!$G2:$G500,"Regular HIghways")</f>
        <v>107063255</v>
      </c>
      <c r="AB45" s="113">
        <f>SUMIFS('S&amp;L Data'!AM2:AM500,'S&amp;L Data'!$G2:$G500,"Regular HIghways")</f>
        <v>116566005</v>
      </c>
      <c r="AC45" s="113">
        <f>SUMIFS('S&amp;L Data'!AN2:AN500,'S&amp;L Data'!$G2:$G500,"Regular HIghways")</f>
        <v>125834318</v>
      </c>
      <c r="AD45" s="113">
        <f>SUMIFS('S&amp;L Data'!AO2:AO500,'S&amp;L Data'!$G2:$G500,"Regular HIghways")</f>
        <v>133162590</v>
      </c>
      <c r="AE45" s="113">
        <f>SUMIFS('S&amp;L Data'!AP2:AP500,'S&amp;L Data'!$G2:$G500,"Regular HIghways")</f>
        <v>137662151</v>
      </c>
      <c r="AF45" s="113">
        <f>SUMIFS('S&amp;L Data'!AQ2:AQ500,'S&amp;L Data'!$G2:$G500,"Regular HIghways")</f>
        <v>140928066</v>
      </c>
      <c r="AG45" s="113">
        <f>SUMIFS('S&amp;L Data'!AR2:AR500,'S&amp;L Data'!$G2:$G500,"Regular HIghways")</f>
        <v>142349437</v>
      </c>
      <c r="AH45" s="113">
        <f>SUMIFS('S&amp;L Data'!AS2:AS500,'S&amp;L Data'!$G2:$G500,"Regular HIghways")</f>
        <v>141592260</v>
      </c>
      <c r="AI45" s="113">
        <f>SUMIFS('S&amp;L Data'!AT2:AT500,'S&amp;L Data'!$G2:$G500,"Regular HIghways")</f>
        <v>146153104</v>
      </c>
      <c r="AJ45" s="113">
        <f>SUMIFS('S&amp;L Data'!AU2:AU500,'S&amp;L Data'!$G2:$G500,"Regular HIghways")</f>
        <v>143522288</v>
      </c>
      <c r="AK45" s="113">
        <f>SUMIFS('S&amp;L Data'!AV2:AV500,'S&amp;L Data'!$G2:$G500,"Regular HIghways")</f>
        <v>147028360</v>
      </c>
    </row>
    <row r="46" spans="1:37" outlineLevel="4">
      <c r="A46" s="22" t="str">
        <f>B44</f>
        <v>Highway Transportation</v>
      </c>
      <c r="B46" s="31" t="s">
        <v>279</v>
      </c>
      <c r="C46" s="113">
        <f>SUMIFS('S&amp;L Data'!N2:N500,'S&amp;L Data'!$G2:$G500,"Toll Highways (Govt. Business)")</f>
        <v>-302417</v>
      </c>
      <c r="D46" s="113">
        <f>SUMIFS('S&amp;L Data'!O2:O500,'S&amp;L Data'!$G2:$G500,"Toll Highways (Govt. Business)")</f>
        <v>-384989</v>
      </c>
      <c r="E46" s="113">
        <f>SUMIFS('S&amp;L Data'!P2:P500,'S&amp;L Data'!$G2:$G500,"Toll Highways (Govt. Business)")</f>
        <v>-494258</v>
      </c>
      <c r="F46" s="113">
        <f>SUMIFS('S&amp;L Data'!Q2:Q500,'S&amp;L Data'!$G2:$G500,"Toll Highways (Govt. Business)")</f>
        <v>-428731</v>
      </c>
      <c r="G46" s="113">
        <f>SUMIFS('S&amp;L Data'!R2:R500,'S&amp;L Data'!$G2:$G500,"Toll Highways (Govt. Business)")</f>
        <v>-511136</v>
      </c>
      <c r="H46" s="113">
        <f>SUMIFS('S&amp;L Data'!S2:S500,'S&amp;L Data'!$G2:$G500,"Toll Highways (Govt. Business)")</f>
        <v>-615576</v>
      </c>
      <c r="I46" s="113">
        <f>SUMIFS('S&amp;L Data'!T2:T500,'S&amp;L Data'!$G2:$G500,"Toll Highways (Govt. Business)")</f>
        <v>-359180</v>
      </c>
      <c r="J46" s="113">
        <f>SUMIFS('S&amp;L Data'!U2:U500,'S&amp;L Data'!$G2:$G500,"Toll Highways (Govt. Business)")</f>
        <v>-314929</v>
      </c>
      <c r="K46" s="113">
        <f>SUMIFS('S&amp;L Data'!V2:V500,'S&amp;L Data'!$G2:$G500,"Toll Highways (Govt. Business)")</f>
        <v>-94667</v>
      </c>
      <c r="L46" s="113">
        <f>SUMIFS('S&amp;L Data'!W2:W500,'S&amp;L Data'!$G2:$G500,"Toll Highways (Govt. Business)")</f>
        <v>-225801</v>
      </c>
      <c r="M46" s="113">
        <f>SUMIFS('S&amp;L Data'!X2:X500,'S&amp;L Data'!$G2:$G500,"Toll Highways (Govt. Business)")</f>
        <v>-349700</v>
      </c>
      <c r="N46" s="113">
        <f>SUMIFS('S&amp;L Data'!Y2:Y500,'S&amp;L Data'!$G2:$G500,"Toll Highways (Govt. Business)")</f>
        <v>-286738</v>
      </c>
      <c r="O46" s="113">
        <f>SUMIFS('S&amp;L Data'!Z2:Z500,'S&amp;L Data'!$G2:$G500,"Toll Highways (Govt. Business)")</f>
        <v>-155716</v>
      </c>
      <c r="P46" s="113">
        <f>SUMIFS('S&amp;L Data'!AA2:AA500,'S&amp;L Data'!$G2:$G500,"Toll Highways (Govt. Business)")</f>
        <v>-178045</v>
      </c>
      <c r="Q46" s="113">
        <f>SUMIFS('S&amp;L Data'!AB2:AB500,'S&amp;L Data'!$G2:$G500,"Toll Highways (Govt. Business)")</f>
        <v>-159940</v>
      </c>
      <c r="R46" s="113">
        <f>SUMIFS('S&amp;L Data'!AC2:AC500,'S&amp;L Data'!$G2:$G500,"Toll Highways (Govt. Business)")</f>
        <v>-337292</v>
      </c>
      <c r="S46" s="113">
        <f>SUMIFS('S&amp;L Data'!AD2:AD500,'S&amp;L Data'!$G2:$G500,"Toll Highways (Govt. Business)")</f>
        <v>-362871</v>
      </c>
      <c r="T46" s="113">
        <f>SUMIFS('S&amp;L Data'!AE2:AE500,'S&amp;L Data'!$G2:$G500,"Toll Highways (Govt. Business)")</f>
        <v>-392993</v>
      </c>
      <c r="U46" s="113">
        <f>SUMIFS('S&amp;L Data'!AF2:AF500,'S&amp;L Data'!$G2:$G500,"Toll Highways (Govt. Business)")</f>
        <v>-784648</v>
      </c>
      <c r="V46" s="113">
        <f>SUMIFS('S&amp;L Data'!AG2:AG500,'S&amp;L Data'!$G2:$G500,"Toll Highways (Govt. Business)")</f>
        <v>-181827</v>
      </c>
      <c r="W46" s="113">
        <f>SUMIFS('S&amp;L Data'!AH2:AH500,'S&amp;L Data'!$G2:$G500,"Toll Highways (Govt. Business)")</f>
        <v>304865</v>
      </c>
      <c r="X46" s="113">
        <f>SUMIFS('S&amp;L Data'!AI2:AI500,'S&amp;L Data'!$G2:$G500,"Toll Highways (Govt. Business)")</f>
        <v>631748</v>
      </c>
      <c r="Y46" s="113">
        <f>SUMIFS('S&amp;L Data'!AJ2:AJ500,'S&amp;L Data'!$G2:$G500,"Toll Highways (Govt. Business)")</f>
        <v>1472487</v>
      </c>
      <c r="Z46" s="113">
        <f>SUMIFS('S&amp;L Data'!AK2:AK500,'S&amp;L Data'!$G2:$G500,"Toll Highways (Govt. Business)")</f>
        <v>2162849</v>
      </c>
      <c r="AA46" s="113">
        <f>SUMIFS('S&amp;L Data'!AL2:AL500,'S&amp;L Data'!$G2:$G500,"Toll Highways (Govt. Business)")</f>
        <v>1226060</v>
      </c>
      <c r="AB46" s="113">
        <f>SUMIFS('S&amp;L Data'!AM2:AM500,'S&amp;L Data'!$G2:$G500,"Toll Highways (Govt. Business)")</f>
        <v>-56833</v>
      </c>
      <c r="AC46" s="113">
        <f>SUMIFS('S&amp;L Data'!AN2:AN500,'S&amp;L Data'!$G2:$G500,"Toll Highways (Govt. Business)")</f>
        <v>-5601545</v>
      </c>
      <c r="AD46" s="113">
        <f>SUMIFS('S&amp;L Data'!AO2:AO500,'S&amp;L Data'!$G2:$G500,"Toll Highways (Govt. Business)")</f>
        <v>1119585</v>
      </c>
      <c r="AE46" s="113">
        <f>SUMIFS('S&amp;L Data'!AP2:AP500,'S&amp;L Data'!$G2:$G500,"Toll Highways (Govt. Business)")</f>
        <v>4845418</v>
      </c>
      <c r="AF46" s="113">
        <f>SUMIFS('S&amp;L Data'!AQ2:AQ500,'S&amp;L Data'!$G2:$G500,"Toll Highways (Govt. Business)")</f>
        <v>1446936</v>
      </c>
      <c r="AG46" s="113">
        <f>SUMIFS('S&amp;L Data'!AR2:AR500,'S&amp;L Data'!$G2:$G500,"Toll Highways (Govt. Business)")</f>
        <v>1561670</v>
      </c>
      <c r="AH46" s="113">
        <f>SUMIFS('S&amp;L Data'!AS2:AS500,'S&amp;L Data'!$G2:$G500,"Toll Highways (Govt. Business)")</f>
        <v>-270906</v>
      </c>
      <c r="AI46" s="113">
        <f>SUMIFS('S&amp;L Data'!AT2:AT500,'S&amp;L Data'!$G2:$G500,"Toll Highways (Govt. Business)")</f>
        <v>760982</v>
      </c>
      <c r="AJ46" s="113">
        <f>SUMIFS('S&amp;L Data'!AU2:AU500,'S&amp;L Data'!$G2:$G500,"Toll Highways (Govt. Business)")</f>
        <v>-1071034</v>
      </c>
      <c r="AK46" s="113">
        <f>SUMIFS('S&amp;L Data'!AV2:AV500,'S&amp;L Data'!$G2:$G500,"Toll Highways (Govt. Business)")</f>
        <v>-1088168</v>
      </c>
    </row>
    <row r="47" spans="1:37" outlineLevel="4">
      <c r="A47" s="22" t="str">
        <f>B44</f>
        <v>Highway Transportation</v>
      </c>
      <c r="B47" s="31" t="s">
        <v>280</v>
      </c>
      <c r="C47" s="113">
        <f>SUMIFS('S&amp;L Data'!N2:N500,'S&amp;L Data'!$F2:$F500,"Parking Facilities (Govt. Business)")</f>
        <v>0</v>
      </c>
      <c r="D47" s="113">
        <f>SUMIFS('S&amp;L Data'!O2:O500,'S&amp;L Data'!$F2:$F500,"Parking Facilities (Govt. Business)")</f>
        <v>0</v>
      </c>
      <c r="E47" s="113">
        <f>SUMIFS('S&amp;L Data'!P2:P500,'S&amp;L Data'!$F2:$F500,"Parking Facilities (Govt. Business)")</f>
        <v>0</v>
      </c>
      <c r="F47" s="113">
        <f>SUMIFS('S&amp;L Data'!Q2:Q500,'S&amp;L Data'!$F2:$F500,"Parking Facilities (Govt. Business)")</f>
        <v>0</v>
      </c>
      <c r="G47" s="113">
        <f>SUMIFS('S&amp;L Data'!R2:R500,'S&amp;L Data'!$F2:$F500,"Parking Facilities (Govt. Business)")</f>
        <v>0</v>
      </c>
      <c r="H47" s="113">
        <f>SUMIFS('S&amp;L Data'!S2:S500,'S&amp;L Data'!$F2:$F500,"Parking Facilities (Govt. Business)")</f>
        <v>0</v>
      </c>
      <c r="I47" s="113">
        <f>SUMIFS('S&amp;L Data'!T2:T500,'S&amp;L Data'!$F2:$F500,"Parking Facilities (Govt. Business)")</f>
        <v>0</v>
      </c>
      <c r="J47" s="113">
        <f>SUMIFS('S&amp;L Data'!U2:U500,'S&amp;L Data'!$F2:$F500,"Parking Facilities (Govt. Business)")</f>
        <v>0</v>
      </c>
      <c r="K47" s="113">
        <f>SUMIFS('S&amp;L Data'!V2:V500,'S&amp;L Data'!$F2:$F500,"Parking Facilities (Govt. Business)")</f>
        <v>0</v>
      </c>
      <c r="L47" s="113">
        <f>SUMIFS('S&amp;L Data'!W2:W500,'S&amp;L Data'!$F2:$F500,"Parking Facilities (Govt. Business)")</f>
        <v>0</v>
      </c>
      <c r="M47" s="113">
        <f>SUMIFS('S&amp;L Data'!X2:X500,'S&amp;L Data'!$F2:$F500,"Parking Facilities (Govt. Business)")</f>
        <v>0</v>
      </c>
      <c r="N47" s="113">
        <f>SUMIFS('S&amp;L Data'!Y2:Y500,'S&amp;L Data'!$F2:$F500,"Parking Facilities (Govt. Business)")</f>
        <v>0</v>
      </c>
      <c r="O47" s="113">
        <f>SUMIFS('S&amp;L Data'!Z2:Z500,'S&amp;L Data'!$F2:$F500,"Parking Facilities (Govt. Business)")</f>
        <v>0</v>
      </c>
      <c r="P47" s="113">
        <f>SUMIFS('S&amp;L Data'!AA2:AA500,'S&amp;L Data'!$F2:$F500,"Parking Facilities (Govt. Business)")</f>
        <v>0</v>
      </c>
      <c r="Q47" s="113">
        <f>SUMIFS('S&amp;L Data'!AB2:AB500,'S&amp;L Data'!$F2:$F500,"Parking Facilities (Govt. Business)")</f>
        <v>0</v>
      </c>
      <c r="R47" s="113">
        <f>SUMIFS('S&amp;L Data'!AC2:AC500,'S&amp;L Data'!$F2:$F500,"Parking Facilities (Govt. Business)")</f>
        <v>0</v>
      </c>
      <c r="S47" s="113">
        <f>SUMIFS('S&amp;L Data'!AD2:AD500,'S&amp;L Data'!$F2:$F500,"Parking Facilities (Govt. Business)")</f>
        <v>0</v>
      </c>
      <c r="T47" s="113">
        <f>SUMIFS('S&amp;L Data'!AE2:AE500,'S&amp;L Data'!$F2:$F500,"Parking Facilities (Govt. Business)")</f>
        <v>0</v>
      </c>
      <c r="U47" s="113">
        <f>SUMIFS('S&amp;L Data'!AF2:AF500,'S&amp;L Data'!$F2:$F500,"Parking Facilities (Govt. Business)")</f>
        <v>0</v>
      </c>
      <c r="V47" s="113">
        <f>SUMIFS('S&amp;L Data'!AG2:AG500,'S&amp;L Data'!$F2:$F500,"Parking Facilities (Govt. Business)")</f>
        <v>0</v>
      </c>
      <c r="W47" s="113">
        <f>SUMIFS('S&amp;L Data'!AH2:AH500,'S&amp;L Data'!$F2:$F500,"Parking Facilities (Govt. Business)")</f>
        <v>0</v>
      </c>
      <c r="X47" s="113">
        <f>SUMIFS('S&amp;L Data'!AI2:AI500,'S&amp;L Data'!$F2:$F500,"Parking Facilities (Govt. Business)")</f>
        <v>0</v>
      </c>
      <c r="Y47" s="113">
        <f>SUMIFS('S&amp;L Data'!AJ2:AJ500,'S&amp;L Data'!$F2:$F500,"Parking Facilities (Govt. Business)")</f>
        <v>0</v>
      </c>
      <c r="Z47" s="113">
        <f>SUMIFS('S&amp;L Data'!AK2:AK500,'S&amp;L Data'!$F2:$F500,"Parking Facilities (Govt. Business)")</f>
        <v>0</v>
      </c>
      <c r="AA47" s="113">
        <f>SUMIFS('S&amp;L Data'!AL2:AL500,'S&amp;L Data'!$F2:$F500,"Parking Facilities (Govt. Business)")</f>
        <v>0</v>
      </c>
      <c r="AB47" s="113">
        <f>SUMIFS('S&amp;L Data'!AM2:AM500,'S&amp;L Data'!$F2:$F500,"Parking Facilities (Govt. Business)")</f>
        <v>0</v>
      </c>
      <c r="AC47" s="113">
        <f>SUMIFS('S&amp;L Data'!AN2:AN500,'S&amp;L Data'!$F2:$F500,"Parking Facilities (Govt. Business)")</f>
        <v>0</v>
      </c>
      <c r="AD47" s="113">
        <f>SUMIFS('S&amp;L Data'!AO2:AO500,'S&amp;L Data'!$F2:$F500,"Parking Facilities (Govt. Business)")</f>
        <v>0</v>
      </c>
      <c r="AE47" s="113">
        <f>SUMIFS('S&amp;L Data'!AP2:AP500,'S&amp;L Data'!$F2:$F500,"Parking Facilities (Govt. Business)")</f>
        <v>0</v>
      </c>
      <c r="AF47" s="113">
        <f>SUMIFS('S&amp;L Data'!AQ2:AQ500,'S&amp;L Data'!$F2:$F500,"Parking Facilities (Govt. Business)")</f>
        <v>0</v>
      </c>
      <c r="AG47" s="113">
        <f>SUMIFS('S&amp;L Data'!AR2:AR500,'S&amp;L Data'!$F2:$F500,"Parking Facilities (Govt. Business)")</f>
        <v>0</v>
      </c>
      <c r="AH47" s="113">
        <f>SUMIFS('S&amp;L Data'!AS2:AS500,'S&amp;L Data'!$F2:$F500,"Parking Facilities (Govt. Business)")</f>
        <v>0</v>
      </c>
      <c r="AI47" s="113">
        <f>SUMIFS('S&amp;L Data'!AT2:AT500,'S&amp;L Data'!$F2:$F500,"Parking Facilities (Govt. Business)")</f>
        <v>0</v>
      </c>
      <c r="AJ47" s="113">
        <f>SUMIFS('S&amp;L Data'!AU2:AU500,'S&amp;L Data'!$F2:$F500,"Parking Facilities (Govt. Business)")</f>
        <v>0</v>
      </c>
      <c r="AK47" s="113">
        <f>SUMIFS('S&amp;L Data'!AV2:AV500,'S&amp;L Data'!$F2:$F500,"Parking Facilities (Govt. Business)")</f>
        <v>0</v>
      </c>
    </row>
    <row r="48" spans="1:37" outlineLevel="3">
      <c r="A48" s="22" t="str">
        <f>B42</f>
        <v>Transportation and Transportation Safety</v>
      </c>
      <c r="B48" s="29" t="s">
        <v>278</v>
      </c>
      <c r="C48" s="113">
        <f>SUMIFS('S&amp;L Data'!N2:N500,'S&amp;L Data'!$F2:$F500,"Railroad Transportation")</f>
        <v>5248720</v>
      </c>
      <c r="D48" s="113">
        <f>SUMIFS('S&amp;L Data'!O2:O500,'S&amp;L Data'!$F2:$F500,"Railroad Transportation")</f>
        <v>6588902</v>
      </c>
      <c r="E48" s="113">
        <f>SUMIFS('S&amp;L Data'!P2:P500,'S&amp;L Data'!$F2:$F500,"Railroad Transportation")</f>
        <v>7642847</v>
      </c>
      <c r="F48" s="113">
        <f>SUMIFS('S&amp;L Data'!Q2:Q500,'S&amp;L Data'!$F2:$F500,"Railroad Transportation")</f>
        <v>8779652</v>
      </c>
      <c r="G48" s="113">
        <f>SUMIFS('S&amp;L Data'!R2:R500,'S&amp;L Data'!$F2:$F500,"Railroad Transportation")</f>
        <v>9273434</v>
      </c>
      <c r="H48" s="113">
        <f>SUMIFS('S&amp;L Data'!S2:S500,'S&amp;L Data'!$F2:$F500,"Railroad Transportation")</f>
        <v>9375561</v>
      </c>
      <c r="I48" s="113">
        <f>SUMIFS('S&amp;L Data'!T2:T500,'S&amp;L Data'!$F2:$F500,"Railroad Transportation")</f>
        <v>9967547</v>
      </c>
      <c r="J48" s="113">
        <f>SUMIFS('S&amp;L Data'!U2:U500,'S&amp;L Data'!$F2:$F500,"Railroad Transportation")</f>
        <v>10638656</v>
      </c>
      <c r="K48" s="113">
        <f>SUMIFS('S&amp;L Data'!V2:V500,'S&amp;L Data'!$F2:$F500,"Railroad Transportation")</f>
        <v>11242502</v>
      </c>
      <c r="L48" s="113">
        <f>SUMIFS('S&amp;L Data'!W2:W500,'S&amp;L Data'!$F2:$F500,"Railroad Transportation")</f>
        <v>11764153</v>
      </c>
      <c r="M48" s="113">
        <f>SUMIFS('S&amp;L Data'!X2:X500,'S&amp;L Data'!$F2:$F500,"Railroad Transportation")</f>
        <v>13177189</v>
      </c>
      <c r="N48" s="113">
        <f>SUMIFS('S&amp;L Data'!Y2:Y500,'S&amp;L Data'!$F2:$F500,"Railroad Transportation")</f>
        <v>14220076</v>
      </c>
      <c r="O48" s="113">
        <f>SUMIFS('S&amp;L Data'!Z2:Z500,'S&amp;L Data'!$F2:$F500,"Railroad Transportation")</f>
        <v>15596186</v>
      </c>
      <c r="P48" s="113">
        <f>SUMIFS('S&amp;L Data'!AA2:AA500,'S&amp;L Data'!$F2:$F500,"Railroad Transportation")</f>
        <v>14933696</v>
      </c>
      <c r="Q48" s="113">
        <f>SUMIFS('S&amp;L Data'!AB2:AB500,'S&amp;L Data'!$F2:$F500,"Railroad Transportation")</f>
        <v>17442558</v>
      </c>
      <c r="R48" s="113">
        <f>SUMIFS('S&amp;L Data'!AC2:AC500,'S&amp;L Data'!$F2:$F500,"Railroad Transportation")</f>
        <v>18662195</v>
      </c>
      <c r="S48" s="113">
        <f>SUMIFS('S&amp;L Data'!AD2:AD500,'S&amp;L Data'!$F2:$F500,"Railroad Transportation")</f>
        <v>18434491</v>
      </c>
      <c r="T48" s="113">
        <f>SUMIFS('S&amp;L Data'!AE2:AE500,'S&amp;L Data'!$F2:$F500,"Railroad Transportation")</f>
        <v>18391187</v>
      </c>
      <c r="U48" s="113">
        <f>SUMIFS('S&amp;L Data'!AF2:AF500,'S&amp;L Data'!$F2:$F500,"Railroad Transportation")</f>
        <v>19319130</v>
      </c>
      <c r="V48" s="113">
        <f>SUMIFS('S&amp;L Data'!AG2:AG500,'S&amp;L Data'!$F2:$F500,"Railroad Transportation")</f>
        <v>20076522</v>
      </c>
      <c r="W48" s="113">
        <f>SUMIFS('S&amp;L Data'!AH2:AH500,'S&amp;L Data'!$F2:$F500,"Railroad Transportation")</f>
        <v>22917774</v>
      </c>
      <c r="X48" s="113">
        <f>SUMIFS('S&amp;L Data'!AI2:AI500,'S&amp;L Data'!$F2:$F500,"Railroad Transportation")</f>
        <v>23392012</v>
      </c>
      <c r="Y48" s="113">
        <f>SUMIFS('S&amp;L Data'!AJ2:AJ500,'S&amp;L Data'!$F2:$F500,"Railroad Transportation")</f>
        <v>27573942</v>
      </c>
      <c r="Z48" s="113">
        <f>SUMIFS('S&amp;L Data'!AK2:AK500,'S&amp;L Data'!$F2:$F500,"Railroad Transportation")</f>
        <v>31570462</v>
      </c>
      <c r="AA48" s="113">
        <f>SUMIFS('S&amp;L Data'!AL2:AL500,'S&amp;L Data'!$F2:$F500,"Railroad Transportation")</f>
        <v>33267571</v>
      </c>
      <c r="AB48" s="113">
        <f>SUMIFS('S&amp;L Data'!AM2:AM500,'S&amp;L Data'!$F2:$F500,"Railroad Transportation")</f>
        <v>32589976</v>
      </c>
      <c r="AC48" s="113">
        <f>SUMIFS('S&amp;L Data'!AN2:AN500,'S&amp;L Data'!$F2:$F500,"Railroad Transportation")</f>
        <v>33726304</v>
      </c>
      <c r="AD48" s="113">
        <f>SUMIFS('S&amp;L Data'!AO2:AO500,'S&amp;L Data'!$F2:$F500,"Railroad Transportation")</f>
        <v>34861299</v>
      </c>
      <c r="AE48" s="113">
        <f>SUMIFS('S&amp;L Data'!AP2:AP500,'S&amp;L Data'!$F2:$F500,"Railroad Transportation")</f>
        <v>37914967</v>
      </c>
      <c r="AF48" s="113">
        <f>SUMIFS('S&amp;L Data'!AQ2:AQ500,'S&amp;L Data'!$F2:$F500,"Railroad Transportation")</f>
        <v>43714726</v>
      </c>
      <c r="AG48" s="113">
        <f>SUMIFS('S&amp;L Data'!AR2:AR500,'S&amp;L Data'!$F2:$F500,"Railroad Transportation")</f>
        <v>44999082</v>
      </c>
      <c r="AH48" s="113">
        <f>SUMIFS('S&amp;L Data'!AS2:AS500,'S&amp;L Data'!$F2:$F500,"Railroad Transportation")</f>
        <v>44633892</v>
      </c>
      <c r="AI48" s="113">
        <f>SUMIFS('S&amp;L Data'!AT2:AT500,'S&amp;L Data'!$F2:$F500,"Railroad Transportation")</f>
        <v>46035124</v>
      </c>
      <c r="AJ48" s="113">
        <f>SUMIFS('S&amp;L Data'!AU2:AU500,'S&amp;L Data'!$F2:$F500,"Railroad Transportation")</f>
        <v>47653410</v>
      </c>
      <c r="AK48" s="113">
        <f>SUMIFS('S&amp;L Data'!AV2:AV500,'S&amp;L Data'!$F2:$F500,"Railroad Transportation")</f>
        <v>51128629</v>
      </c>
    </row>
    <row r="49" spans="1:37" outlineLevel="3">
      <c r="A49" s="22" t="str">
        <f>B42</f>
        <v>Transportation and Transportation Safety</v>
      </c>
      <c r="B49" s="29" t="s">
        <v>281</v>
      </c>
      <c r="C49" s="113">
        <f>SUMIFS('S&amp;L Data'!N2:N500,'S&amp;L Data'!$F2:$F500,"Water Transportation")</f>
        <v>347535</v>
      </c>
      <c r="D49" s="113">
        <f>SUMIFS('S&amp;L Data'!O2:O500,'S&amp;L Data'!$F2:$F500,"Water Transportation")</f>
        <v>604402</v>
      </c>
      <c r="E49" s="113">
        <f>SUMIFS('S&amp;L Data'!P2:P500,'S&amp;L Data'!$F2:$F500,"Water Transportation")</f>
        <v>407481</v>
      </c>
      <c r="F49" s="113">
        <f>SUMIFS('S&amp;L Data'!Q2:Q500,'S&amp;L Data'!$F2:$F500,"Water Transportation")</f>
        <v>471581</v>
      </c>
      <c r="G49" s="113">
        <f>SUMIFS('S&amp;L Data'!R2:R500,'S&amp;L Data'!$F2:$F500,"Water Transportation")</f>
        <v>256442</v>
      </c>
      <c r="H49" s="113">
        <f>SUMIFS('S&amp;L Data'!S2:S500,'S&amp;L Data'!$F2:$F500,"Water Transportation")</f>
        <v>351481</v>
      </c>
      <c r="I49" s="113">
        <f>SUMIFS('S&amp;L Data'!T2:T500,'S&amp;L Data'!$F2:$F500,"Water Transportation")</f>
        <v>495520</v>
      </c>
      <c r="J49" s="113">
        <f>SUMIFS('S&amp;L Data'!U2:U500,'S&amp;L Data'!$F2:$F500,"Water Transportation")</f>
        <v>438792</v>
      </c>
      <c r="K49" s="113">
        <f>SUMIFS('S&amp;L Data'!V2:V500,'S&amp;L Data'!$F2:$F500,"Water Transportation")</f>
        <v>427926</v>
      </c>
      <c r="L49" s="113">
        <f>SUMIFS('S&amp;L Data'!W2:W500,'S&amp;L Data'!$F2:$F500,"Water Transportation")</f>
        <v>507181</v>
      </c>
      <c r="M49" s="113">
        <f>SUMIFS('S&amp;L Data'!X2:X500,'S&amp;L Data'!$F2:$F500,"Water Transportation")</f>
        <v>480765</v>
      </c>
      <c r="N49" s="113">
        <f>SUMIFS('S&amp;L Data'!Y2:Y500,'S&amp;L Data'!$F2:$F500,"Water Transportation")</f>
        <v>513861</v>
      </c>
      <c r="O49" s="113">
        <f>SUMIFS('S&amp;L Data'!Z2:Z500,'S&amp;L Data'!$F2:$F500,"Water Transportation")</f>
        <v>267830</v>
      </c>
      <c r="P49" s="113">
        <f>SUMIFS('S&amp;L Data'!AA2:AA500,'S&amp;L Data'!$F2:$F500,"Water Transportation")</f>
        <v>429550</v>
      </c>
      <c r="Q49" s="113">
        <f>SUMIFS('S&amp;L Data'!AB2:AB500,'S&amp;L Data'!$F2:$F500,"Water Transportation")</f>
        <v>843159</v>
      </c>
      <c r="R49" s="113">
        <f>SUMIFS('S&amp;L Data'!AC2:AC500,'S&amp;L Data'!$F2:$F500,"Water Transportation")</f>
        <v>386116</v>
      </c>
      <c r="S49" s="113">
        <f>SUMIFS('S&amp;L Data'!AD2:AD500,'S&amp;L Data'!$F2:$F500,"Water Transportation")</f>
        <v>446391</v>
      </c>
      <c r="T49" s="113">
        <f>SUMIFS('S&amp;L Data'!AE2:AE500,'S&amp;L Data'!$F2:$F500,"Water Transportation")</f>
        <v>710051</v>
      </c>
      <c r="U49" s="113">
        <f>SUMIFS('S&amp;L Data'!AF2:AF500,'S&amp;L Data'!$F2:$F500,"Water Transportation")</f>
        <v>545485</v>
      </c>
      <c r="V49" s="113">
        <f>SUMIFS('S&amp;L Data'!AG2:AG500,'S&amp;L Data'!$F2:$F500,"Water Transportation")</f>
        <v>715372</v>
      </c>
      <c r="W49" s="113">
        <f>SUMIFS('S&amp;L Data'!AH2:AH500,'S&amp;L Data'!$F2:$F500,"Water Transportation")</f>
        <v>633842</v>
      </c>
      <c r="X49" s="113">
        <f>SUMIFS('S&amp;L Data'!AI2:AI500,'S&amp;L Data'!$F2:$F500,"Water Transportation")</f>
        <v>3287358</v>
      </c>
      <c r="Y49" s="113">
        <f>SUMIFS('S&amp;L Data'!AJ2:AJ500,'S&amp;L Data'!$F2:$F500,"Water Transportation")</f>
        <v>885917</v>
      </c>
      <c r="Z49" s="113">
        <f>SUMIFS('S&amp;L Data'!AK2:AK500,'S&amp;L Data'!$F2:$F500,"Water Transportation")</f>
        <v>-365679</v>
      </c>
      <c r="AA49" s="113">
        <f>SUMIFS('S&amp;L Data'!AL2:AL500,'S&amp;L Data'!$F2:$F500,"Water Transportation")</f>
        <v>939841</v>
      </c>
      <c r="AB49" s="113">
        <f>SUMIFS('S&amp;L Data'!AM2:AM500,'S&amp;L Data'!$F2:$F500,"Water Transportation")</f>
        <v>502301</v>
      </c>
      <c r="AC49" s="113">
        <f>SUMIFS('S&amp;L Data'!AN2:AN500,'S&amp;L Data'!$F2:$F500,"Water Transportation")</f>
        <v>578425</v>
      </c>
      <c r="AD49" s="113">
        <f>SUMIFS('S&amp;L Data'!AO2:AO500,'S&amp;L Data'!$F2:$F500,"Water Transportation")</f>
        <v>894202</v>
      </c>
      <c r="AE49" s="113">
        <f>SUMIFS('S&amp;L Data'!AP2:AP500,'S&amp;L Data'!$F2:$F500,"Water Transportation")</f>
        <v>780631</v>
      </c>
      <c r="AF49" s="113">
        <f>SUMIFS('S&amp;L Data'!AQ2:AQ500,'S&amp;L Data'!$F2:$F500,"Water Transportation")</f>
        <v>1331739</v>
      </c>
      <c r="AG49" s="113">
        <f>SUMIFS('S&amp;L Data'!AR2:AR500,'S&amp;L Data'!$F2:$F500,"Water Transportation")</f>
        <v>1382453</v>
      </c>
      <c r="AH49" s="113">
        <f>SUMIFS('S&amp;L Data'!AS2:AS500,'S&amp;L Data'!$F2:$F500,"Water Transportation")</f>
        <v>906743</v>
      </c>
      <c r="AI49" s="113">
        <f>SUMIFS('S&amp;L Data'!AT2:AT500,'S&amp;L Data'!$F2:$F500,"Water Transportation")</f>
        <v>871603</v>
      </c>
      <c r="AJ49" s="113">
        <f>SUMIFS('S&amp;L Data'!AU2:AU500,'S&amp;L Data'!$F2:$F500,"Water Transportation")</f>
        <v>809051</v>
      </c>
      <c r="AK49" s="113">
        <f>SUMIFS('S&amp;L Data'!AV2:AV500,'S&amp;L Data'!$F2:$F500,"Water Transportation")</f>
        <v>1271128</v>
      </c>
    </row>
    <row r="50" spans="1:37" outlineLevel="2">
      <c r="A50" s="22" t="str">
        <f>B41</f>
        <v>Economy and Infrastructure</v>
      </c>
      <c r="B50" s="28" t="s">
        <v>65</v>
      </c>
      <c r="C50" s="113">
        <f>SUMIFS('S&amp;L Data'!N2:N500,'S&amp;L Data'!$E2:$E500,"General Commerce")</f>
        <v>-1640255</v>
      </c>
      <c r="D50" s="113">
        <f>SUMIFS('S&amp;L Data'!O2:O500,'S&amp;L Data'!$E2:$E500,"General Commerce")</f>
        <v>-1768544</v>
      </c>
      <c r="E50" s="113">
        <f>SUMIFS('S&amp;L Data'!P2:P500,'S&amp;L Data'!$E2:$E500,"General Commerce")</f>
        <v>-2139255</v>
      </c>
      <c r="F50" s="113">
        <f>SUMIFS('S&amp;L Data'!Q2:Q500,'S&amp;L Data'!$E2:$E500,"General Commerce")</f>
        <v>-2510485</v>
      </c>
      <c r="G50" s="113">
        <f>SUMIFS('S&amp;L Data'!R2:R500,'S&amp;L Data'!$E2:$E500,"General Commerce")</f>
        <v>-3193020</v>
      </c>
      <c r="H50" s="113">
        <f>SUMIFS('S&amp;L Data'!S2:S500,'S&amp;L Data'!$E2:$E500,"General Commerce")</f>
        <v>-3955228</v>
      </c>
      <c r="I50" s="113">
        <f>SUMIFS('S&amp;L Data'!T2:T500,'S&amp;L Data'!$E2:$E500,"General Commerce")</f>
        <v>-5158832</v>
      </c>
      <c r="J50" s="113">
        <f>SUMIFS('S&amp;L Data'!U2:U500,'S&amp;L Data'!$E2:$E500,"General Commerce")</f>
        <v>-5270071</v>
      </c>
      <c r="K50" s="113">
        <f>SUMIFS('S&amp;L Data'!V2:V500,'S&amp;L Data'!$E2:$E500,"General Commerce")</f>
        <v>-6081444</v>
      </c>
      <c r="L50" s="113">
        <f>SUMIFS('S&amp;L Data'!W2:W500,'S&amp;L Data'!$E2:$E500,"General Commerce")</f>
        <v>-7496832</v>
      </c>
      <c r="M50" s="113">
        <f>SUMIFS('S&amp;L Data'!X2:X500,'S&amp;L Data'!$E2:$E500,"General Commerce")</f>
        <v>-8004121</v>
      </c>
      <c r="N50" s="113">
        <f>SUMIFS('S&amp;L Data'!Y2:Y500,'S&amp;L Data'!$E2:$E500,"General Commerce")</f>
        <v>-8245841</v>
      </c>
      <c r="O50" s="113">
        <f>SUMIFS('S&amp;L Data'!Z2:Z500,'S&amp;L Data'!$E2:$E500,"General Commerce")</f>
        <v>-8420356</v>
      </c>
      <c r="P50" s="113">
        <f>SUMIFS('S&amp;L Data'!AA2:AA500,'S&amp;L Data'!$E2:$E500,"General Commerce")</f>
        <v>-9473334</v>
      </c>
      <c r="Q50" s="113">
        <f>SUMIFS('S&amp;L Data'!AB2:AB500,'S&amp;L Data'!$E2:$E500,"General Commerce")</f>
        <v>-10429043</v>
      </c>
      <c r="R50" s="113">
        <f>SUMIFS('S&amp;L Data'!AC2:AC500,'S&amp;L Data'!$E2:$E500,"General Commerce")</f>
        <v>-11468727</v>
      </c>
      <c r="S50" s="113">
        <f>SUMIFS('S&amp;L Data'!AD2:AD500,'S&amp;L Data'!$E2:$E500,"General Commerce")</f>
        <v>-12469662</v>
      </c>
      <c r="T50" s="113">
        <f>SUMIFS('S&amp;L Data'!AE2:AE500,'S&amp;L Data'!$E2:$E500,"General Commerce")</f>
        <v>-12829256</v>
      </c>
      <c r="U50" s="113">
        <f>SUMIFS('S&amp;L Data'!AF2:AF500,'S&amp;L Data'!$E2:$E500,"General Commerce")</f>
        <v>-12913971</v>
      </c>
      <c r="V50" s="113">
        <f>SUMIFS('S&amp;L Data'!AG2:AG500,'S&amp;L Data'!$E2:$E500,"General Commerce")</f>
        <v>-13077708</v>
      </c>
      <c r="W50" s="113">
        <f>SUMIFS('S&amp;L Data'!AH2:AH500,'S&amp;L Data'!$E2:$E500,"General Commerce")</f>
        <v>-12934837</v>
      </c>
      <c r="X50" s="113">
        <f>SUMIFS('S&amp;L Data'!AI2:AI500,'S&amp;L Data'!$E2:$E500,"General Commerce")</f>
        <v>-12866441</v>
      </c>
      <c r="Y50" s="113">
        <f>SUMIFS('S&amp;L Data'!AJ2:AJ500,'S&amp;L Data'!$E2:$E500,"General Commerce")</f>
        <v>-14093200</v>
      </c>
      <c r="Z50" s="113">
        <f>SUMIFS('S&amp;L Data'!AK2:AK500,'S&amp;L Data'!$E2:$E500,"General Commerce")</f>
        <v>-15282028</v>
      </c>
      <c r="AA50" s="113">
        <f>SUMIFS('S&amp;L Data'!AL2:AL500,'S&amp;L Data'!$E2:$E500,"General Commerce")</f>
        <v>-16621084</v>
      </c>
      <c r="AB50" s="113">
        <f>SUMIFS('S&amp;L Data'!AM2:AM500,'S&amp;L Data'!$E2:$E500,"General Commerce")</f>
        <v>-13708905</v>
      </c>
      <c r="AC50" s="113">
        <f>SUMIFS('S&amp;L Data'!AN2:AN500,'S&amp;L Data'!$E2:$E500,"General Commerce")</f>
        <v>-14409840</v>
      </c>
      <c r="AD50" s="113">
        <f>SUMIFS('S&amp;L Data'!AO2:AO500,'S&amp;L Data'!$E2:$E500,"General Commerce")</f>
        <v>-20365175</v>
      </c>
      <c r="AE50" s="113">
        <f>SUMIFS('S&amp;L Data'!AP2:AP500,'S&amp;L Data'!$E2:$E500,"General Commerce")</f>
        <v>-22262718</v>
      </c>
      <c r="AF50" s="113">
        <f>SUMIFS('S&amp;L Data'!AQ2:AQ500,'S&amp;L Data'!$E2:$E500,"General Commerce")</f>
        <v>-20652997</v>
      </c>
      <c r="AG50" s="113">
        <f>SUMIFS('S&amp;L Data'!AR2:AR500,'S&amp;L Data'!$E2:$E500,"General Commerce")</f>
        <v>-21439724</v>
      </c>
      <c r="AH50" s="113">
        <f>SUMIFS('S&amp;L Data'!AS2:AS500,'S&amp;L Data'!$E2:$E500,"General Commerce")</f>
        <v>-22006363</v>
      </c>
      <c r="AI50" s="113">
        <f>SUMIFS('S&amp;L Data'!AT2:AT500,'S&amp;L Data'!$E2:$E500,"General Commerce")</f>
        <v>-23145358</v>
      </c>
      <c r="AJ50" s="113">
        <f>SUMIFS('S&amp;L Data'!AU2:AU500,'S&amp;L Data'!$E2:$E500,"General Commerce")</f>
        <v>-24075303</v>
      </c>
      <c r="AK50" s="113">
        <f>SUMIFS('S&amp;L Data'!AV2:AV500,'S&amp;L Data'!$E2:$E500,"General Commerce")</f>
        <v>-24410085</v>
      </c>
    </row>
    <row r="51" spans="1:37" outlineLevel="2">
      <c r="A51" s="22" t="str">
        <f>B50</f>
        <v>General Commerce</v>
      </c>
      <c r="B51" s="29" t="s">
        <v>282</v>
      </c>
      <c r="C51" s="113">
        <f>SUMIFS('S&amp;L Data'!N2:N500,'S&amp;L Data'!$F2:$F500,"Liquor Stores (Govt. Business)")</f>
        <v>-609147</v>
      </c>
      <c r="D51" s="113">
        <f>SUMIFS('S&amp;L Data'!O2:O500,'S&amp;L Data'!$F2:$F500,"Liquor Stores (Govt. Business)")</f>
        <v>-552265</v>
      </c>
      <c r="E51" s="113">
        <f>SUMIFS('S&amp;L Data'!P2:P500,'S&amp;L Data'!$F2:$F500,"Liquor Stores (Govt. Business)")</f>
        <v>-501232</v>
      </c>
      <c r="F51" s="113">
        <f>SUMIFS('S&amp;L Data'!Q2:Q500,'S&amp;L Data'!$F2:$F500,"Liquor Stores (Govt. Business)")</f>
        <v>-494696</v>
      </c>
      <c r="G51" s="113">
        <f>SUMIFS('S&amp;L Data'!R2:R500,'S&amp;L Data'!$F2:$F500,"Liquor Stores (Govt. Business)")</f>
        <v>-498802</v>
      </c>
      <c r="H51" s="113">
        <f>SUMIFS('S&amp;L Data'!S2:S500,'S&amp;L Data'!$F2:$F500,"Liquor Stores (Govt. Business)")</f>
        <v>-412536</v>
      </c>
      <c r="I51" s="113">
        <f>SUMIFS('S&amp;L Data'!T2:T500,'S&amp;L Data'!$F2:$F500,"Liquor Stores (Govt. Business)")</f>
        <v>-445981</v>
      </c>
      <c r="J51" s="113">
        <f>SUMIFS('S&amp;L Data'!U2:U500,'S&amp;L Data'!$F2:$F500,"Liquor Stores (Govt. Business)")</f>
        <v>-422666</v>
      </c>
      <c r="K51" s="113">
        <f>SUMIFS('S&amp;L Data'!V2:V500,'S&amp;L Data'!$F2:$F500,"Liquor Stores (Govt. Business)")</f>
        <v>-452898</v>
      </c>
      <c r="L51" s="113">
        <f>SUMIFS('S&amp;L Data'!W2:W500,'S&amp;L Data'!$F2:$F500,"Liquor Stores (Govt. Business)")</f>
        <v>-443669</v>
      </c>
      <c r="M51" s="113">
        <f>SUMIFS('S&amp;L Data'!X2:X500,'S&amp;L Data'!$F2:$F500,"Liquor Stores (Govt. Business)")</f>
        <v>-514759</v>
      </c>
      <c r="N51" s="113">
        <f>SUMIFS('S&amp;L Data'!Y2:Y500,'S&amp;L Data'!$F2:$F500,"Liquor Stores (Govt. Business)")</f>
        <v>-566462</v>
      </c>
      <c r="O51" s="113">
        <f>SUMIFS('S&amp;L Data'!Z2:Z500,'S&amp;L Data'!$F2:$F500,"Liquor Stores (Govt. Business)")</f>
        <v>-541830</v>
      </c>
      <c r="P51" s="113">
        <f>SUMIFS('S&amp;L Data'!AA2:AA500,'S&amp;L Data'!$F2:$F500,"Liquor Stores (Govt. Business)")</f>
        <v>-579776</v>
      </c>
      <c r="Q51" s="113">
        <f>SUMIFS('S&amp;L Data'!AB2:AB500,'S&amp;L Data'!$F2:$F500,"Liquor Stores (Govt. Business)")</f>
        <v>-621920</v>
      </c>
      <c r="R51" s="113">
        <f>SUMIFS('S&amp;L Data'!AC2:AC500,'S&amp;L Data'!$F2:$F500,"Liquor Stores (Govt. Business)")</f>
        <v>-616976</v>
      </c>
      <c r="S51" s="113">
        <f>SUMIFS('S&amp;L Data'!AD2:AD500,'S&amp;L Data'!$F2:$F500,"Liquor Stores (Govt. Business)")</f>
        <v>-633520</v>
      </c>
      <c r="T51" s="113">
        <f>SUMIFS('S&amp;L Data'!AE2:AE500,'S&amp;L Data'!$F2:$F500,"Liquor Stores (Govt. Business)")</f>
        <v>-659134</v>
      </c>
      <c r="U51" s="113">
        <f>SUMIFS('S&amp;L Data'!AF2:AF500,'S&amp;L Data'!$F2:$F500,"Liquor Stores (Govt. Business)")</f>
        <v>-761322</v>
      </c>
      <c r="V51" s="113">
        <f>SUMIFS('S&amp;L Data'!AG2:AG500,'S&amp;L Data'!$F2:$F500,"Liquor Stores (Govt. Business)")</f>
        <v>-698142</v>
      </c>
      <c r="W51" s="113">
        <f>SUMIFS('S&amp;L Data'!AH2:AH500,'S&amp;L Data'!$F2:$F500,"Liquor Stores (Govt. Business)")</f>
        <v>-790982</v>
      </c>
      <c r="X51" s="113">
        <f>SUMIFS('S&amp;L Data'!AI2:AI500,'S&amp;L Data'!$F2:$F500,"Liquor Stores (Govt. Business)")</f>
        <v>-886172</v>
      </c>
      <c r="Y51" s="113">
        <f>SUMIFS('S&amp;L Data'!AJ2:AJ500,'S&amp;L Data'!$F2:$F500,"Liquor Stores (Govt. Business)")</f>
        <v>-882285</v>
      </c>
      <c r="Z51" s="113">
        <f>SUMIFS('S&amp;L Data'!AK2:AK500,'S&amp;L Data'!$F2:$F500,"Liquor Stores (Govt. Business)")</f>
        <v>-936255</v>
      </c>
      <c r="AA51" s="113">
        <f>SUMIFS('S&amp;L Data'!AL2:AL500,'S&amp;L Data'!$F2:$F500,"Liquor Stores (Govt. Business)")</f>
        <v>-1099705</v>
      </c>
      <c r="AB51" s="113">
        <f>SUMIFS('S&amp;L Data'!AM2:AM500,'S&amp;L Data'!$F2:$F500,"Liquor Stores (Govt. Business)")</f>
        <v>-1105067</v>
      </c>
      <c r="AC51" s="113">
        <f>SUMIFS('S&amp;L Data'!AN2:AN500,'S&amp;L Data'!$F2:$F500,"Liquor Stores (Govt. Business)")</f>
        <v>-1213166</v>
      </c>
      <c r="AD51" s="113">
        <f>SUMIFS('S&amp;L Data'!AO2:AO500,'S&amp;L Data'!$F2:$F500,"Liquor Stores (Govt. Business)")</f>
        <v>-1220428</v>
      </c>
      <c r="AE51" s="113">
        <f>SUMIFS('S&amp;L Data'!AP2:AP500,'S&amp;L Data'!$F2:$F500,"Liquor Stores (Govt. Business)")</f>
        <v>-1311677</v>
      </c>
      <c r="AF51" s="113">
        <f>SUMIFS('S&amp;L Data'!AQ2:AQ500,'S&amp;L Data'!$F2:$F500,"Liquor Stores (Govt. Business)")</f>
        <v>-1298926</v>
      </c>
      <c r="AG51" s="113">
        <f>SUMIFS('S&amp;L Data'!AR2:AR500,'S&amp;L Data'!$F2:$F500,"Liquor Stores (Govt. Business)")</f>
        <v>-1357638</v>
      </c>
      <c r="AH51" s="113">
        <f>SUMIFS('S&amp;L Data'!AS2:AS500,'S&amp;L Data'!$F2:$F500,"Liquor Stores (Govt. Business)")</f>
        <v>-1376209</v>
      </c>
      <c r="AI51" s="113">
        <f>SUMIFS('S&amp;L Data'!AT2:AT500,'S&amp;L Data'!$F2:$F500,"Liquor Stores (Govt. Business)")</f>
        <v>-1650804</v>
      </c>
      <c r="AJ51" s="113">
        <f>SUMIFS('S&amp;L Data'!AU2:AU500,'S&amp;L Data'!$F2:$F500,"Liquor Stores (Govt. Business)")</f>
        <v>-1842862</v>
      </c>
      <c r="AK51" s="113">
        <f>SUMIFS('S&amp;L Data'!AV2:AV500,'S&amp;L Data'!$F2:$F500,"Liquor Stores (Govt. Business)")</f>
        <v>-1619002</v>
      </c>
    </row>
    <row r="52" spans="1:37" outlineLevel="2">
      <c r="A52" s="22" t="str">
        <f>B50</f>
        <v>General Commerce</v>
      </c>
      <c r="B52" s="29" t="s">
        <v>283</v>
      </c>
      <c r="C52" s="113">
        <f>SUMIFS('S&amp;L Data'!N2:N500,'S&amp;L Data'!$F2:$F500,"Lotteries (Govt. Business)")</f>
        <v>-1029796</v>
      </c>
      <c r="D52" s="113">
        <f>SUMIFS('S&amp;L Data'!O2:O500,'S&amp;L Data'!$F2:$F500,"Lotteries (Govt. Business)")</f>
        <v>-1216762</v>
      </c>
      <c r="E52" s="113">
        <f>SUMIFS('S&amp;L Data'!P2:P500,'S&amp;L Data'!$F2:$F500,"Lotteries (Govt. Business)")</f>
        <v>-1630330</v>
      </c>
      <c r="F52" s="113">
        <f>SUMIFS('S&amp;L Data'!Q2:Q500,'S&amp;L Data'!$F2:$F500,"Lotteries (Govt. Business)")</f>
        <v>-2027139</v>
      </c>
      <c r="G52" s="113">
        <f>SUMIFS('S&amp;L Data'!R2:R500,'S&amp;L Data'!$F2:$F500,"Lotteries (Govt. Business)")</f>
        <v>-2684522</v>
      </c>
      <c r="H52" s="113">
        <f>SUMIFS('S&amp;L Data'!S2:S500,'S&amp;L Data'!$F2:$F500,"Lotteries (Govt. Business)")</f>
        <v>-3523411</v>
      </c>
      <c r="I52" s="113">
        <f>SUMIFS('S&amp;L Data'!T2:T500,'S&amp;L Data'!$F2:$F500,"Lotteries (Govt. Business)")</f>
        <v>-4690624</v>
      </c>
      <c r="J52" s="113">
        <f>SUMIFS('S&amp;L Data'!U2:U500,'S&amp;L Data'!$F2:$F500,"Lotteries (Govt. Business)")</f>
        <v>-4842790</v>
      </c>
      <c r="K52" s="113">
        <f>SUMIFS('S&amp;L Data'!V2:V500,'S&amp;L Data'!$F2:$F500,"Lotteries (Govt. Business)")</f>
        <v>-5654352</v>
      </c>
      <c r="L52" s="113">
        <f>SUMIFS('S&amp;L Data'!W2:W500,'S&amp;L Data'!$F2:$F500,"Lotteries (Govt. Business)")</f>
        <v>-7059265</v>
      </c>
      <c r="M52" s="113">
        <f>SUMIFS('S&amp;L Data'!X2:X500,'S&amp;L Data'!$F2:$F500,"Lotteries (Govt. Business)")</f>
        <v>-7485308</v>
      </c>
      <c r="N52" s="113">
        <f>SUMIFS('S&amp;L Data'!Y2:Y500,'S&amp;L Data'!$F2:$F500,"Lotteries (Govt. Business)")</f>
        <v>-7664880</v>
      </c>
      <c r="O52" s="113">
        <f>SUMIFS('S&amp;L Data'!Z2:Z500,'S&amp;L Data'!$F2:$F500,"Lotteries (Govt. Business)")</f>
        <v>-7844161</v>
      </c>
      <c r="P52" s="113">
        <f>SUMIFS('S&amp;L Data'!AA2:AA500,'S&amp;L Data'!$F2:$F500,"Lotteries (Govt. Business)")</f>
        <v>-8826523</v>
      </c>
      <c r="Q52" s="113">
        <f>SUMIFS('S&amp;L Data'!AB2:AB500,'S&amp;L Data'!$F2:$F500,"Lotteries (Govt. Business)")</f>
        <v>-9794293</v>
      </c>
      <c r="R52" s="113">
        <f>SUMIFS('S&amp;L Data'!AC2:AC500,'S&amp;L Data'!$F2:$F500,"Lotteries (Govt. Business)")</f>
        <v>-10809971</v>
      </c>
      <c r="S52" s="113">
        <f>SUMIFS('S&amp;L Data'!AD2:AD500,'S&amp;L Data'!$F2:$F500,"Lotteries (Govt. Business)")</f>
        <v>-11811550</v>
      </c>
      <c r="T52" s="113">
        <f>SUMIFS('S&amp;L Data'!AE2:AE500,'S&amp;L Data'!$F2:$F500,"Lotteries (Govt. Business)")</f>
        <v>-12100219</v>
      </c>
      <c r="U52" s="113">
        <f>SUMIFS('S&amp;L Data'!AF2:AF500,'S&amp;L Data'!$F2:$F500,"Lotteries (Govt. Business)")</f>
        <v>-12095577</v>
      </c>
      <c r="V52" s="113">
        <f>SUMIFS('S&amp;L Data'!AG2:AG500,'S&amp;L Data'!$F2:$F500,"Lotteries (Govt. Business)")</f>
        <v>-12324788</v>
      </c>
      <c r="W52" s="113">
        <f>SUMIFS('S&amp;L Data'!AH2:AH500,'S&amp;L Data'!$F2:$F500,"Lotteries (Govt. Business)")</f>
        <v>-12156586</v>
      </c>
      <c r="X52" s="113">
        <f>SUMIFS('S&amp;L Data'!AI2:AI500,'S&amp;L Data'!$F2:$F500,"Lotteries (Govt. Business)")</f>
        <v>-12022163</v>
      </c>
      <c r="Y52" s="113">
        <f>SUMIFS('S&amp;L Data'!AJ2:AJ500,'S&amp;L Data'!$F2:$F500,"Lotteries (Govt. Business)")</f>
        <v>-13263260</v>
      </c>
      <c r="Z52" s="113">
        <f>SUMIFS('S&amp;L Data'!AK2:AK500,'S&amp;L Data'!$F2:$F500,"Lotteries (Govt. Business)")</f>
        <v>-13853904</v>
      </c>
      <c r="AA52" s="113">
        <f>SUMIFS('S&amp;L Data'!AL2:AL500,'S&amp;L Data'!$F2:$F500,"Lotteries (Govt. Business)")</f>
        <v>-15099262</v>
      </c>
      <c r="AB52" s="113">
        <f>SUMIFS('S&amp;L Data'!AM2:AM500,'S&amp;L Data'!$F2:$F500,"Lotteries (Govt. Business)")</f>
        <v>-15675487</v>
      </c>
      <c r="AC52" s="113">
        <f>SUMIFS('S&amp;L Data'!AN2:AN500,'S&amp;L Data'!$F2:$F500,"Lotteries (Govt. Business)")</f>
        <v>-16995089</v>
      </c>
      <c r="AD52" s="113">
        <f>SUMIFS('S&amp;L Data'!AO2:AO500,'S&amp;L Data'!$F2:$F500,"Lotteries (Govt. Business)")</f>
        <v>-17749751</v>
      </c>
      <c r="AE52" s="113">
        <f>SUMIFS('S&amp;L Data'!AP2:AP500,'S&amp;L Data'!$F2:$F500,"Lotteries (Govt. Business)")</f>
        <v>-18252970</v>
      </c>
      <c r="AF52" s="113">
        <f>SUMIFS('S&amp;L Data'!AQ2:AQ500,'S&amp;L Data'!$F2:$F500,"Lotteries (Govt. Business)")</f>
        <v>-17741160</v>
      </c>
      <c r="AG52" s="113">
        <f>SUMIFS('S&amp;L Data'!AR2:AR500,'S&amp;L Data'!$F2:$F500,"Lotteries (Govt. Business)")</f>
        <v>-17815384</v>
      </c>
      <c r="AH52" s="113">
        <f>SUMIFS('S&amp;L Data'!AS2:AS500,'S&amp;L Data'!$F2:$F500,"Lotteries (Govt. Business)")</f>
        <v>-18227379</v>
      </c>
      <c r="AI52" s="113">
        <f>SUMIFS('S&amp;L Data'!AT2:AT500,'S&amp;L Data'!$F2:$F500,"Lotteries (Govt. Business)")</f>
        <v>-19736863</v>
      </c>
      <c r="AJ52" s="113">
        <f>SUMIFS('S&amp;L Data'!AU2:AU500,'S&amp;L Data'!$F2:$F500,"Lotteries (Govt. Business)")</f>
        <v>-20418338</v>
      </c>
      <c r="AK52" s="113">
        <f>SUMIFS('S&amp;L Data'!AV2:AV500,'S&amp;L Data'!$F2:$F500,"Lotteries (Govt. Business)")</f>
        <v>-20987366</v>
      </c>
    </row>
    <row r="53" spans="1:37" outlineLevel="2">
      <c r="A53" s="22" t="str">
        <f>B50</f>
        <v>General Commerce</v>
      </c>
      <c r="B53" s="29" t="s">
        <v>290</v>
      </c>
      <c r="C53" s="113">
        <f>SUMIFS('S&amp;L Data'!N2:N500,'S&amp;L Data'!$F2:$F500,"Other Govt. Businesses")</f>
        <v>-1312</v>
      </c>
      <c r="D53" s="113">
        <f>SUMIFS('S&amp;L Data'!O2:O500,'S&amp;L Data'!$F2:$F500,"Other Govt. Businesses")</f>
        <v>483</v>
      </c>
      <c r="E53" s="113">
        <f>SUMIFS('S&amp;L Data'!P2:P500,'S&amp;L Data'!$F2:$F500,"Other Govt. Businesses")</f>
        <v>-7693</v>
      </c>
      <c r="F53" s="113">
        <f>SUMIFS('S&amp;L Data'!Q2:Q500,'S&amp;L Data'!$F2:$F500,"Other Govt. Businesses")</f>
        <v>11350</v>
      </c>
      <c r="G53" s="113">
        <f>SUMIFS('S&amp;L Data'!R2:R500,'S&amp;L Data'!$F2:$F500,"Other Govt. Businesses")</f>
        <v>-9696</v>
      </c>
      <c r="H53" s="113">
        <f>SUMIFS('S&amp;L Data'!S2:S500,'S&amp;L Data'!$F2:$F500,"Other Govt. Businesses")</f>
        <v>-19281</v>
      </c>
      <c r="I53" s="113">
        <f>SUMIFS('S&amp;L Data'!T2:T500,'S&amp;L Data'!$F2:$F500,"Other Govt. Businesses")</f>
        <v>-22227</v>
      </c>
      <c r="J53" s="113">
        <f>SUMIFS('S&amp;L Data'!U2:U500,'S&amp;L Data'!$F2:$F500,"Other Govt. Businesses")</f>
        <v>-4615</v>
      </c>
      <c r="K53" s="113">
        <f>SUMIFS('S&amp;L Data'!V2:V500,'S&amp;L Data'!$F2:$F500,"Other Govt. Businesses")</f>
        <v>25806</v>
      </c>
      <c r="L53" s="113">
        <f>SUMIFS('S&amp;L Data'!W2:W500,'S&amp;L Data'!$F2:$F500,"Other Govt. Businesses")</f>
        <v>6102</v>
      </c>
      <c r="M53" s="113">
        <f>SUMIFS('S&amp;L Data'!X2:X500,'S&amp;L Data'!$F2:$F500,"Other Govt. Businesses")</f>
        <v>-4054</v>
      </c>
      <c r="N53" s="113">
        <f>SUMIFS('S&amp;L Data'!Y2:Y500,'S&amp;L Data'!$F2:$F500,"Other Govt. Businesses")</f>
        <v>-14499</v>
      </c>
      <c r="O53" s="113">
        <f>SUMIFS('S&amp;L Data'!Z2:Z500,'S&amp;L Data'!$F2:$F500,"Other Govt. Businesses")</f>
        <v>-34365</v>
      </c>
      <c r="P53" s="113">
        <f>SUMIFS('S&amp;L Data'!AA2:AA500,'S&amp;L Data'!$F2:$F500,"Other Govt. Businesses")</f>
        <v>-67035</v>
      </c>
      <c r="Q53" s="113">
        <f>SUMIFS('S&amp;L Data'!AB2:AB500,'S&amp;L Data'!$F2:$F500,"Other Govt. Businesses")</f>
        <v>-12830</v>
      </c>
      <c r="R53" s="113">
        <f>SUMIFS('S&amp;L Data'!AC2:AC500,'S&amp;L Data'!$F2:$F500,"Other Govt. Businesses")</f>
        <v>-41780</v>
      </c>
      <c r="S53" s="113">
        <f>SUMIFS('S&amp;L Data'!AD2:AD500,'S&amp;L Data'!$F2:$F500,"Other Govt. Businesses")</f>
        <v>-24592</v>
      </c>
      <c r="T53" s="113">
        <f>SUMIFS('S&amp;L Data'!AE2:AE500,'S&amp;L Data'!$F2:$F500,"Other Govt. Businesses")</f>
        <v>-69903</v>
      </c>
      <c r="U53" s="113">
        <f>SUMIFS('S&amp;L Data'!AF2:AF500,'S&amp;L Data'!$F2:$F500,"Other Govt. Businesses")</f>
        <v>-57072</v>
      </c>
      <c r="V53" s="113">
        <f>SUMIFS('S&amp;L Data'!AG2:AG500,'S&amp;L Data'!$F2:$F500,"Other Govt. Businesses")</f>
        <v>-54778</v>
      </c>
      <c r="W53" s="113">
        <f>SUMIFS('S&amp;L Data'!AH2:AH500,'S&amp;L Data'!$F2:$F500,"Other Govt. Businesses")</f>
        <v>12731</v>
      </c>
      <c r="X53" s="113">
        <f>SUMIFS('S&amp;L Data'!AI2:AI500,'S&amp;L Data'!$F2:$F500,"Other Govt. Businesses")</f>
        <v>41894</v>
      </c>
      <c r="Y53" s="113">
        <f>SUMIFS('S&amp;L Data'!AJ2:AJ500,'S&amp;L Data'!$F2:$F500,"Other Govt. Businesses")</f>
        <v>52345</v>
      </c>
      <c r="Z53" s="113">
        <f>SUMIFS('S&amp;L Data'!AK2:AK500,'S&amp;L Data'!$F2:$F500,"Other Govt. Businesses")</f>
        <v>-491869</v>
      </c>
      <c r="AA53" s="113">
        <f>SUMIFS('S&amp;L Data'!AL2:AL500,'S&amp;L Data'!$F2:$F500,"Other Govt. Businesses")</f>
        <v>-422117</v>
      </c>
      <c r="AB53" s="113">
        <f>SUMIFS('S&amp;L Data'!AM2:AM500,'S&amp;L Data'!$F2:$F500,"Other Govt. Businesses")</f>
        <v>3071649</v>
      </c>
      <c r="AC53" s="113">
        <f>SUMIFS('S&amp;L Data'!AN2:AN500,'S&amp;L Data'!$F2:$F500,"Other Govt. Businesses")</f>
        <v>3798415</v>
      </c>
      <c r="AD53" s="113">
        <f>SUMIFS('S&amp;L Data'!AO2:AO500,'S&amp;L Data'!$F2:$F500,"Other Govt. Businesses")</f>
        <v>-1394996</v>
      </c>
      <c r="AE53" s="113">
        <f>SUMIFS('S&amp;L Data'!AP2:AP500,'S&amp;L Data'!$F2:$F500,"Other Govt. Businesses")</f>
        <v>-2698071</v>
      </c>
      <c r="AF53" s="113">
        <f>SUMIFS('S&amp;L Data'!AQ2:AQ500,'S&amp;L Data'!$F2:$F500,"Other Govt. Businesses")</f>
        <v>-1612911</v>
      </c>
      <c r="AG53" s="113">
        <f>SUMIFS('S&amp;L Data'!AR2:AR500,'S&amp;L Data'!$F2:$F500,"Other Govt. Businesses")</f>
        <v>-2266702</v>
      </c>
      <c r="AH53" s="113">
        <f>SUMIFS('S&amp;L Data'!AS2:AS500,'S&amp;L Data'!$F2:$F500,"Other Govt. Businesses")</f>
        <v>-2402775</v>
      </c>
      <c r="AI53" s="113">
        <f>SUMIFS('S&amp;L Data'!AT2:AT500,'S&amp;L Data'!$F2:$F500,"Other Govt. Businesses")</f>
        <v>-1757691</v>
      </c>
      <c r="AJ53" s="113">
        <f>SUMIFS('S&amp;L Data'!AU2:AU500,'S&amp;L Data'!$F2:$F500,"Other Govt. Businesses")</f>
        <v>-1814103</v>
      </c>
      <c r="AK53" s="113">
        <f>SUMIFS('S&amp;L Data'!AV2:AV500,'S&amp;L Data'!$F2:$F500,"Other Govt. Businesses")</f>
        <v>-1803717</v>
      </c>
    </row>
    <row r="54" spans="1:37" outlineLevel="1">
      <c r="A54" s="22" t="str">
        <f>B40</f>
        <v>Promote the General Welfare</v>
      </c>
      <c r="B54" s="27" t="s">
        <v>235</v>
      </c>
      <c r="C54" s="113">
        <f>SUMIFS('S&amp;L Data'!N2:N500,'S&amp;L Data'!$D2:$D500,"Health")</f>
        <v>13738432</v>
      </c>
      <c r="D54" s="113">
        <f>SUMIFS('S&amp;L Data'!O2:O500,'S&amp;L Data'!$D2:$D500,"Health")</f>
        <v>14378187</v>
      </c>
      <c r="E54" s="113">
        <f>SUMIFS('S&amp;L Data'!P2:P500,'S&amp;L Data'!$D2:$D500,"Health")</f>
        <v>16047607</v>
      </c>
      <c r="F54" s="113">
        <f>SUMIFS('S&amp;L Data'!Q2:Q500,'S&amp;L Data'!$D2:$D500,"Health")</f>
        <v>18059194</v>
      </c>
      <c r="G54" s="113">
        <f>SUMIFS('S&amp;L Data'!R2:R500,'S&amp;L Data'!$D2:$D500,"Health")</f>
        <v>18840388</v>
      </c>
      <c r="H54" s="113">
        <f>SUMIFS('S&amp;L Data'!S2:S500,'S&amp;L Data'!$D2:$D500,"Health")</f>
        <v>21114799</v>
      </c>
      <c r="I54" s="113">
        <f>SUMIFS('S&amp;L Data'!T2:T500,'S&amp;L Data'!$D2:$D500,"Health")</f>
        <v>23058250</v>
      </c>
      <c r="J54" s="113">
        <f>SUMIFS('S&amp;L Data'!U2:U500,'S&amp;L Data'!$D2:$D500,"Health")</f>
        <v>24520055</v>
      </c>
      <c r="K54" s="113">
        <f>SUMIFS('S&amp;L Data'!V2:V500,'S&amp;L Data'!$D2:$D500,"Health")</f>
        <v>27657942</v>
      </c>
      <c r="L54" s="113">
        <f>SUMIFS('S&amp;L Data'!W2:W500,'S&amp;L Data'!$D2:$D500,"Health")</f>
        <v>29988935</v>
      </c>
      <c r="M54" s="113">
        <f>SUMIFS('S&amp;L Data'!X2:X500,'S&amp;L Data'!$D2:$D500,"Health")</f>
        <v>33571397</v>
      </c>
      <c r="N54" s="113">
        <f>SUMIFS('S&amp;L Data'!Y2:Y500,'S&amp;L Data'!$D2:$D500,"Health")</f>
        <v>36022643</v>
      </c>
      <c r="O54" s="113">
        <f>SUMIFS('S&amp;L Data'!Z2:Z500,'S&amp;L Data'!$D2:$D500,"Health")</f>
        <v>34813713</v>
      </c>
      <c r="P54" s="113">
        <f>SUMIFS('S&amp;L Data'!AA2:AA500,'S&amp;L Data'!$D2:$D500,"Health")</f>
        <v>37436673</v>
      </c>
      <c r="Q54" s="113">
        <f>SUMIFS('S&amp;L Data'!AB2:AB500,'S&amp;L Data'!$D2:$D500,"Health")</f>
        <v>38204857</v>
      </c>
      <c r="R54" s="113">
        <f>SUMIFS('S&amp;L Data'!AC2:AC500,'S&amp;L Data'!$D2:$D500,"Health")</f>
        <v>40557436</v>
      </c>
      <c r="S54" s="113">
        <f>SUMIFS('S&amp;L Data'!AD2:AD500,'S&amp;L Data'!$D2:$D500,"Health")</f>
        <v>41994821</v>
      </c>
      <c r="T54" s="113">
        <f>SUMIFS('S&amp;L Data'!AE2:AE500,'S&amp;L Data'!$D2:$D500,"Health")</f>
        <v>42431601</v>
      </c>
      <c r="U54" s="113">
        <f>SUMIFS('S&amp;L Data'!AF2:AF500,'S&amp;L Data'!$D2:$D500,"Health")</f>
        <v>46163721</v>
      </c>
      <c r="V54" s="113">
        <f>SUMIFS('S&amp;L Data'!AG2:AG500,'S&amp;L Data'!$D2:$D500,"Health")</f>
        <v>49845757</v>
      </c>
      <c r="W54" s="113">
        <f>SUMIFS('S&amp;L Data'!AH2:AH500,'S&amp;L Data'!$D2:$D500,"Health")</f>
        <v>55318466</v>
      </c>
      <c r="X54" s="113">
        <f>SUMIFS('S&amp;L Data'!AI2:AI500,'S&amp;L Data'!$D2:$D500,"Health")</f>
        <v>56109890</v>
      </c>
      <c r="Y54" s="113">
        <f>SUMIFS('S&amp;L Data'!AJ2:AJ500,'S&amp;L Data'!$D2:$D500,"Health")</f>
        <v>62362103</v>
      </c>
      <c r="Z54" s="113">
        <f>SUMIFS('S&amp;L Data'!AK2:AK500,'S&amp;L Data'!$D2:$D500,"Health")</f>
        <v>65303217</v>
      </c>
      <c r="AA54" s="113">
        <f>SUMIFS('S&amp;L Data'!AL2:AL500,'S&amp;L Data'!$D2:$D500,"Health")</f>
        <v>68440739</v>
      </c>
      <c r="AB54" s="113">
        <f>SUMIFS('S&amp;L Data'!AM2:AM500,'S&amp;L Data'!$D2:$D500,"Health")</f>
        <v>70913677</v>
      </c>
      <c r="AC54" s="113">
        <f>SUMIFS('S&amp;L Data'!AN2:AN500,'S&amp;L Data'!$D2:$D500,"Health")</f>
        <v>74969588</v>
      </c>
      <c r="AD54" s="113">
        <f>SUMIFS('S&amp;L Data'!AO2:AO500,'S&amp;L Data'!$D2:$D500,"Health")</f>
        <v>82270176</v>
      </c>
      <c r="AE54" s="113">
        <f>SUMIFS('S&amp;L Data'!AP2:AP500,'S&amp;L Data'!$D2:$D500,"Health")</f>
        <v>93825566</v>
      </c>
      <c r="AF54" s="113">
        <f>SUMIFS('S&amp;L Data'!AQ2:AQ500,'S&amp;L Data'!$D2:$D500,"Health")</f>
        <v>98537829</v>
      </c>
      <c r="AG54" s="113">
        <f>SUMIFS('S&amp;L Data'!AR2:AR500,'S&amp;L Data'!$D2:$D500,"Health")</f>
        <v>95101809</v>
      </c>
      <c r="AH54" s="113">
        <f>SUMIFS('S&amp;L Data'!AS2:AS500,'S&amp;L Data'!$D2:$D500,"Health")</f>
        <v>96989813</v>
      </c>
      <c r="AI54" s="113">
        <f>SUMIFS('S&amp;L Data'!AT2:AT500,'S&amp;L Data'!$D2:$D500,"Health")</f>
        <v>99154494</v>
      </c>
      <c r="AJ54" s="113">
        <f>SUMIFS('S&amp;L Data'!AU2:AU500,'S&amp;L Data'!$D2:$D500,"Health")</f>
        <v>97142571</v>
      </c>
      <c r="AK54" s="113">
        <f>SUMIFS('S&amp;L Data'!AV2:AV500,'S&amp;L Data'!$D2:$D500,"Health")</f>
        <v>102239055</v>
      </c>
    </row>
    <row r="55" spans="1:37" outlineLevel="2">
      <c r="A55" s="22" t="str">
        <f>B54</f>
        <v>Health (excludes Medicare/Medicaid)</v>
      </c>
      <c r="B55" s="28" t="s">
        <v>56</v>
      </c>
      <c r="C55" s="113">
        <f>SUMIFS('S&amp;L Data'!N2:N500,'S&amp;L Data'!$E2:$E500,"Public Health")</f>
        <v>8386679</v>
      </c>
      <c r="D55" s="113">
        <f>SUMIFS('S&amp;L Data'!O2:O500,'S&amp;L Data'!$E2:$E500,"Public Health")</f>
        <v>9770841</v>
      </c>
      <c r="E55" s="113">
        <f>SUMIFS('S&amp;L Data'!P2:P500,'S&amp;L Data'!$E2:$E500,"Public Health")</f>
        <v>10473389</v>
      </c>
      <c r="F55" s="113">
        <f>SUMIFS('S&amp;L Data'!Q2:Q500,'S&amp;L Data'!$E2:$E500,"Public Health")</f>
        <v>11298102</v>
      </c>
      <c r="G55" s="113">
        <f>SUMIFS('S&amp;L Data'!R2:R500,'S&amp;L Data'!$E2:$E500,"Public Health")</f>
        <v>12276521</v>
      </c>
      <c r="H55" s="113">
        <f>SUMIFS('S&amp;L Data'!S2:S500,'S&amp;L Data'!$E2:$E500,"Public Health")</f>
        <v>13710925</v>
      </c>
      <c r="I55" s="113">
        <f>SUMIFS('S&amp;L Data'!T2:T500,'S&amp;L Data'!$E2:$E500,"Public Health")</f>
        <v>15549541</v>
      </c>
      <c r="J55" s="113">
        <f>SUMIFS('S&amp;L Data'!U2:U500,'S&amp;L Data'!$E2:$E500,"Public Health")</f>
        <v>16903423</v>
      </c>
      <c r="K55" s="113">
        <f>SUMIFS('S&amp;L Data'!V2:V500,'S&amp;L Data'!$E2:$E500,"Public Health")</f>
        <v>18487825</v>
      </c>
      <c r="L55" s="113">
        <f>SUMIFS('S&amp;L Data'!W2:W500,'S&amp;L Data'!$E2:$E500,"Public Health")</f>
        <v>20684388</v>
      </c>
      <c r="M55" s="113">
        <f>SUMIFS('S&amp;L Data'!X2:X500,'S&amp;L Data'!$E2:$E500,"Public Health")</f>
        <v>24222735</v>
      </c>
      <c r="N55" s="113">
        <f>SUMIFS('S&amp;L Data'!Y2:Y500,'S&amp;L Data'!$E2:$E500,"Public Health")</f>
        <v>26705604</v>
      </c>
      <c r="O55" s="113">
        <f>SUMIFS('S&amp;L Data'!Z2:Z500,'S&amp;L Data'!$E2:$E500,"Public Health")</f>
        <v>29616547</v>
      </c>
      <c r="P55" s="113">
        <f>SUMIFS('S&amp;L Data'!AA2:AA500,'S&amp;L Data'!$E2:$E500,"Public Health")</f>
        <v>32290647</v>
      </c>
      <c r="Q55" s="113">
        <f>SUMIFS('S&amp;L Data'!AB2:AB500,'S&amp;L Data'!$E2:$E500,"Public Health")</f>
        <v>35328725</v>
      </c>
      <c r="R55" s="113">
        <f>SUMIFS('S&amp;L Data'!AC2:AC500,'S&amp;L Data'!$E2:$E500,"Public Health")</f>
        <v>38019973</v>
      </c>
      <c r="S55" s="113">
        <f>SUMIFS('S&amp;L Data'!AD2:AD500,'S&amp;L Data'!$E2:$E500,"Public Health")</f>
        <v>40165568</v>
      </c>
      <c r="T55" s="113">
        <f>SUMIFS('S&amp;L Data'!AE2:AE500,'S&amp;L Data'!$E2:$E500,"Public Health")</f>
        <v>42242162</v>
      </c>
      <c r="U55" s="113">
        <f>SUMIFS('S&amp;L Data'!AF2:AF500,'S&amp;L Data'!$E2:$E500,"Public Health")</f>
        <v>44390577</v>
      </c>
      <c r="V55" s="113">
        <f>SUMIFS('S&amp;L Data'!AG2:AG500,'S&amp;L Data'!$E2:$E500,"Public Health")</f>
        <v>47627722</v>
      </c>
      <c r="W55" s="113">
        <f>SUMIFS('S&amp;L Data'!AH2:AH500,'S&amp;L Data'!$E2:$E500,"Public Health")</f>
        <v>51365588</v>
      </c>
      <c r="X55" s="113">
        <f>SUMIFS('S&amp;L Data'!AI2:AI500,'S&amp;L Data'!$E2:$E500,"Public Health")</f>
        <v>53464954</v>
      </c>
      <c r="Y55" s="113">
        <f>SUMIFS('S&amp;L Data'!AJ2:AJ500,'S&amp;L Data'!$E2:$E500,"Public Health")</f>
        <v>59455759</v>
      </c>
      <c r="Z55" s="113">
        <f>SUMIFS('S&amp;L Data'!AK2:AK500,'S&amp;L Data'!$E2:$E500,"Public Health")</f>
        <v>61703413</v>
      </c>
      <c r="AA55" s="113">
        <f>SUMIFS('S&amp;L Data'!AL2:AL500,'S&amp;L Data'!$E2:$E500,"Public Health")</f>
        <v>64373318</v>
      </c>
      <c r="AB55" s="113">
        <f>SUMIFS('S&amp;L Data'!AM2:AM500,'S&amp;L Data'!$E2:$E500,"Public Health")</f>
        <v>66637076</v>
      </c>
      <c r="AC55" s="113">
        <f>SUMIFS('S&amp;L Data'!AN2:AN500,'S&amp;L Data'!$E2:$E500,"Public Health")</f>
        <v>69044659</v>
      </c>
      <c r="AD55" s="113">
        <f>SUMIFS('S&amp;L Data'!AO2:AO500,'S&amp;L Data'!$E2:$E500,"Public Health")</f>
        <v>74276735</v>
      </c>
      <c r="AE55" s="113">
        <f>SUMIFS('S&amp;L Data'!AP2:AP500,'S&amp;L Data'!$E2:$E500,"Public Health")</f>
        <v>79790721</v>
      </c>
      <c r="AF55" s="113">
        <f>SUMIFS('S&amp;L Data'!AQ2:AQ500,'S&amp;L Data'!$E2:$E500,"Public Health")</f>
        <v>83096261</v>
      </c>
      <c r="AG55" s="113">
        <f>SUMIFS('S&amp;L Data'!AR2:AR500,'S&amp;L Data'!$E2:$E500,"Public Health")</f>
        <v>81382671</v>
      </c>
      <c r="AH55" s="113">
        <f>SUMIFS('S&amp;L Data'!AS2:AS500,'S&amp;L Data'!$E2:$E500,"Public Health")</f>
        <v>82392437</v>
      </c>
      <c r="AI55" s="113">
        <f>SUMIFS('S&amp;L Data'!AT2:AT500,'S&amp;L Data'!$E2:$E500,"Public Health")</f>
        <v>84991898</v>
      </c>
      <c r="AJ55" s="113">
        <f>SUMIFS('S&amp;L Data'!AU2:AU500,'S&amp;L Data'!$E2:$E500,"Public Health")</f>
        <v>86510671</v>
      </c>
      <c r="AK55" s="113">
        <f>SUMIFS('S&amp;L Data'!AV2:AV500,'S&amp;L Data'!$E2:$E500,"Public Health")</f>
        <v>89733631</v>
      </c>
    </row>
    <row r="56" spans="1:37" outlineLevel="2">
      <c r="A56" s="22" t="str">
        <f>B54</f>
        <v>Health (excludes Medicare/Medicaid)</v>
      </c>
      <c r="B56" s="28" t="s">
        <v>284</v>
      </c>
      <c r="C56" s="113">
        <f>SUMIFS('S&amp;L Data'!N2:N500,'S&amp;L Data'!$F2:$F500,"Hospitals (Govt. Business)")</f>
        <v>5351753</v>
      </c>
      <c r="D56" s="113">
        <f>SUMIFS('S&amp;L Data'!O2:O500,'S&amp;L Data'!$F2:$F500,"Hospitals (Govt. Business)")</f>
        <v>4607346</v>
      </c>
      <c r="E56" s="113">
        <f>SUMIFS('S&amp;L Data'!P2:P500,'S&amp;L Data'!$F2:$F500,"Hospitals (Govt. Business)")</f>
        <v>5574218</v>
      </c>
      <c r="F56" s="113">
        <f>SUMIFS('S&amp;L Data'!Q2:Q500,'S&amp;L Data'!$F2:$F500,"Hospitals (Govt. Business)")</f>
        <v>6761092</v>
      </c>
      <c r="G56" s="113">
        <f>SUMIFS('S&amp;L Data'!R2:R500,'S&amp;L Data'!$F2:$F500,"Hospitals (Govt. Business)")</f>
        <v>6563867</v>
      </c>
      <c r="H56" s="113">
        <f>SUMIFS('S&amp;L Data'!S2:S500,'S&amp;L Data'!$F2:$F500,"Hospitals (Govt. Business)")</f>
        <v>7403874</v>
      </c>
      <c r="I56" s="113">
        <f>SUMIFS('S&amp;L Data'!T2:T500,'S&amp;L Data'!$F2:$F500,"Hospitals (Govt. Business)")</f>
        <v>7508709</v>
      </c>
      <c r="J56" s="113">
        <f>SUMIFS('S&amp;L Data'!U2:U500,'S&amp;L Data'!$F2:$F500,"Hospitals (Govt. Business)")</f>
        <v>7616632</v>
      </c>
      <c r="K56" s="113">
        <f>SUMIFS('S&amp;L Data'!V2:V500,'S&amp;L Data'!$F2:$F500,"Hospitals (Govt. Business)")</f>
        <v>9170117</v>
      </c>
      <c r="L56" s="113">
        <f>SUMIFS('S&amp;L Data'!W2:W500,'S&amp;L Data'!$F2:$F500,"Hospitals (Govt. Business)")</f>
        <v>9304547</v>
      </c>
      <c r="M56" s="113">
        <f>SUMIFS('S&amp;L Data'!X2:X500,'S&amp;L Data'!$F2:$F500,"Hospitals (Govt. Business)")</f>
        <v>9348662</v>
      </c>
      <c r="N56" s="113">
        <f>SUMIFS('S&amp;L Data'!Y2:Y500,'S&amp;L Data'!$F2:$F500,"Hospitals (Govt. Business)")</f>
        <v>9317039</v>
      </c>
      <c r="O56" s="113">
        <f>SUMIFS('S&amp;L Data'!Z2:Z500,'S&amp;L Data'!$F2:$F500,"Hospitals (Govt. Business)")</f>
        <v>5197166</v>
      </c>
      <c r="P56" s="113">
        <f>SUMIFS('S&amp;L Data'!AA2:AA500,'S&amp;L Data'!$F2:$F500,"Hospitals (Govt. Business)")</f>
        <v>5146026</v>
      </c>
      <c r="Q56" s="113">
        <f>SUMIFS('S&amp;L Data'!AB2:AB500,'S&amp;L Data'!$F2:$F500,"Hospitals (Govt. Business)")</f>
        <v>2876132</v>
      </c>
      <c r="R56" s="113">
        <f>SUMIFS('S&amp;L Data'!AC2:AC500,'S&amp;L Data'!$F2:$F500,"Hospitals (Govt. Business)")</f>
        <v>2537463</v>
      </c>
      <c r="S56" s="113">
        <f>SUMIFS('S&amp;L Data'!AD2:AD500,'S&amp;L Data'!$F2:$F500,"Hospitals (Govt. Business)")</f>
        <v>1829253</v>
      </c>
      <c r="T56" s="113">
        <f>SUMIFS('S&amp;L Data'!AE2:AE500,'S&amp;L Data'!$F2:$F500,"Hospitals (Govt. Business)")</f>
        <v>189439</v>
      </c>
      <c r="U56" s="113">
        <f>SUMIFS('S&amp;L Data'!AF2:AF500,'S&amp;L Data'!$F2:$F500,"Hospitals (Govt. Business)")</f>
        <v>1773144</v>
      </c>
      <c r="V56" s="113">
        <f>SUMIFS('S&amp;L Data'!AG2:AG500,'S&amp;L Data'!$F2:$F500,"Hospitals (Govt. Business)")</f>
        <v>2218035</v>
      </c>
      <c r="W56" s="113">
        <f>SUMIFS('S&amp;L Data'!AH2:AH500,'S&amp;L Data'!$F2:$F500,"Hospitals (Govt. Business)")</f>
        <v>3952878</v>
      </c>
      <c r="X56" s="113">
        <f>SUMIFS('S&amp;L Data'!AI2:AI500,'S&amp;L Data'!$F2:$F500,"Hospitals (Govt. Business)")</f>
        <v>2644936</v>
      </c>
      <c r="Y56" s="113">
        <f>SUMIFS('S&amp;L Data'!AJ2:AJ500,'S&amp;L Data'!$F2:$F500,"Hospitals (Govt. Business)")</f>
        <v>2906344</v>
      </c>
      <c r="Z56" s="113">
        <f>SUMIFS('S&amp;L Data'!AK2:AK500,'S&amp;L Data'!$F2:$F500,"Hospitals (Govt. Business)")</f>
        <v>3599804</v>
      </c>
      <c r="AA56" s="113">
        <f>SUMIFS('S&amp;L Data'!AL2:AL500,'S&amp;L Data'!$F2:$F500,"Hospitals (Govt. Business)")</f>
        <v>4067421</v>
      </c>
      <c r="AB56" s="113">
        <f>SUMIFS('S&amp;L Data'!AM2:AM500,'S&amp;L Data'!$F2:$F500,"Hospitals (Govt. Business)")</f>
        <v>4276601</v>
      </c>
      <c r="AC56" s="113">
        <f>SUMIFS('S&amp;L Data'!AN2:AN500,'S&amp;L Data'!$F2:$F500,"Hospitals (Govt. Business)")</f>
        <v>5924929</v>
      </c>
      <c r="AD56" s="113">
        <f>SUMIFS('S&amp;L Data'!AO2:AO500,'S&amp;L Data'!$F2:$F500,"Hospitals (Govt. Business)")</f>
        <v>7993441</v>
      </c>
      <c r="AE56" s="113">
        <f>SUMIFS('S&amp;L Data'!AP2:AP500,'S&amp;L Data'!$F2:$F500,"Hospitals (Govt. Business)")</f>
        <v>14034845</v>
      </c>
      <c r="AF56" s="113">
        <f>SUMIFS('S&amp;L Data'!AQ2:AQ500,'S&amp;L Data'!$F2:$F500,"Hospitals (Govt. Business)")</f>
        <v>15441568</v>
      </c>
      <c r="AG56" s="113">
        <f>SUMIFS('S&amp;L Data'!AR2:AR500,'S&amp;L Data'!$F2:$F500,"Hospitals (Govt. Business)")</f>
        <v>13719138</v>
      </c>
      <c r="AH56" s="113">
        <f>SUMIFS('S&amp;L Data'!AS2:AS500,'S&amp;L Data'!$F2:$F500,"Hospitals (Govt. Business)")</f>
        <v>14597376</v>
      </c>
      <c r="AI56" s="113">
        <f>SUMIFS('S&amp;L Data'!AT2:AT500,'S&amp;L Data'!$F2:$F500,"Hospitals (Govt. Business)")</f>
        <v>14162596</v>
      </c>
      <c r="AJ56" s="113">
        <f>SUMIFS('S&amp;L Data'!AU2:AU500,'S&amp;L Data'!$F2:$F500,"Hospitals (Govt. Business)")</f>
        <v>10631900</v>
      </c>
      <c r="AK56" s="113">
        <f>SUMIFS('S&amp;L Data'!AV2:AV500,'S&amp;L Data'!$F2:$F500,"Hospitals (Govt. Business)")</f>
        <v>12505424</v>
      </c>
    </row>
    <row r="57" spans="1:37" outlineLevel="1">
      <c r="A57" s="22" t="str">
        <f>B40</f>
        <v>Promote the General Welfare</v>
      </c>
      <c r="B57" s="27" t="s">
        <v>39</v>
      </c>
      <c r="C57" s="113">
        <f>SUMIFS('S&amp;L Data'!N2:N500,'S&amp;L Data'!$D2:$D500,"Standard of Living and Aid to the Disadvantaged")</f>
        <v>41036377</v>
      </c>
      <c r="D57" s="113">
        <f>SUMIFS('S&amp;L Data'!O2:O500,'S&amp;L Data'!$D2:$D500,"Standard of Living and Aid to the Disadvantaged")</f>
        <v>47152049</v>
      </c>
      <c r="E57" s="113">
        <f>SUMIFS('S&amp;L Data'!P2:P500,'S&amp;L Data'!$D2:$D500,"Standard of Living and Aid to the Disadvantaged")</f>
        <v>51143382</v>
      </c>
      <c r="F57" s="113">
        <f>SUMIFS('S&amp;L Data'!Q2:Q500,'S&amp;L Data'!$D2:$D500,"Standard of Living and Aid to the Disadvantaged")</f>
        <v>54122141</v>
      </c>
      <c r="G57" s="113">
        <f>SUMIFS('S&amp;L Data'!R2:R500,'S&amp;L Data'!$D2:$D500,"Standard of Living and Aid to the Disadvantaged")</f>
        <v>58904656</v>
      </c>
      <c r="H57" s="113">
        <f>SUMIFS('S&amp;L Data'!S2:S500,'S&amp;L Data'!$D2:$D500,"Standard of Living and Aid to the Disadvantaged")</f>
        <v>63107378</v>
      </c>
      <c r="I57" s="113">
        <f>SUMIFS('S&amp;L Data'!T2:T500,'S&amp;L Data'!$D2:$D500,"Standard of Living and Aid to the Disadvantaged")</f>
        <v>67816304</v>
      </c>
      <c r="J57" s="113">
        <f>SUMIFS('S&amp;L Data'!U2:U500,'S&amp;L Data'!$D2:$D500,"Standard of Living and Aid to the Disadvantaged")</f>
        <v>72744829</v>
      </c>
      <c r="K57" s="113">
        <f>SUMIFS('S&amp;L Data'!V2:V500,'S&amp;L Data'!$D2:$D500,"Standard of Living and Aid to the Disadvantaged")</f>
        <v>78966351</v>
      </c>
      <c r="L57" s="113">
        <f>SUMIFS('S&amp;L Data'!W2:W500,'S&amp;L Data'!$D2:$D500,"Standard of Living and Aid to the Disadvantaged")</f>
        <v>86758497</v>
      </c>
      <c r="M57" s="113">
        <f>SUMIFS('S&amp;L Data'!X2:X500,'S&amp;L Data'!$D2:$D500,"Standard of Living and Aid to the Disadvantaged")</f>
        <v>97475447</v>
      </c>
      <c r="N57" s="113">
        <f>SUMIFS('S&amp;L Data'!Y2:Y500,'S&amp;L Data'!$D2:$D500,"Standard of Living and Aid to the Disadvantaged")</f>
        <v>115643660</v>
      </c>
      <c r="O57" s="113">
        <f>SUMIFS('S&amp;L Data'!Z2:Z500,'S&amp;L Data'!$D2:$D500,"Standard of Living and Aid to the Disadvantaged")</f>
        <v>157601418</v>
      </c>
      <c r="P57" s="113">
        <f>SUMIFS('S&amp;L Data'!AA2:AA500,'S&amp;L Data'!$D2:$D500,"Standard of Living and Aid to the Disadvantaged")</f>
        <v>169728564</v>
      </c>
      <c r="Q57" s="113">
        <f>SUMIFS('S&amp;L Data'!AB2:AB500,'S&amp;L Data'!$D2:$D500,"Standard of Living and Aid to the Disadvantaged")</f>
        <v>182169545</v>
      </c>
      <c r="R57" s="113">
        <f>SUMIFS('S&amp;L Data'!AC2:AC500,'S&amp;L Data'!$D2:$D500,"Standard of Living and Aid to the Disadvantaged")</f>
        <v>193698359</v>
      </c>
      <c r="S57" s="113">
        <f>SUMIFS('S&amp;L Data'!AD2:AD500,'S&amp;L Data'!$D2:$D500,"Standard of Living and Aid to the Disadvantaged")</f>
        <v>194158213</v>
      </c>
      <c r="T57" s="113">
        <f>SUMIFS('S&amp;L Data'!AE2:AE500,'S&amp;L Data'!$D2:$D500,"Standard of Living and Aid to the Disadvantaged")</f>
        <v>198814531</v>
      </c>
      <c r="U57" s="113">
        <f>SUMIFS('S&amp;L Data'!AF2:AF500,'S&amp;L Data'!$D2:$D500,"Standard of Living and Aid to the Disadvantaged")</f>
        <v>200006189</v>
      </c>
      <c r="V57" s="113">
        <f>SUMIFS('S&amp;L Data'!AG2:AG500,'S&amp;L Data'!$D2:$D500,"Standard of Living and Aid to the Disadvantaged")</f>
        <v>207762277</v>
      </c>
      <c r="W57" s="113">
        <f>SUMIFS('S&amp;L Data'!AH2:AH500,'S&amp;L Data'!$D2:$D500,"Standard of Living and Aid to the Disadvantaged")</f>
        <v>222942263</v>
      </c>
      <c r="X57" s="113">
        <f>SUMIFS('S&amp;L Data'!AI2:AI500,'S&amp;L Data'!$D2:$D500,"Standard of Living and Aid to the Disadvantaged")</f>
        <v>244357765</v>
      </c>
      <c r="Y57" s="113">
        <f>SUMIFS('S&amp;L Data'!AJ2:AJ500,'S&amp;L Data'!$D2:$D500,"Standard of Living and Aid to the Disadvantaged")</f>
        <v>267935264</v>
      </c>
      <c r="Z57" s="113">
        <f>SUMIFS('S&amp;L Data'!AK2:AK500,'S&amp;L Data'!$D2:$D500,"Standard of Living and Aid to the Disadvantaged")</f>
        <v>294434904</v>
      </c>
      <c r="AA57" s="113">
        <f>SUMIFS('S&amp;L Data'!AL2:AL500,'S&amp;L Data'!$D2:$D500,"Standard of Living and Aid to the Disadvantaged")</f>
        <v>326009195</v>
      </c>
      <c r="AB57" s="113">
        <f>SUMIFS('S&amp;L Data'!AM2:AM500,'S&amp;L Data'!$D2:$D500,"Standard of Living and Aid to the Disadvantaged")</f>
        <v>356883952</v>
      </c>
      <c r="AC57" s="113">
        <f>SUMIFS('S&amp;L Data'!AN2:AN500,'S&amp;L Data'!$D2:$D500,"Standard of Living and Aid to the Disadvantaged")</f>
        <v>355301306</v>
      </c>
      <c r="AD57" s="113">
        <f>SUMIFS('S&amp;L Data'!AO2:AO500,'S&amp;L Data'!$D2:$D500,"Standard of Living and Aid to the Disadvantaged")</f>
        <v>376942437</v>
      </c>
      <c r="AE57" s="113">
        <f>SUMIFS('S&amp;L Data'!AP2:AP500,'S&amp;L Data'!$D2:$D500,"Standard of Living and Aid to the Disadvantaged")</f>
        <v>396298617</v>
      </c>
      <c r="AF57" s="113">
        <f>SUMIFS('S&amp;L Data'!AQ2:AQ500,'S&amp;L Data'!$D2:$D500,"Standard of Living and Aid to the Disadvantaged")</f>
        <v>419461488</v>
      </c>
      <c r="AG57" s="113">
        <f>SUMIFS('S&amp;L Data'!AR2:AR500,'S&amp;L Data'!$D2:$D500,"Standard of Living and Aid to the Disadvantaged")</f>
        <v>452619849</v>
      </c>
      <c r="AH57" s="113">
        <f>SUMIFS('S&amp;L Data'!AS2:AS500,'S&amp;L Data'!$D2:$D500,"Standard of Living and Aid to the Disadvantaged")</f>
        <v>488378697</v>
      </c>
      <c r="AI57" s="113">
        <f>SUMIFS('S&amp;L Data'!AT2:AT500,'S&amp;L Data'!$D2:$D500,"Standard of Living and Aid to the Disadvantaged")</f>
        <v>487911571</v>
      </c>
      <c r="AJ57" s="113">
        <f>SUMIFS('S&amp;L Data'!AU2:AU500,'S&amp;L Data'!$D2:$D500,"Standard of Living and Aid to the Disadvantaged")</f>
        <v>513524594</v>
      </c>
      <c r="AK57" s="113">
        <f>SUMIFS('S&amp;L Data'!AV2:AV500,'S&amp;L Data'!$D2:$D500,"Standard of Living and Aid to the Disadvantaged")</f>
        <v>537179646</v>
      </c>
    </row>
    <row r="58" spans="1:37" outlineLevel="1">
      <c r="A58" s="22" t="str">
        <f>B57</f>
        <v>Standard of Living and Aid to the Disadvantaged</v>
      </c>
      <c r="B58" s="28" t="s">
        <v>60</v>
      </c>
      <c r="C58" s="113">
        <f>SUMIFS('S&amp;L Data'!N2:N500,'S&amp;L Data'!$E2:$E500,"Cash Programs")</f>
        <v>12921675</v>
      </c>
      <c r="D58" s="113">
        <f>SUMIFS('S&amp;L Data'!O2:O500,'S&amp;L Data'!$E2:$E500,"Cash Programs")</f>
        <v>14349965</v>
      </c>
      <c r="E58" s="113">
        <f>SUMIFS('S&amp;L Data'!P2:P500,'S&amp;L Data'!$E2:$E500,"Cash Programs")</f>
        <v>14680016</v>
      </c>
      <c r="F58" s="113">
        <f>SUMIFS('S&amp;L Data'!Q2:Q500,'S&amp;L Data'!$E2:$E500,"Cash Programs")</f>
        <v>15892901</v>
      </c>
      <c r="G58" s="113">
        <f>SUMIFS('S&amp;L Data'!R2:R500,'S&amp;L Data'!$E2:$E500,"Cash Programs")</f>
        <v>16758966</v>
      </c>
      <c r="H58" s="113">
        <f>SUMIFS('S&amp;L Data'!S2:S500,'S&amp;L Data'!$E2:$E500,"Cash Programs")</f>
        <v>17401338</v>
      </c>
      <c r="I58" s="113">
        <f>SUMIFS('S&amp;L Data'!T2:T500,'S&amp;L Data'!$E2:$E500,"Cash Programs")</f>
        <v>18864344</v>
      </c>
      <c r="J58" s="113">
        <f>SUMIFS('S&amp;L Data'!U2:U500,'S&amp;L Data'!$E2:$E500,"Cash Programs")</f>
        <v>19490624</v>
      </c>
      <c r="K58" s="113">
        <f>SUMIFS('S&amp;L Data'!V2:V500,'S&amp;L Data'!$E2:$E500,"Cash Programs")</f>
        <v>19884027</v>
      </c>
      <c r="L58" s="113">
        <f>SUMIFS('S&amp;L Data'!W2:W500,'S&amp;L Data'!$E2:$E500,"Cash Programs")</f>
        <v>20733771</v>
      </c>
      <c r="M58" s="113">
        <f>SUMIFS('S&amp;L Data'!X2:X500,'S&amp;L Data'!$E2:$E500,"Cash Programs")</f>
        <v>22296127</v>
      </c>
      <c r="N58" s="113">
        <f>SUMIFS('S&amp;L Data'!Y2:Y500,'S&amp;L Data'!$E2:$E500,"Cash Programs")</f>
        <v>24920900</v>
      </c>
      <c r="O58" s="113">
        <f>SUMIFS('S&amp;L Data'!Z2:Z500,'S&amp;L Data'!$E2:$E500,"Cash Programs")</f>
        <v>27250163</v>
      </c>
      <c r="P58" s="113">
        <f>SUMIFS('S&amp;L Data'!AA2:AA500,'S&amp;L Data'!$E2:$E500,"Cash Programs")</f>
        <v>28451513</v>
      </c>
      <c r="Q58" s="113">
        <f>SUMIFS('S&amp;L Data'!AB2:AB500,'S&amp;L Data'!$E2:$E500,"Cash Programs")</f>
        <v>28314899</v>
      </c>
      <c r="R58" s="113">
        <f>SUMIFS('S&amp;L Data'!AC2:AC500,'S&amp;L Data'!$E2:$E500,"Cash Programs")</f>
        <v>28800857</v>
      </c>
      <c r="S58" s="113">
        <f>SUMIFS('S&amp;L Data'!AD2:AD500,'S&amp;L Data'!$E2:$E500,"Cash Programs")</f>
        <v>26930236</v>
      </c>
      <c r="T58" s="113">
        <f>SUMIFS('S&amp;L Data'!AE2:AE500,'S&amp;L Data'!$E2:$E500,"Cash Programs")</f>
        <v>24717265</v>
      </c>
      <c r="U58" s="113">
        <f>SUMIFS('S&amp;L Data'!AF2:AF500,'S&amp;L Data'!$E2:$E500,"Cash Programs")</f>
        <v>22225581</v>
      </c>
      <c r="V58" s="113">
        <f>SUMIFS('S&amp;L Data'!AG2:AG500,'S&amp;L Data'!$E2:$E500,"Cash Programs")</f>
        <v>21410391</v>
      </c>
      <c r="W58" s="113">
        <f>SUMIFS('S&amp;L Data'!AH2:AH500,'S&amp;L Data'!$E2:$E500,"Cash Programs")</f>
        <v>20661502</v>
      </c>
      <c r="X58" s="113">
        <f>SUMIFS('S&amp;L Data'!AI2:AI500,'S&amp;L Data'!$E2:$E500,"Cash Programs")</f>
        <v>20313467</v>
      </c>
      <c r="Y58" s="113">
        <f>SUMIFS('S&amp;L Data'!AJ2:AJ500,'S&amp;L Data'!$E2:$E500,"Cash Programs")</f>
        <v>19447300</v>
      </c>
      <c r="Z58" s="113">
        <f>SUMIFS('S&amp;L Data'!AK2:AK500,'S&amp;L Data'!$E2:$E500,"Cash Programs")</f>
        <v>20660581</v>
      </c>
      <c r="AA58" s="113">
        <f>SUMIFS('S&amp;L Data'!AL2:AL500,'S&amp;L Data'!$E2:$E500,"Cash Programs")</f>
        <v>21351725</v>
      </c>
      <c r="AB58" s="113">
        <f>SUMIFS('S&amp;L Data'!AM2:AM500,'S&amp;L Data'!$E2:$E500,"Cash Programs")</f>
        <v>19986556</v>
      </c>
      <c r="AC58" s="113">
        <f>SUMIFS('S&amp;L Data'!AN2:AN500,'S&amp;L Data'!$E2:$E500,"Cash Programs")</f>
        <v>19823742</v>
      </c>
      <c r="AD58" s="113">
        <f>SUMIFS('S&amp;L Data'!AO2:AO500,'S&amp;L Data'!$E2:$E500,"Cash Programs")</f>
        <v>20019640</v>
      </c>
      <c r="AE58" s="113">
        <f>SUMIFS('S&amp;L Data'!AP2:AP500,'S&amp;L Data'!$E2:$E500,"Cash Programs")</f>
        <v>20629632</v>
      </c>
      <c r="AF58" s="113">
        <f>SUMIFS('S&amp;L Data'!AQ2:AQ500,'S&amp;L Data'!$E2:$E500,"Cash Programs")</f>
        <v>21825056</v>
      </c>
      <c r="AG58" s="113">
        <f>SUMIFS('S&amp;L Data'!AR2:AR500,'S&amp;L Data'!$E2:$E500,"Cash Programs")</f>
        <v>22643938</v>
      </c>
      <c r="AH58" s="113">
        <f>SUMIFS('S&amp;L Data'!AS2:AS500,'S&amp;L Data'!$E2:$E500,"Cash Programs")</f>
        <v>23787302</v>
      </c>
      <c r="AI58" s="113">
        <f>SUMIFS('S&amp;L Data'!AT2:AT500,'S&amp;L Data'!$E2:$E500,"Cash Programs")</f>
        <v>23106411</v>
      </c>
      <c r="AJ58" s="113">
        <f>SUMIFS('S&amp;L Data'!AU2:AU500,'S&amp;L Data'!$E2:$E500,"Cash Programs")</f>
        <v>22593769</v>
      </c>
      <c r="AK58" s="113">
        <f>SUMIFS('S&amp;L Data'!AV2:AV500,'S&amp;L Data'!$E2:$E500,"Cash Programs")</f>
        <v>23384152</v>
      </c>
    </row>
    <row r="59" spans="1:37" outlineLevel="1">
      <c r="A59" s="22" t="str">
        <f>B57</f>
        <v>Standard of Living and Aid to the Disadvantaged</v>
      </c>
      <c r="B59" s="28" t="s">
        <v>61</v>
      </c>
      <c r="C59" s="113">
        <f>SUMIFS('S&amp;L Data'!N2:N500,'S&amp;L Data'!$E2:$E500,"Non-Cash Programs")</f>
        <v>26105910</v>
      </c>
      <c r="D59" s="113">
        <f>SUMIFS('S&amp;L Data'!O2:O500,'S&amp;L Data'!$E2:$E500,"Non-Cash Programs")</f>
        <v>30525653</v>
      </c>
      <c r="E59" s="113">
        <f>SUMIFS('S&amp;L Data'!P2:P500,'S&amp;L Data'!$E2:$E500,"Non-Cash Programs")</f>
        <v>34177498</v>
      </c>
      <c r="F59" s="113">
        <f>SUMIFS('S&amp;L Data'!Q2:Q500,'S&amp;L Data'!$E2:$E500,"Non-Cash Programs")</f>
        <v>35756053</v>
      </c>
      <c r="G59" s="113">
        <f>SUMIFS('S&amp;L Data'!R2:R500,'S&amp;L Data'!$E2:$E500,"Non-Cash Programs")</f>
        <v>39589979</v>
      </c>
      <c r="H59" s="113">
        <f>SUMIFS('S&amp;L Data'!S2:S500,'S&amp;L Data'!$E2:$E500,"Non-Cash Programs")</f>
        <v>43113921</v>
      </c>
      <c r="I59" s="113">
        <f>SUMIFS('S&amp;L Data'!T2:T500,'S&amp;L Data'!$E2:$E500,"Non-Cash Programs")</f>
        <v>46244740</v>
      </c>
      <c r="J59" s="113">
        <f>SUMIFS('S&amp;L Data'!U2:U500,'S&amp;L Data'!$E2:$E500,"Non-Cash Programs")</f>
        <v>50502514</v>
      </c>
      <c r="K59" s="113">
        <f>SUMIFS('S&amp;L Data'!V2:V500,'S&amp;L Data'!$E2:$E500,"Non-Cash Programs")</f>
        <v>56229214</v>
      </c>
      <c r="L59" s="113">
        <f>SUMIFS('S&amp;L Data'!W2:W500,'S&amp;L Data'!$E2:$E500,"Non-Cash Programs")</f>
        <v>63077557</v>
      </c>
      <c r="M59" s="113">
        <f>SUMIFS('S&amp;L Data'!X2:X500,'S&amp;L Data'!$E2:$E500,"Non-Cash Programs")</f>
        <v>72164966</v>
      </c>
      <c r="N59" s="113">
        <f>SUMIFS('S&amp;L Data'!Y2:Y500,'S&amp;L Data'!$E2:$E500,"Non-Cash Programs")</f>
        <v>87473072</v>
      </c>
      <c r="O59" s="113">
        <f>SUMIFS('S&amp;L Data'!Z2:Z500,'S&amp;L Data'!$E2:$E500,"Non-Cash Programs")</f>
        <v>126634479</v>
      </c>
      <c r="P59" s="113">
        <f>SUMIFS('S&amp;L Data'!AA2:AA500,'S&amp;L Data'!$E2:$E500,"Non-Cash Programs")</f>
        <v>137332028</v>
      </c>
      <c r="Q59" s="113">
        <f>SUMIFS('S&amp;L Data'!AB2:AB500,'S&amp;L Data'!$E2:$E500,"Non-Cash Programs")</f>
        <v>149783839</v>
      </c>
      <c r="R59" s="113">
        <f>SUMIFS('S&amp;L Data'!AC2:AC500,'S&amp;L Data'!$E2:$E500,"Non-Cash Programs")</f>
        <v>160951488</v>
      </c>
      <c r="S59" s="113">
        <f>SUMIFS('S&amp;L Data'!AD2:AD500,'S&amp;L Data'!$E2:$E500,"Non-Cash Programs")</f>
        <v>163297366</v>
      </c>
      <c r="T59" s="113">
        <f>SUMIFS('S&amp;L Data'!AE2:AE500,'S&amp;L Data'!$E2:$E500,"Non-Cash Programs")</f>
        <v>170088231</v>
      </c>
      <c r="U59" s="113">
        <f>SUMIFS('S&amp;L Data'!AF2:AF500,'S&amp;L Data'!$E2:$E500,"Non-Cash Programs")</f>
        <v>173647425</v>
      </c>
      <c r="V59" s="113">
        <f>SUMIFS('S&amp;L Data'!AG2:AG500,'S&amp;L Data'!$E2:$E500,"Non-Cash Programs")</f>
        <v>182221539</v>
      </c>
      <c r="W59" s="113">
        <f>SUMIFS('S&amp;L Data'!AH2:AH500,'S&amp;L Data'!$E2:$E500,"Non-Cash Programs")</f>
        <v>198103096</v>
      </c>
      <c r="X59" s="113">
        <f>SUMIFS('S&amp;L Data'!AI2:AI500,'S&amp;L Data'!$E2:$E500,"Non-Cash Programs")</f>
        <v>219685468</v>
      </c>
      <c r="Y59" s="113">
        <f>SUMIFS('S&amp;L Data'!AJ2:AJ500,'S&amp;L Data'!$E2:$E500,"Non-Cash Programs")</f>
        <v>243405834</v>
      </c>
      <c r="Z59" s="113">
        <f>SUMIFS('S&amp;L Data'!AK2:AK500,'S&amp;L Data'!$E2:$E500,"Non-Cash Programs")</f>
        <v>268507273</v>
      </c>
      <c r="AA59" s="113">
        <f>SUMIFS('S&amp;L Data'!AL2:AL500,'S&amp;L Data'!$E2:$E500,"Non-Cash Programs")</f>
        <v>300293844</v>
      </c>
      <c r="AB59" s="113">
        <f>SUMIFS('S&amp;L Data'!AM2:AM500,'S&amp;L Data'!$E2:$E500,"Non-Cash Programs")</f>
        <v>332632851</v>
      </c>
      <c r="AC59" s="113">
        <f>SUMIFS('S&amp;L Data'!AN2:AN500,'S&amp;L Data'!$E2:$E500,"Non-Cash Programs")</f>
        <v>330921471</v>
      </c>
      <c r="AD59" s="113">
        <f>SUMIFS('S&amp;L Data'!AO2:AO500,'S&amp;L Data'!$E2:$E500,"Non-Cash Programs")</f>
        <v>352939893</v>
      </c>
      <c r="AE59" s="113">
        <f>SUMIFS('S&amp;L Data'!AP2:AP500,'S&amp;L Data'!$E2:$E500,"Non-Cash Programs")</f>
        <v>371614162</v>
      </c>
      <c r="AF59" s="113">
        <f>SUMIFS('S&amp;L Data'!AQ2:AQ500,'S&amp;L Data'!$E2:$E500,"Non-Cash Programs")</f>
        <v>393066524</v>
      </c>
      <c r="AG59" s="113">
        <f>SUMIFS('S&amp;L Data'!AR2:AR500,'S&amp;L Data'!$E2:$E500,"Non-Cash Programs")</f>
        <v>424819191</v>
      </c>
      <c r="AH59" s="113">
        <f>SUMIFS('S&amp;L Data'!AS2:AS500,'S&amp;L Data'!$E2:$E500,"Non-Cash Programs")</f>
        <v>459335538</v>
      </c>
      <c r="AI59" s="113">
        <f>SUMIFS('S&amp;L Data'!AT2:AT500,'S&amp;L Data'!$E2:$E500,"Non-Cash Programs")</f>
        <v>459689018</v>
      </c>
      <c r="AJ59" s="113">
        <f>SUMIFS('S&amp;L Data'!AU2:AU500,'S&amp;L Data'!$E2:$E500,"Non-Cash Programs")</f>
        <v>486029988</v>
      </c>
      <c r="AK59" s="113">
        <f>SUMIFS('S&amp;L Data'!AV2:AV500,'S&amp;L Data'!$E2:$E500,"Non-Cash Programs")</f>
        <v>509395465</v>
      </c>
    </row>
    <row r="60" spans="1:37" outlineLevel="2">
      <c r="A60" s="22" t="str">
        <f>B59</f>
        <v>Non-Cash Programs for Aid to the Disadvantaged</v>
      </c>
      <c r="B60" s="29" t="s">
        <v>291</v>
      </c>
      <c r="C60" s="113">
        <f>SUMIFS('S&amp;L Data'!N2:N500,'S&amp;L Data'!$F2:$F500,"Housing Assistance")</f>
        <v>5061989</v>
      </c>
      <c r="D60" s="113">
        <f>SUMIFS('S&amp;L Data'!O2:O500,'S&amp;L Data'!$F2:$F500,"Housing Assistance")</f>
        <v>6071388</v>
      </c>
      <c r="E60" s="113">
        <f>SUMIFS('S&amp;L Data'!P2:P500,'S&amp;L Data'!$F2:$F500,"Housing Assistance")</f>
        <v>7430589</v>
      </c>
      <c r="F60" s="113">
        <f>SUMIFS('S&amp;L Data'!Q2:Q500,'S&amp;L Data'!$F2:$F500,"Housing Assistance")</f>
        <v>7276703</v>
      </c>
      <c r="G60" s="113">
        <f>SUMIFS('S&amp;L Data'!R2:R500,'S&amp;L Data'!$F2:$F500,"Housing Assistance")</f>
        <v>7854343</v>
      </c>
      <c r="H60" s="113">
        <f>SUMIFS('S&amp;L Data'!S2:S500,'S&amp;L Data'!$F2:$F500,"Housing Assistance")</f>
        <v>8805953</v>
      </c>
      <c r="I60" s="113">
        <f>SUMIFS('S&amp;L Data'!T2:T500,'S&amp;L Data'!$F2:$F500,"Housing Assistance")</f>
        <v>9645066</v>
      </c>
      <c r="J60" s="113">
        <f>SUMIFS('S&amp;L Data'!U2:U500,'S&amp;L Data'!$F2:$F500,"Housing Assistance")</f>
        <v>9999627</v>
      </c>
      <c r="K60" s="113">
        <f>SUMIFS('S&amp;L Data'!V2:V500,'S&amp;L Data'!$F2:$F500,"Housing Assistance")</f>
        <v>11381455</v>
      </c>
      <c r="L60" s="113">
        <f>SUMIFS('S&amp;L Data'!W2:W500,'S&amp;L Data'!$F2:$F500,"Housing Assistance")</f>
        <v>12749635</v>
      </c>
      <c r="M60" s="113">
        <f>SUMIFS('S&amp;L Data'!X2:X500,'S&amp;L Data'!$F2:$F500,"Housing Assistance")</f>
        <v>13456105</v>
      </c>
      <c r="N60" s="113">
        <f>SUMIFS('S&amp;L Data'!Y2:Y500,'S&amp;L Data'!$F2:$F500,"Housing Assistance")</f>
        <v>14607339</v>
      </c>
      <c r="O60" s="113">
        <f>SUMIFS('S&amp;L Data'!Z2:Z500,'S&amp;L Data'!$F2:$F500,"Housing Assistance")</f>
        <v>15147724</v>
      </c>
      <c r="P60" s="113">
        <f>SUMIFS('S&amp;L Data'!AA2:AA500,'S&amp;L Data'!$F2:$F500,"Housing Assistance")</f>
        <v>16234548</v>
      </c>
      <c r="Q60" s="113">
        <f>SUMIFS('S&amp;L Data'!AB2:AB500,'S&amp;L Data'!$F2:$F500,"Housing Assistance")</f>
        <v>17381145</v>
      </c>
      <c r="R60" s="113">
        <f>SUMIFS('S&amp;L Data'!AC2:AC500,'S&amp;L Data'!$F2:$F500,"Housing Assistance")</f>
        <v>18951796</v>
      </c>
      <c r="S60" s="113">
        <f>SUMIFS('S&amp;L Data'!AD2:AD500,'S&amp;L Data'!$F2:$F500,"Housing Assistance")</f>
        <v>20031042</v>
      </c>
      <c r="T60" s="113">
        <f>SUMIFS('S&amp;L Data'!AE2:AE500,'S&amp;L Data'!$F2:$F500,"Housing Assistance")</f>
        <v>20353038</v>
      </c>
      <c r="U60" s="113">
        <f>SUMIFS('S&amp;L Data'!AF2:AF500,'S&amp;L Data'!$F2:$F500,"Housing Assistance")</f>
        <v>21711161</v>
      </c>
      <c r="V60" s="113">
        <f>SUMIFS('S&amp;L Data'!AG2:AG500,'S&amp;L Data'!$F2:$F500,"Housing Assistance")</f>
        <v>22367883</v>
      </c>
      <c r="W60" s="113">
        <f>SUMIFS('S&amp;L Data'!AH2:AH500,'S&amp;L Data'!$F2:$F500,"Housing Assistance")</f>
        <v>23587216</v>
      </c>
      <c r="X60" s="113">
        <f>SUMIFS('S&amp;L Data'!AI2:AI500,'S&amp;L Data'!$F2:$F500,"Housing Assistance")</f>
        <v>24452880</v>
      </c>
      <c r="Y60" s="113">
        <f>SUMIFS('S&amp;L Data'!AJ2:AJ500,'S&amp;L Data'!$F2:$F500,"Housing Assistance")</f>
        <v>28739662</v>
      </c>
      <c r="Z60" s="113">
        <f>SUMIFS('S&amp;L Data'!AK2:AK500,'S&amp;L Data'!$F2:$F500,"Housing Assistance")</f>
        <v>31101947</v>
      </c>
      <c r="AA60" s="113">
        <f>SUMIFS('S&amp;L Data'!AL2:AL500,'S&amp;L Data'!$F2:$F500,"Housing Assistance")</f>
        <v>34147266</v>
      </c>
      <c r="AB60" s="113">
        <f>SUMIFS('S&amp;L Data'!AM2:AM500,'S&amp;L Data'!$F2:$F500,"Housing Assistance")</f>
        <v>39789359</v>
      </c>
      <c r="AC60" s="113">
        <f>SUMIFS('S&amp;L Data'!AN2:AN500,'S&amp;L Data'!$F2:$F500,"Housing Assistance")</f>
        <v>33978993</v>
      </c>
      <c r="AD60" s="113">
        <f>SUMIFS('S&amp;L Data'!AO2:AO500,'S&amp;L Data'!$F2:$F500,"Housing Assistance")</f>
        <v>46817204</v>
      </c>
      <c r="AE60" s="113">
        <f>SUMIFS('S&amp;L Data'!AP2:AP500,'S&amp;L Data'!$F2:$F500,"Housing Assistance")</f>
        <v>50958545</v>
      </c>
      <c r="AF60" s="113">
        <f>SUMIFS('S&amp;L Data'!AQ2:AQ500,'S&amp;L Data'!$F2:$F500,"Housing Assistance")</f>
        <v>50317590</v>
      </c>
      <c r="AG60" s="113">
        <f>SUMIFS('S&amp;L Data'!AR2:AR500,'S&amp;L Data'!$F2:$F500,"Housing Assistance")</f>
        <v>54372196</v>
      </c>
      <c r="AH60" s="113">
        <f>SUMIFS('S&amp;L Data'!AS2:AS500,'S&amp;L Data'!$F2:$F500,"Housing Assistance")</f>
        <v>56434691</v>
      </c>
      <c r="AI60" s="113">
        <f>SUMIFS('S&amp;L Data'!AT2:AT500,'S&amp;L Data'!$F2:$F500,"Housing Assistance")</f>
        <v>53422053</v>
      </c>
      <c r="AJ60" s="113">
        <f>SUMIFS('S&amp;L Data'!AU2:AU500,'S&amp;L Data'!$F2:$F500,"Housing Assistance")</f>
        <v>49985105</v>
      </c>
      <c r="AK60" s="113">
        <f>SUMIFS('S&amp;L Data'!AV2:AV500,'S&amp;L Data'!$F2:$F500,"Housing Assistance")</f>
        <v>49338659</v>
      </c>
    </row>
    <row r="61" spans="1:37" outlineLevel="2">
      <c r="A61" s="22" t="str">
        <f>B59</f>
        <v>Non-Cash Programs for Aid to the Disadvantaged</v>
      </c>
      <c r="B61" s="29" t="s">
        <v>128</v>
      </c>
      <c r="C61" s="113">
        <f>SUMIFS('S&amp;L Data'!N2:N500,'S&amp;L Data'!$F2:$F500,"Medical Assistance to Poor")</f>
        <v>20630918</v>
      </c>
      <c r="D61" s="113">
        <f>SUMIFS('S&amp;L Data'!O2:O500,'S&amp;L Data'!$F2:$F500,"Medical Assistance to Poor")</f>
        <v>23940260</v>
      </c>
      <c r="E61" s="113">
        <f>SUMIFS('S&amp;L Data'!P2:P500,'S&amp;L Data'!$F2:$F500,"Medical Assistance to Poor")</f>
        <v>26092255</v>
      </c>
      <c r="F61" s="113">
        <f>SUMIFS('S&amp;L Data'!Q2:Q500,'S&amp;L Data'!$F2:$F500,"Medical Assistance to Poor")</f>
        <v>27631556</v>
      </c>
      <c r="G61" s="113">
        <f>SUMIFS('S&amp;L Data'!R2:R500,'S&amp;L Data'!$F2:$F500,"Medical Assistance to Poor")</f>
        <v>30815647</v>
      </c>
      <c r="H61" s="113">
        <f>SUMIFS('S&amp;L Data'!S2:S500,'S&amp;L Data'!$F2:$F500,"Medical Assistance to Poor")</f>
        <v>33240350</v>
      </c>
      <c r="I61" s="113">
        <f>SUMIFS('S&amp;L Data'!T2:T500,'S&amp;L Data'!$F2:$F500,"Medical Assistance to Poor")</f>
        <v>35511240</v>
      </c>
      <c r="J61" s="113">
        <f>SUMIFS('S&amp;L Data'!U2:U500,'S&amp;L Data'!$F2:$F500,"Medical Assistance to Poor")</f>
        <v>39379119</v>
      </c>
      <c r="K61" s="113">
        <f>SUMIFS('S&amp;L Data'!V2:V500,'S&amp;L Data'!$F2:$F500,"Medical Assistance to Poor")</f>
        <v>43764981</v>
      </c>
      <c r="L61" s="113">
        <f>SUMIFS('S&amp;L Data'!W2:W500,'S&amp;L Data'!$F2:$F500,"Medical Assistance to Poor")</f>
        <v>49061316</v>
      </c>
      <c r="M61" s="113">
        <f>SUMIFS('S&amp;L Data'!X2:X500,'S&amp;L Data'!$F2:$F500,"Medical Assistance to Poor")</f>
        <v>57375142</v>
      </c>
      <c r="N61" s="113">
        <f>SUMIFS('S&amp;L Data'!Y2:Y500,'S&amp;L Data'!$F2:$F500,"Medical Assistance to Poor")</f>
        <v>71429490</v>
      </c>
      <c r="O61" s="113">
        <f>SUMIFS('S&amp;L Data'!Z2:Z500,'S&amp;L Data'!$F2:$F500,"Medical Assistance to Poor")</f>
        <v>109991676</v>
      </c>
      <c r="P61" s="113">
        <f>SUMIFS('S&amp;L Data'!AA2:AA500,'S&amp;L Data'!$F2:$F500,"Medical Assistance to Poor")</f>
        <v>119558699</v>
      </c>
      <c r="Q61" s="113">
        <f>SUMIFS('S&amp;L Data'!AB2:AB500,'S&amp;L Data'!$F2:$F500,"Medical Assistance to Poor")</f>
        <v>130802913</v>
      </c>
      <c r="R61" s="113">
        <f>SUMIFS('S&amp;L Data'!AC2:AC500,'S&amp;L Data'!$F2:$F500,"Medical Assistance to Poor")</f>
        <v>140429746</v>
      </c>
      <c r="S61" s="113">
        <f>SUMIFS('S&amp;L Data'!AD2:AD500,'S&amp;L Data'!$F2:$F500,"Medical Assistance to Poor")</f>
        <v>141770725</v>
      </c>
      <c r="T61" s="113">
        <f>SUMIFS('S&amp;L Data'!AE2:AE500,'S&amp;L Data'!$F2:$F500,"Medical Assistance to Poor")</f>
        <v>148127427</v>
      </c>
      <c r="U61" s="113">
        <f>SUMIFS('S&amp;L Data'!AF2:AF500,'S&amp;L Data'!$F2:$F500,"Medical Assistance to Poor")</f>
        <v>150176972</v>
      </c>
      <c r="V61" s="113">
        <f>SUMIFS('S&amp;L Data'!AG2:AG500,'S&amp;L Data'!$F2:$F500,"Medical Assistance to Poor")</f>
        <v>158041669</v>
      </c>
      <c r="W61" s="113">
        <f>SUMIFS('S&amp;L Data'!AH2:AH500,'S&amp;L Data'!$F2:$F500,"Medical Assistance to Poor")</f>
        <v>172403743</v>
      </c>
      <c r="X61" s="113">
        <f>SUMIFS('S&amp;L Data'!AI2:AI500,'S&amp;L Data'!$F2:$F500,"Medical Assistance to Poor")</f>
        <v>193019301</v>
      </c>
      <c r="Y61" s="113">
        <f>SUMIFS('S&amp;L Data'!AJ2:AJ500,'S&amp;L Data'!$F2:$F500,"Medical Assistance to Poor")</f>
        <v>212622838</v>
      </c>
      <c r="Z61" s="113">
        <f>SUMIFS('S&amp;L Data'!AK2:AK500,'S&amp;L Data'!$F2:$F500,"Medical Assistance to Poor")</f>
        <v>235174973</v>
      </c>
      <c r="AA61" s="113">
        <f>SUMIFS('S&amp;L Data'!AL2:AL500,'S&amp;L Data'!$F2:$F500,"Medical Assistance to Poor")</f>
        <v>261877054</v>
      </c>
      <c r="AB61" s="113">
        <f>SUMIFS('S&amp;L Data'!AM2:AM500,'S&amp;L Data'!$F2:$F500,"Medical Assistance to Poor")</f>
        <v>286705180</v>
      </c>
      <c r="AC61" s="113">
        <f>SUMIFS('S&amp;L Data'!AN2:AN500,'S&amp;L Data'!$F2:$F500,"Medical Assistance to Poor")</f>
        <v>288665189</v>
      </c>
      <c r="AD61" s="113">
        <f>SUMIFS('S&amp;L Data'!AO2:AO500,'S&amp;L Data'!$F2:$F500,"Medical Assistance to Poor")</f>
        <v>296358198</v>
      </c>
      <c r="AE61" s="113">
        <f>SUMIFS('S&amp;L Data'!AP2:AP500,'S&amp;L Data'!$F2:$F500,"Medical Assistance to Poor")</f>
        <v>310249563</v>
      </c>
      <c r="AF61" s="113">
        <f>SUMIFS('S&amp;L Data'!AQ2:AQ500,'S&amp;L Data'!$F2:$F500,"Medical Assistance to Poor")</f>
        <v>330320096</v>
      </c>
      <c r="AG61" s="113">
        <f>SUMIFS('S&amp;L Data'!AR2:AR500,'S&amp;L Data'!$F2:$F500,"Medical Assistance to Poor")</f>
        <v>356181593</v>
      </c>
      <c r="AH61" s="113">
        <f>SUMIFS('S&amp;L Data'!AS2:AS500,'S&amp;L Data'!$F2:$F500,"Medical Assistance to Poor")</f>
        <v>388626578</v>
      </c>
      <c r="AI61" s="113">
        <f>SUMIFS('S&amp;L Data'!AT2:AT500,'S&amp;L Data'!$F2:$F500,"Medical Assistance to Poor")</f>
        <v>393156476</v>
      </c>
      <c r="AJ61" s="113">
        <f>SUMIFS('S&amp;L Data'!AU2:AU500,'S&amp;L Data'!$F2:$F500,"Medical Assistance to Poor")</f>
        <v>423997662</v>
      </c>
      <c r="AK61" s="113">
        <f>SUMIFS('S&amp;L Data'!AV2:AV500,'S&amp;L Data'!$F2:$F500,"Medical Assistance to Poor")</f>
        <v>447827472</v>
      </c>
    </row>
    <row r="62" spans="1:37" outlineLevel="2">
      <c r="A62" s="22" t="str">
        <f>B59</f>
        <v>Non-Cash Programs for Aid to the Disadvantaged</v>
      </c>
      <c r="B62" s="29" t="s">
        <v>134</v>
      </c>
      <c r="C62" s="113">
        <f>SUMIFS('S&amp;L Data'!N2:N500,'S&amp;L Data'!$E2:$E500,"Non-Cash Programs",'S&amp;L Data'!$F2:$F500,"Other")</f>
        <v>413003</v>
      </c>
      <c r="D62" s="113">
        <f>SUMIFS('S&amp;L Data'!O2:O500,'S&amp;L Data'!$E2:$E500,"Non-Cash Programs",'S&amp;L Data'!$F2:$F500,"Other")</f>
        <v>514005</v>
      </c>
      <c r="E62" s="113">
        <f>SUMIFS('S&amp;L Data'!P2:P500,'S&amp;L Data'!$E2:$E500,"Non-Cash Programs",'S&amp;L Data'!$F2:$F500,"Other")</f>
        <v>654654</v>
      </c>
      <c r="F62" s="113">
        <f>SUMIFS('S&amp;L Data'!Q2:Q500,'S&amp;L Data'!$E2:$E500,"Non-Cash Programs",'S&amp;L Data'!$F2:$F500,"Other")</f>
        <v>847794</v>
      </c>
      <c r="G62" s="113">
        <f>SUMIFS('S&amp;L Data'!R2:R500,'S&amp;L Data'!$E2:$E500,"Non-Cash Programs",'S&amp;L Data'!$F2:$F500,"Other")</f>
        <v>919989</v>
      </c>
      <c r="H62" s="113">
        <f>SUMIFS('S&amp;L Data'!S2:S500,'S&amp;L Data'!$E2:$E500,"Non-Cash Programs",'S&amp;L Data'!$F2:$F500,"Other")</f>
        <v>1067618</v>
      </c>
      <c r="I62" s="113">
        <f>SUMIFS('S&amp;L Data'!T2:T500,'S&amp;L Data'!$E2:$E500,"Non-Cash Programs",'S&amp;L Data'!$F2:$F500,"Other")</f>
        <v>1088434</v>
      </c>
      <c r="J62" s="113">
        <f>SUMIFS('S&amp;L Data'!U2:U500,'S&amp;L Data'!$E2:$E500,"Non-Cash Programs",'S&amp;L Data'!$F2:$F500,"Other")</f>
        <v>1123768</v>
      </c>
      <c r="K62" s="113">
        <f>SUMIFS('S&amp;L Data'!V2:V500,'S&amp;L Data'!$E2:$E500,"Non-Cash Programs",'S&amp;L Data'!$F2:$F500,"Other")</f>
        <v>1082778</v>
      </c>
      <c r="L62" s="113">
        <f>SUMIFS('S&amp;L Data'!W2:W500,'S&amp;L Data'!$E2:$E500,"Non-Cash Programs",'S&amp;L Data'!$F2:$F500,"Other")</f>
        <v>1266606</v>
      </c>
      <c r="M62" s="113">
        <f>SUMIFS('S&amp;L Data'!X2:X500,'S&amp;L Data'!$E2:$E500,"Non-Cash Programs",'S&amp;L Data'!$F2:$F500,"Other")</f>
        <v>1333719</v>
      </c>
      <c r="N62" s="113">
        <f>SUMIFS('S&amp;L Data'!Y2:Y500,'S&amp;L Data'!$E2:$E500,"Non-Cash Programs",'S&amp;L Data'!$F2:$F500,"Other")</f>
        <v>1436243</v>
      </c>
      <c r="O62" s="113">
        <f>SUMIFS('S&amp;L Data'!Z2:Z500,'S&amp;L Data'!$E2:$E500,"Non-Cash Programs",'S&amp;L Data'!$F2:$F500,"Other")</f>
        <v>1495079</v>
      </c>
      <c r="P62" s="113">
        <f>SUMIFS('S&amp;L Data'!AA2:AA500,'S&amp;L Data'!$E2:$E500,"Non-Cash Programs",'S&amp;L Data'!$F2:$F500,"Other")</f>
        <v>1538781</v>
      </c>
      <c r="Q62" s="113">
        <f>SUMIFS('S&amp;L Data'!AB2:AB500,'S&amp;L Data'!$E2:$E500,"Non-Cash Programs",'S&amp;L Data'!$F2:$F500,"Other")</f>
        <v>1599781</v>
      </c>
      <c r="R62" s="113">
        <f>SUMIFS('S&amp;L Data'!AC2:AC500,'S&amp;L Data'!$E2:$E500,"Non-Cash Programs",'S&amp;L Data'!$F2:$F500,"Other")</f>
        <v>1569946</v>
      </c>
      <c r="S62" s="113">
        <f>SUMIFS('S&amp;L Data'!AD2:AD500,'S&amp;L Data'!$E2:$E500,"Non-Cash Programs",'S&amp;L Data'!$F2:$F500,"Other")</f>
        <v>1495599</v>
      </c>
      <c r="T62" s="113">
        <f>SUMIFS('S&amp;L Data'!AE2:AE500,'S&amp;L Data'!$E2:$E500,"Non-Cash Programs",'S&amp;L Data'!$F2:$F500,"Other")</f>
        <v>1607766</v>
      </c>
      <c r="U62" s="113">
        <f>SUMIFS('S&amp;L Data'!AF2:AF500,'S&amp;L Data'!$E2:$E500,"Non-Cash Programs",'S&amp;L Data'!$F2:$F500,"Other")</f>
        <v>1759292</v>
      </c>
      <c r="V62" s="113">
        <f>SUMIFS('S&amp;L Data'!AG2:AG500,'S&amp;L Data'!$E2:$E500,"Non-Cash Programs",'S&amp;L Data'!$F2:$F500,"Other")</f>
        <v>1811987</v>
      </c>
      <c r="W62" s="113">
        <f>SUMIFS('S&amp;L Data'!AH2:AH500,'S&amp;L Data'!$E2:$E500,"Non-Cash Programs",'S&amp;L Data'!$F2:$F500,"Other")</f>
        <v>2112137</v>
      </c>
      <c r="X62" s="113">
        <f>SUMIFS('S&amp;L Data'!AI2:AI500,'S&amp;L Data'!$E2:$E500,"Non-Cash Programs",'S&amp;L Data'!$F2:$F500,"Other")</f>
        <v>2213287</v>
      </c>
      <c r="Y62" s="113">
        <f>SUMIFS('S&amp;L Data'!AJ2:AJ500,'S&amp;L Data'!$E2:$E500,"Non-Cash Programs",'S&amp;L Data'!$F2:$F500,"Other")</f>
        <v>2043334</v>
      </c>
      <c r="Z62" s="113">
        <f>SUMIFS('S&amp;L Data'!AK2:AK500,'S&amp;L Data'!$E2:$E500,"Non-Cash Programs",'S&amp;L Data'!$F2:$F500,"Other")</f>
        <v>2230353</v>
      </c>
      <c r="AA62" s="113">
        <f>SUMIFS('S&amp;L Data'!AL2:AL500,'S&amp;L Data'!$E2:$E500,"Non-Cash Programs",'S&amp;L Data'!$F2:$F500,"Other")</f>
        <v>4269524</v>
      </c>
      <c r="AB62" s="113">
        <f>SUMIFS('S&amp;L Data'!AM2:AM500,'S&amp;L Data'!$E2:$E500,"Non-Cash Programs",'S&amp;L Data'!$F2:$F500,"Other")</f>
        <v>6138312</v>
      </c>
      <c r="AC62" s="113">
        <f>SUMIFS('S&amp;L Data'!AN2:AN500,'S&amp;L Data'!$E2:$E500,"Non-Cash Programs",'S&amp;L Data'!$F2:$F500,"Other")</f>
        <v>8277289</v>
      </c>
      <c r="AD62" s="113">
        <f>SUMIFS('S&amp;L Data'!AO2:AO500,'S&amp;L Data'!$E2:$E500,"Non-Cash Programs",'S&amp;L Data'!$F2:$F500,"Other")</f>
        <v>9764491</v>
      </c>
      <c r="AE62" s="113">
        <f>SUMIFS('S&amp;L Data'!AP2:AP500,'S&amp;L Data'!$E2:$E500,"Non-Cash Programs",'S&amp;L Data'!$F2:$F500,"Other")</f>
        <v>10406054</v>
      </c>
      <c r="AF62" s="113">
        <f>SUMIFS('S&amp;L Data'!AQ2:AQ500,'S&amp;L Data'!$E2:$E500,"Non-Cash Programs",'S&amp;L Data'!$F2:$F500,"Other")</f>
        <v>12428838</v>
      </c>
      <c r="AG62" s="113">
        <f>SUMIFS('S&amp;L Data'!AR2:AR500,'S&amp;L Data'!$E2:$E500,"Non-Cash Programs",'S&amp;L Data'!$F2:$F500,"Other")</f>
        <v>14265402</v>
      </c>
      <c r="AH62" s="113">
        <f>SUMIFS('S&amp;L Data'!AS2:AS500,'S&amp;L Data'!$E2:$E500,"Non-Cash Programs",'S&amp;L Data'!$F2:$F500,"Other")</f>
        <v>14274269</v>
      </c>
      <c r="AI62" s="113">
        <f>SUMIFS('S&amp;L Data'!AT2:AT500,'S&amp;L Data'!$E2:$E500,"Non-Cash Programs",'S&amp;L Data'!$F2:$F500,"Other")</f>
        <v>13110489</v>
      </c>
      <c r="AJ62" s="113">
        <f>SUMIFS('S&amp;L Data'!AU2:AU500,'S&amp;L Data'!$E2:$E500,"Non-Cash Programs",'S&amp;L Data'!$F2:$F500,"Other")</f>
        <v>12047221</v>
      </c>
      <c r="AK62" s="113">
        <f>SUMIFS('S&amp;L Data'!AV2:AV500,'S&amp;L Data'!$E2:$E500,"Non-Cash Programs",'S&amp;L Data'!$F2:$F500,"Other")</f>
        <v>12229334</v>
      </c>
    </row>
    <row r="63" spans="1:37" s="51" customFormat="1" outlineLevel="1">
      <c r="A63" s="51" t="str">
        <f>B57</f>
        <v>Standard of Living and Aid to the Disadvantaged</v>
      </c>
      <c r="B63" s="80" t="s">
        <v>20</v>
      </c>
      <c r="C63" s="119">
        <f>SUMIFS('S&amp;L Data'!N2:N500,'S&amp;L Data'!$E2:$E500,"Unemployment Insurance")</f>
        <v>2008792</v>
      </c>
      <c r="D63" s="119">
        <f>SUMIFS('S&amp;L Data'!O2:O500,'S&amp;L Data'!$E2:$E500,"Unemployment Insurance")</f>
        <v>2276431</v>
      </c>
      <c r="E63" s="119">
        <f>SUMIFS('S&amp;L Data'!P2:P500,'S&amp;L Data'!$E2:$E500,"Unemployment Insurance")</f>
        <v>2285868</v>
      </c>
      <c r="F63" s="119">
        <f>SUMIFS('S&amp;L Data'!Q2:Q500,'S&amp;L Data'!$E2:$E500,"Unemployment Insurance")</f>
        <v>2473187</v>
      </c>
      <c r="G63" s="119">
        <f>SUMIFS('S&amp;L Data'!R2:R500,'S&amp;L Data'!$E2:$E500,"Unemployment Insurance")</f>
        <v>2555711</v>
      </c>
      <c r="H63" s="119">
        <f>SUMIFS('S&amp;L Data'!S2:S500,'S&amp;L Data'!$E2:$E500,"Unemployment Insurance")</f>
        <v>2592119</v>
      </c>
      <c r="I63" s="119">
        <f>SUMIFS('S&amp;L Data'!T2:T500,'S&amp;L Data'!$E2:$E500,"Unemployment Insurance")</f>
        <v>2707220</v>
      </c>
      <c r="J63" s="119">
        <f>SUMIFS('S&amp;L Data'!U2:U500,'S&amp;L Data'!$E2:$E500,"Unemployment Insurance")</f>
        <v>2751691</v>
      </c>
      <c r="K63" s="119">
        <f>SUMIFS('S&amp;L Data'!V2:V500,'S&amp;L Data'!$E2:$E500,"Unemployment Insurance")</f>
        <v>2853110</v>
      </c>
      <c r="L63" s="119">
        <f>SUMIFS('S&amp;L Data'!W2:W500,'S&amp;L Data'!$E2:$E500,"Unemployment Insurance")</f>
        <v>2947169</v>
      </c>
      <c r="M63" s="119">
        <f>SUMIFS('S&amp;L Data'!X2:X500,'S&amp;L Data'!$E2:$E500,"Unemployment Insurance")</f>
        <v>3014354</v>
      </c>
      <c r="N63" s="119">
        <f>SUMIFS('S&amp;L Data'!Y2:Y500,'S&amp;L Data'!$E2:$E500,"Unemployment Insurance")</f>
        <v>3249688</v>
      </c>
      <c r="O63" s="119">
        <f>SUMIFS('S&amp;L Data'!Z2:Z500,'S&amp;L Data'!$E2:$E500,"Unemployment Insurance")</f>
        <v>3716776</v>
      </c>
      <c r="P63" s="119">
        <f>SUMIFS('S&amp;L Data'!AA2:AA500,'S&amp;L Data'!$E2:$E500,"Unemployment Insurance")</f>
        <v>3945023</v>
      </c>
      <c r="Q63" s="119">
        <f>SUMIFS('S&amp;L Data'!AB2:AB500,'S&amp;L Data'!$E2:$E500,"Unemployment Insurance")</f>
        <v>4070807</v>
      </c>
      <c r="R63" s="119">
        <f>SUMIFS('S&amp;L Data'!AC2:AC500,'S&amp;L Data'!$E2:$E500,"Unemployment Insurance")</f>
        <v>3946014</v>
      </c>
      <c r="S63" s="119">
        <f>SUMIFS('S&amp;L Data'!AD2:AD500,'S&amp;L Data'!$E2:$E500,"Unemployment Insurance")</f>
        <v>3930611</v>
      </c>
      <c r="T63" s="119">
        <f>SUMIFS('S&amp;L Data'!AE2:AE500,'S&amp;L Data'!$E2:$E500,"Unemployment Insurance")</f>
        <v>4009035</v>
      </c>
      <c r="U63" s="119">
        <f>SUMIFS('S&amp;L Data'!AF2:AF500,'S&amp;L Data'!$E2:$E500,"Unemployment Insurance")</f>
        <v>4133183</v>
      </c>
      <c r="V63" s="119">
        <f>SUMIFS('S&amp;L Data'!AG2:AG500,'S&amp;L Data'!$E2:$E500,"Unemployment Insurance")</f>
        <v>4130347</v>
      </c>
      <c r="W63" s="119">
        <f>SUMIFS('S&amp;L Data'!AH2:AH500,'S&amp;L Data'!$E2:$E500,"Unemployment Insurance")</f>
        <v>4177665</v>
      </c>
      <c r="X63" s="119">
        <f>SUMIFS('S&amp;L Data'!AI2:AI500,'S&amp;L Data'!$E2:$E500,"Unemployment Insurance")</f>
        <v>4358830</v>
      </c>
      <c r="Y63" s="119">
        <f>SUMIFS('S&amp;L Data'!AJ2:AJ500,'S&amp;L Data'!$E2:$E500,"Unemployment Insurance")</f>
        <v>5082130</v>
      </c>
      <c r="Z63" s="119">
        <f>SUMIFS('S&amp;L Data'!AK2:AK500,'S&amp;L Data'!$E2:$E500,"Unemployment Insurance")</f>
        <v>5267050</v>
      </c>
      <c r="AA63" s="119">
        <f>SUMIFS('S&amp;L Data'!AL2:AL500,'S&amp;L Data'!$E2:$E500,"Unemployment Insurance")</f>
        <v>4363626</v>
      </c>
      <c r="AB63" s="119">
        <f>SUMIFS('S&amp;L Data'!AM2:AM500,'S&amp;L Data'!$E2:$E500,"Unemployment Insurance")</f>
        <v>4264545</v>
      </c>
      <c r="AC63" s="119">
        <f>SUMIFS('S&amp;L Data'!AN2:AN500,'S&amp;L Data'!$E2:$E500,"Unemployment Insurance")</f>
        <v>4556093</v>
      </c>
      <c r="AD63" s="119">
        <f>SUMIFS('S&amp;L Data'!AO2:AO500,'S&amp;L Data'!$E2:$E500,"Unemployment Insurance")</f>
        <v>3982904</v>
      </c>
      <c r="AE63" s="119">
        <f>SUMIFS('S&amp;L Data'!AP2:AP500,'S&amp;L Data'!$E2:$E500,"Unemployment Insurance")</f>
        <v>4054823</v>
      </c>
      <c r="AF63" s="119">
        <f>SUMIFS('S&amp;L Data'!AQ2:AQ500,'S&amp;L Data'!$E2:$E500,"Unemployment Insurance")</f>
        <v>4569908</v>
      </c>
      <c r="AG63" s="119">
        <f>SUMIFS('S&amp;L Data'!AR2:AR500,'S&amp;L Data'!$E2:$E500,"Unemployment Insurance")</f>
        <v>5156720</v>
      </c>
      <c r="AH63" s="119">
        <f>SUMIFS('S&amp;L Data'!AS2:AS500,'S&amp;L Data'!$E2:$E500,"Unemployment Insurance")</f>
        <v>5255857</v>
      </c>
      <c r="AI63" s="119">
        <f>SUMIFS('S&amp;L Data'!AT2:AT500,'S&amp;L Data'!$E2:$E500,"Unemployment Insurance")</f>
        <v>5116142</v>
      </c>
      <c r="AJ63" s="119">
        <f>SUMIFS('S&amp;L Data'!AU2:AU500,'S&amp;L Data'!$E2:$E500,"Unemployment Insurance")</f>
        <v>4900837</v>
      </c>
      <c r="AK63" s="119">
        <f>SUMIFS('S&amp;L Data'!AV2:AV500,'S&amp;L Data'!$E2:$E500,"Unemployment Insurance")</f>
        <v>4400029</v>
      </c>
    </row>
    <row r="64" spans="1:37" outlineLevel="1">
      <c r="A64" s="22" t="str">
        <f>B57</f>
        <v>Standard of Living and Aid to the Disadvantaged</v>
      </c>
      <c r="B64" s="42" t="s">
        <v>335</v>
      </c>
      <c r="C64" s="118">
        <f>C144</f>
        <v>21454487</v>
      </c>
      <c r="D64" s="118">
        <f>D144</f>
        <v>23435147</v>
      </c>
      <c r="E64" s="118">
        <f t="shared" ref="E64:AK64" si="0">E144</f>
        <v>23500426</v>
      </c>
      <c r="F64" s="118">
        <f t="shared" si="0"/>
        <v>24246144</v>
      </c>
      <c r="G64" s="118">
        <f t="shared" si="0"/>
        <v>21100895</v>
      </c>
      <c r="H64" s="118">
        <f t="shared" si="0"/>
        <v>20933293</v>
      </c>
      <c r="I64" s="118">
        <f t="shared" si="0"/>
        <v>23222536</v>
      </c>
      <c r="J64" s="118">
        <f t="shared" si="0"/>
        <v>24239402</v>
      </c>
      <c r="K64" s="118">
        <f t="shared" si="0"/>
        <v>24671417</v>
      </c>
      <c r="L64" s="118">
        <f t="shared" si="0"/>
        <v>22960684</v>
      </c>
      <c r="M64" s="118">
        <f t="shared" si="0"/>
        <v>24353607</v>
      </c>
      <c r="N64" s="118">
        <f t="shared" si="0"/>
        <v>26023966</v>
      </c>
      <c r="O64" s="118">
        <f t="shared" si="0"/>
        <v>23769985</v>
      </c>
      <c r="P64" s="118">
        <f t="shared" si="0"/>
        <v>21038957</v>
      </c>
      <c r="Q64" s="118">
        <f t="shared" si="0"/>
        <v>16825423</v>
      </c>
      <c r="R64" s="118">
        <f t="shared" si="0"/>
        <v>15223351</v>
      </c>
      <c r="S64" s="118">
        <f t="shared" si="0"/>
        <v>10497887</v>
      </c>
      <c r="T64" s="118">
        <f t="shared" si="0"/>
        <v>10677445</v>
      </c>
      <c r="U64" s="118">
        <f t="shared" si="0"/>
        <v>11542148</v>
      </c>
      <c r="V64" s="118">
        <f t="shared" si="0"/>
        <v>14393295</v>
      </c>
      <c r="W64" s="118">
        <f t="shared" si="0"/>
        <v>20198279</v>
      </c>
      <c r="X64" s="118">
        <f t="shared" si="0"/>
        <v>30888736</v>
      </c>
      <c r="Y64" s="118">
        <f t="shared" si="0"/>
        <v>33098975</v>
      </c>
      <c r="Z64" s="118">
        <f t="shared" si="0"/>
        <v>36179012</v>
      </c>
      <c r="AA64" s="118">
        <f t="shared" si="0"/>
        <v>42468968</v>
      </c>
      <c r="AB64" s="118">
        <f t="shared" si="0"/>
        <v>39069111</v>
      </c>
      <c r="AC64" s="118">
        <f t="shared" si="0"/>
        <v>34919761</v>
      </c>
      <c r="AD64" s="118">
        <f t="shared" si="0"/>
        <v>46364722</v>
      </c>
      <c r="AE64" s="118">
        <f t="shared" si="0"/>
        <v>58433815</v>
      </c>
      <c r="AF64" s="118">
        <f t="shared" si="0"/>
        <v>67981453</v>
      </c>
      <c r="AG64" s="118">
        <f t="shared" si="0"/>
        <v>62527816</v>
      </c>
      <c r="AH64" s="118">
        <f t="shared" si="0"/>
        <v>54930826</v>
      </c>
      <c r="AI64" s="118">
        <f t="shared" si="0"/>
        <v>45463054</v>
      </c>
      <c r="AJ64" s="118">
        <f t="shared" si="0"/>
        <v>35856952</v>
      </c>
      <c r="AK64" s="118">
        <f t="shared" si="0"/>
        <v>36265526</v>
      </c>
    </row>
    <row r="65" spans="1:40">
      <c r="A65" s="22" t="str">
        <f>B26</f>
        <v>Spending By Mission</v>
      </c>
      <c r="B65" s="73" t="s">
        <v>263</v>
      </c>
      <c r="C65" s="117">
        <f>SUMIFS('S&amp;L Data'!N2:N500,'S&amp;L Data'!$C2:$C500,"Secure the Blessings")+SUMIFS('S&amp;L Data'!N2:N500,'S&amp;L Data'!$C2:$C500,"Obligations")</f>
        <v>165281694</v>
      </c>
      <c r="D65" s="117">
        <f>SUMIFS('S&amp;L Data'!O2:O500,'S&amp;L Data'!$C2:$C500,"Secure the Blessings")+SUMIFS('S&amp;L Data'!O2:O500,'S&amp;L Data'!$C2:$C500,"Obligations")</f>
        <v>182034501</v>
      </c>
      <c r="E65" s="117">
        <f>SUMIFS('S&amp;L Data'!P2:P500,'S&amp;L Data'!$C2:$C500,"Secure the Blessings")+SUMIFS('S&amp;L Data'!P2:P500,'S&amp;L Data'!$C2:$C500,"Obligations")</f>
        <v>191580741</v>
      </c>
      <c r="F65" s="117">
        <f>SUMIFS('S&amp;L Data'!Q2:Q500,'S&amp;L Data'!$C2:$C500,"Secure the Blessings")+SUMIFS('S&amp;L Data'!Q2:Q500,'S&amp;L Data'!$C2:$C500,"Obligations")</f>
        <v>208948825</v>
      </c>
      <c r="G65" s="117">
        <f>SUMIFS('S&amp;L Data'!R2:R500,'S&amp;L Data'!$C2:$C500,"Secure the Blessings")+SUMIFS('S&amp;L Data'!R2:R500,'S&amp;L Data'!$C2:$C500,"Obligations")</f>
        <v>228261854</v>
      </c>
      <c r="H65" s="117">
        <f>SUMIFS('S&amp;L Data'!S2:S500,'S&amp;L Data'!$C2:$C500,"Secure the Blessings")+SUMIFS('S&amp;L Data'!S2:S500,'S&amp;L Data'!$C2:$C500,"Obligations")</f>
        <v>249363347</v>
      </c>
      <c r="I65" s="117">
        <f>SUMIFS('S&amp;L Data'!T2:T500,'S&amp;L Data'!$C2:$C500,"Secure the Blessings")+SUMIFS('S&amp;L Data'!T2:T500,'S&amp;L Data'!$C2:$C500,"Obligations")</f>
        <v>278084806</v>
      </c>
      <c r="J65" s="117">
        <f>SUMIFS('S&amp;L Data'!U2:U500,'S&amp;L Data'!$C2:$C500,"Secure the Blessings")+SUMIFS('S&amp;L Data'!U2:U500,'S&amp;L Data'!$C2:$C500,"Obligations")</f>
        <v>306064532</v>
      </c>
      <c r="K65" s="117">
        <f>SUMIFS('S&amp;L Data'!V2:V500,'S&amp;L Data'!$C2:$C500,"Secure the Blessings")+SUMIFS('S&amp;L Data'!V2:V500,'S&amp;L Data'!$C2:$C500,"Obligations")</f>
        <v>315973292</v>
      </c>
      <c r="L65" s="117">
        <f>SUMIFS('S&amp;L Data'!W2:W500,'S&amp;L Data'!$C2:$C500,"Secure the Blessings")+SUMIFS('S&amp;L Data'!W2:W500,'S&amp;L Data'!$C2:$C500,"Obligations")</f>
        <v>336066516</v>
      </c>
      <c r="M65" s="117">
        <f>SUMIFS('S&amp;L Data'!X2:X500,'S&amp;L Data'!$C2:$C500,"Secure the Blessings")+SUMIFS('S&amp;L Data'!X2:X500,'S&amp;L Data'!$C2:$C500,"Obligations")</f>
        <v>364698000</v>
      </c>
      <c r="N65" s="117">
        <f>SUMIFS('S&amp;L Data'!Y2:Y500,'S&amp;L Data'!$C2:$C500,"Secure the Blessings")+SUMIFS('S&amp;L Data'!Y2:Y500,'S&amp;L Data'!$C2:$C500,"Obligations")</f>
        <v>392402951</v>
      </c>
      <c r="O65" s="117">
        <f>SUMIFS('S&amp;L Data'!Z2:Z500,'S&amp;L Data'!$C2:$C500,"Secure the Blessings")+SUMIFS('S&amp;L Data'!Z2:Z500,'S&amp;L Data'!$C2:$C500,"Obligations")</f>
        <v>362694675</v>
      </c>
      <c r="P65" s="117">
        <f>SUMIFS('S&amp;L Data'!AA2:AA500,'S&amp;L Data'!$C2:$C500,"Secure the Blessings")+SUMIFS('S&amp;L Data'!AA2:AA500,'S&amp;L Data'!$C2:$C500,"Obligations")</f>
        <v>385616748</v>
      </c>
      <c r="Q65" s="117">
        <f>SUMIFS('S&amp;L Data'!AB2:AB500,'S&amp;L Data'!$C2:$C500,"Secure the Blessings")+SUMIFS('S&amp;L Data'!AB2:AB500,'S&amp;L Data'!$C2:$C500,"Obligations")</f>
        <v>395474549</v>
      </c>
      <c r="R65" s="117">
        <f>SUMIFS('S&amp;L Data'!AC2:AC500,'S&amp;L Data'!$C2:$C500,"Secure the Blessings")+SUMIFS('S&amp;L Data'!AC2:AC500,'S&amp;L Data'!$C2:$C500,"Obligations")</f>
        <v>422292805</v>
      </c>
      <c r="S65" s="117">
        <f>SUMIFS('S&amp;L Data'!AD2:AD500,'S&amp;L Data'!$C2:$C500,"Secure the Blessings")+SUMIFS('S&amp;L Data'!AD2:AD500,'S&amp;L Data'!$C2:$C500,"Obligations")</f>
        <v>444827305</v>
      </c>
      <c r="T65" s="117">
        <f>SUMIFS('S&amp;L Data'!AE2:AE500,'S&amp;L Data'!$C2:$C500,"Secure the Blessings")+SUMIFS('S&amp;L Data'!AE2:AE500,'S&amp;L Data'!$C2:$C500,"Obligations")</f>
        <v>469819207</v>
      </c>
      <c r="U65" s="117">
        <f>SUMIFS('S&amp;L Data'!AF2:AF500,'S&amp;L Data'!$C2:$C500,"Secure the Blessings")+SUMIFS('S&amp;L Data'!AF2:AF500,'S&amp;L Data'!$C2:$C500,"Obligations")</f>
        <v>505165496</v>
      </c>
      <c r="V65" s="117">
        <f>SUMIFS('S&amp;L Data'!AG2:AG500,'S&amp;L Data'!$C2:$C500,"Secure the Blessings")+SUMIFS('S&amp;L Data'!AG2:AG500,'S&amp;L Data'!$C2:$C500,"Obligations")</f>
        <v>541558742</v>
      </c>
      <c r="W65" s="117">
        <f>SUMIFS('S&amp;L Data'!AH2:AH500,'S&amp;L Data'!$C2:$C500,"Secure the Blessings")+SUMIFS('S&amp;L Data'!AH2:AH500,'S&amp;L Data'!$C2:$C500,"Obligations")</f>
        <v>587981242</v>
      </c>
      <c r="X65" s="117">
        <f>SUMIFS('S&amp;L Data'!AI2:AI500,'S&amp;L Data'!$C2:$C500,"Secure the Blessings")+SUMIFS('S&amp;L Data'!AI2:AI500,'S&amp;L Data'!$C2:$C500,"Obligations")</f>
        <v>637202496</v>
      </c>
      <c r="Y65" s="117">
        <f>SUMIFS('S&amp;L Data'!AJ2:AJ500,'S&amp;L Data'!$C2:$C500,"Secure the Blessings")+SUMIFS('S&amp;L Data'!AJ2:AJ500,'S&amp;L Data'!$C2:$C500,"Obligations")</f>
        <v>692412741</v>
      </c>
      <c r="Z65" s="117">
        <f>SUMIFS('S&amp;L Data'!AK2:AK500,'S&amp;L Data'!$C2:$C500,"Secure the Blessings")+SUMIFS('S&amp;L Data'!AK2:AK500,'S&amp;L Data'!$C2:$C500,"Obligations")</f>
        <v>732326384</v>
      </c>
      <c r="AA65" s="117">
        <f>SUMIFS('S&amp;L Data'!AL2:AL500,'S&amp;L Data'!$C2:$C500,"Secure the Blessings")+SUMIFS('S&amp;L Data'!AL2:AL500,'S&amp;L Data'!$C2:$C500,"Obligations")</f>
        <v>781612390</v>
      </c>
      <c r="AB65" s="117">
        <f>SUMIFS('S&amp;L Data'!AM2:AM500,'S&amp;L Data'!$C2:$C500,"Secure the Blessings")+SUMIFS('S&amp;L Data'!AM2:AM500,'S&amp;L Data'!$C2:$C500,"Obligations")</f>
        <v>808497617</v>
      </c>
      <c r="AC65" s="117">
        <f>SUMIFS('S&amp;L Data'!AN2:AN500,'S&amp;L Data'!$C2:$C500,"Secure the Blessings")+SUMIFS('S&amp;L Data'!AN2:AN500,'S&amp;L Data'!$C2:$C500,"Obligations")</f>
        <v>848646301</v>
      </c>
      <c r="AD65" s="117">
        <f>SUMIFS('S&amp;L Data'!AO2:AO500,'S&amp;L Data'!$C2:$C500,"Secure the Blessings")+SUMIFS('S&amp;L Data'!AO2:AO500,'S&amp;L Data'!$C2:$C500,"Obligations")</f>
        <v>900276755</v>
      </c>
      <c r="AE65" s="117">
        <f>SUMIFS('S&amp;L Data'!AP2:AP500,'S&amp;L Data'!$C2:$C500,"Secure the Blessings")+SUMIFS('S&amp;L Data'!AP2:AP500,'S&amp;L Data'!$C2:$C500,"Obligations")</f>
        <v>972370524</v>
      </c>
      <c r="AF65" s="117">
        <f>SUMIFS('S&amp;L Data'!AQ2:AQ500,'S&amp;L Data'!$C2:$C500,"Secure the Blessings")+SUMIFS('S&amp;L Data'!AQ2:AQ500,'S&amp;L Data'!$C2:$C500,"Obligations")</f>
        <v>1029576166</v>
      </c>
      <c r="AG65" s="117">
        <f>SUMIFS('S&amp;L Data'!AR2:AR500,'S&amp;L Data'!$C2:$C500,"Secure the Blessings")+SUMIFS('S&amp;L Data'!AR2:AR500,'S&amp;L Data'!$C2:$C500,"Obligations")</f>
        <v>1052994746</v>
      </c>
      <c r="AH65" s="117">
        <f>SUMIFS('S&amp;L Data'!AS2:AS500,'S&amp;L Data'!$C2:$C500,"Secure the Blessings")+SUMIFS('S&amp;L Data'!AS2:AS500,'S&amp;L Data'!$C2:$C500,"Obligations")</f>
        <v>1063207938</v>
      </c>
      <c r="AI65" s="117">
        <f>SUMIFS('S&amp;L Data'!AT2:AT500,'S&amp;L Data'!$C2:$C500,"Secure the Blessings")+SUMIFS('S&amp;L Data'!AT2:AT500,'S&amp;L Data'!$C2:$C500,"Obligations")</f>
        <v>1091205157</v>
      </c>
      <c r="AJ65" s="117">
        <f>SUMIFS('S&amp;L Data'!AU2:AU500,'S&amp;L Data'!$C2:$C500,"Secure the Blessings")+SUMIFS('S&amp;L Data'!AU2:AU500,'S&amp;L Data'!$C2:$C500,"Obligations")</f>
        <v>1103268100</v>
      </c>
      <c r="AK65" s="117">
        <f>SUMIFS('S&amp;L Data'!AV2:AV500,'S&amp;L Data'!$C2:$C500,"Secure the Blessings")+SUMIFS('S&amp;L Data'!AV2:AV500,'S&amp;L Data'!$C2:$C500,"Obligations")</f>
        <v>1132045887</v>
      </c>
    </row>
    <row r="66" spans="1:40" outlineLevel="1">
      <c r="A66" s="22" t="str">
        <f>B65</f>
        <v>Secure the Blessings of Liberty to Ourselves and Our Posterity</v>
      </c>
      <c r="B66" s="27" t="s">
        <v>158</v>
      </c>
      <c r="C66" s="113">
        <f>SUMIFS('S&amp;L Data'!N2:N500,'S&amp;L Data'!$D2:$D500,"Education Inside the Classroom")+SUMIFS('S&amp;L Data'!N2:N500,'S&amp;L Data'!$D2:$D500,"Education Outside the Classroom")</f>
        <v>121147948</v>
      </c>
      <c r="D66" s="113">
        <f>SUMIFS('S&amp;L Data'!O2:O500,'S&amp;L Data'!$D2:$D500,"Education Inside the Classroom")+SUMIFS('S&amp;L Data'!O2:O500,'S&amp;L Data'!$D2:$D500,"Education Outside the Classroom")</f>
        <v>132323845</v>
      </c>
      <c r="E66" s="113">
        <f>SUMIFS('S&amp;L Data'!P2:P500,'S&amp;L Data'!$D2:$D500,"Education Inside the Classroom")+SUMIFS('S&amp;L Data'!P2:P500,'S&amp;L Data'!$D2:$D500,"Education Outside the Classroom")</f>
        <v>139197036</v>
      </c>
      <c r="F66" s="113">
        <f>SUMIFS('S&amp;L Data'!Q2:Q500,'S&amp;L Data'!$D2:$D500,"Education Inside the Classroom")+SUMIFS('S&amp;L Data'!Q2:Q500,'S&amp;L Data'!$D2:$D500,"Education Outside the Classroom")</f>
        <v>147259723</v>
      </c>
      <c r="G66" s="113">
        <f>SUMIFS('S&amp;L Data'!R2:R500,'S&amp;L Data'!$D2:$D500,"Education Inside the Classroom")+SUMIFS('S&amp;L Data'!R2:R500,'S&amp;L Data'!$D2:$D500,"Education Outside the Classroom")</f>
        <v>157905924</v>
      </c>
      <c r="H66" s="113">
        <f>SUMIFS('S&amp;L Data'!S2:S500,'S&amp;L Data'!$D2:$D500,"Education Inside the Classroom")+SUMIFS('S&amp;L Data'!S2:S500,'S&amp;L Data'!$D2:$D500,"Education Outside the Classroom")</f>
        <v>173428340</v>
      </c>
      <c r="I66" s="113">
        <f>SUMIFS('S&amp;L Data'!T2:T500,'S&amp;L Data'!$D2:$D500,"Education Inside the Classroom")+SUMIFS('S&amp;L Data'!T2:T500,'S&amp;L Data'!$D2:$D500,"Education Outside the Classroom")</f>
        <v>190020687</v>
      </c>
      <c r="J66" s="113">
        <f>SUMIFS('S&amp;L Data'!U2:U500,'S&amp;L Data'!$D2:$D500,"Education Inside the Classroom")+SUMIFS('S&amp;L Data'!U2:U500,'S&amp;L Data'!$D2:$D500,"Education Outside the Classroom")</f>
        <v>204928092</v>
      </c>
      <c r="K66" s="113">
        <f>SUMIFS('S&amp;L Data'!V2:V500,'S&amp;L Data'!$D2:$D500,"Education Inside the Classroom")+SUMIFS('S&amp;L Data'!V2:V500,'S&amp;L Data'!$D2:$D500,"Education Outside the Classroom")</f>
        <v>219150277</v>
      </c>
      <c r="L66" s="113">
        <f>SUMIFS('S&amp;L Data'!W2:W500,'S&amp;L Data'!$D2:$D500,"Education Inside the Classroom")+SUMIFS('S&amp;L Data'!W2:W500,'S&amp;L Data'!$D2:$D500,"Education Outside the Classroom")</f>
        <v>237621607</v>
      </c>
      <c r="M66" s="113">
        <f>SUMIFS('S&amp;L Data'!X2:X500,'S&amp;L Data'!$D2:$D500,"Education Inside the Classroom")+SUMIFS('S&amp;L Data'!X2:X500,'S&amp;L Data'!$D2:$D500,"Education Outside the Classroom")</f>
        <v>259409417</v>
      </c>
      <c r="N66" s="113">
        <f>SUMIFS('S&amp;L Data'!Y2:Y500,'S&amp;L Data'!$D2:$D500,"Education Inside the Classroom")+SUMIFS('S&amp;L Data'!Y2:Y500,'S&amp;L Data'!$D2:$D500,"Education Outside the Classroom")</f>
        <v>278117859</v>
      </c>
      <c r="O66" s="113">
        <f>SUMIFS('S&amp;L Data'!Z2:Z500,'S&amp;L Data'!$D2:$D500,"Education Inside the Classroom")+SUMIFS('S&amp;L Data'!Z2:Z500,'S&amp;L Data'!$D2:$D500,"Education Outside the Classroom")</f>
        <v>290216531</v>
      </c>
      <c r="P66" s="113">
        <f>SUMIFS('S&amp;L Data'!AA2:AA500,'S&amp;L Data'!$D2:$D500,"Education Inside the Classroom")+SUMIFS('S&amp;L Data'!AA2:AA500,'S&amp;L Data'!$D2:$D500,"Education Outside the Classroom")</f>
        <v>305022826</v>
      </c>
      <c r="Q66" s="113">
        <f>SUMIFS('S&amp;L Data'!AB2:AB500,'S&amp;L Data'!$D2:$D500,"Education Inside the Classroom")+SUMIFS('S&amp;L Data'!AB2:AB500,'S&amp;L Data'!$D2:$D500,"Education Outside the Classroom")</f>
        <v>313748034</v>
      </c>
      <c r="R66" s="113">
        <f>SUMIFS('S&amp;L Data'!AC2:AC500,'S&amp;L Data'!$D2:$D500,"Education Inside the Classroom")+SUMIFS('S&amp;L Data'!AC2:AC500,'S&amp;L Data'!$D2:$D500,"Education Outside the Classroom")</f>
        <v>336008895</v>
      </c>
      <c r="S66" s="113">
        <f>SUMIFS('S&amp;L Data'!AD2:AD500,'S&amp;L Data'!$D2:$D500,"Education Inside the Classroom")+SUMIFS('S&amp;L Data'!AD2:AD500,'S&amp;L Data'!$D2:$D500,"Education Outside the Classroom")</f>
        <v>354837286</v>
      </c>
      <c r="T66" s="113">
        <f>SUMIFS('S&amp;L Data'!AE2:AE500,'S&amp;L Data'!$D2:$D500,"Education Inside the Classroom")+SUMIFS('S&amp;L Data'!AE2:AE500,'S&amp;L Data'!$D2:$D500,"Education Outside the Classroom")</f>
        <v>372596204</v>
      </c>
      <c r="U66" s="113">
        <f>SUMIFS('S&amp;L Data'!AF2:AF500,'S&amp;L Data'!$D2:$D500,"Education Inside the Classroom")+SUMIFS('S&amp;L Data'!AF2:AF500,'S&amp;L Data'!$D2:$D500,"Education Outside the Classroom")</f>
        <v>400245205</v>
      </c>
      <c r="V66" s="113">
        <f>SUMIFS('S&amp;L Data'!AG2:AG500,'S&amp;L Data'!$D2:$D500,"Education Inside the Classroom")+SUMIFS('S&amp;L Data'!AG2:AG500,'S&amp;L Data'!$D2:$D500,"Education Outside the Classroom")</f>
        <v>429694947</v>
      </c>
      <c r="W66" s="113">
        <f>SUMIFS('S&amp;L Data'!AH2:AH500,'S&amp;L Data'!$D2:$D500,"Education Inside the Classroom")+SUMIFS('S&amp;L Data'!AH2:AH500,'S&amp;L Data'!$D2:$D500,"Education Outside the Classroom")</f>
        <v>463205679</v>
      </c>
      <c r="X66" s="113">
        <f>SUMIFS('S&amp;L Data'!AI2:AI500,'S&amp;L Data'!$D2:$D500,"Education Inside the Classroom")+SUMIFS('S&amp;L Data'!AI2:AI500,'S&amp;L Data'!$D2:$D500,"Education Outside the Classroom")</f>
        <v>501516420</v>
      </c>
      <c r="Y66" s="113">
        <f>SUMIFS('S&amp;L Data'!AJ2:AJ500,'S&amp;L Data'!$D2:$D500,"Education Inside the Classroom")+SUMIFS('S&amp;L Data'!AJ2:AJ500,'S&amp;L Data'!$D2:$D500,"Education Outside the Classroom")</f>
        <v>530663565</v>
      </c>
      <c r="Z66" s="113">
        <f>SUMIFS('S&amp;L Data'!AK2:AK500,'S&amp;L Data'!$D2:$D500,"Education Inside the Classroom")+SUMIFS('S&amp;L Data'!AK2:AK500,'S&amp;L Data'!$D2:$D500,"Education Outside the Classroom")</f>
        <v>550395095</v>
      </c>
      <c r="AA66" s="113">
        <f>SUMIFS('S&amp;L Data'!AL2:AL500,'S&amp;L Data'!$D2:$D500,"Education Inside the Classroom")+SUMIFS('S&amp;L Data'!AL2:AL500,'S&amp;L Data'!$D2:$D500,"Education Outside the Classroom")</f>
        <v>581044204</v>
      </c>
      <c r="AB66" s="113">
        <f>SUMIFS('S&amp;L Data'!AM2:AM500,'S&amp;L Data'!$D2:$D500,"Education Inside the Classroom")+SUMIFS('S&amp;L Data'!AM2:AM500,'S&amp;L Data'!$D2:$D500,"Education Outside the Classroom")</f>
        <v>608037525</v>
      </c>
      <c r="AC66" s="113">
        <f>SUMIFS('S&amp;L Data'!AN2:AN500,'S&amp;L Data'!$D2:$D500,"Education Inside the Classroom")+SUMIFS('S&amp;L Data'!AN2:AN500,'S&amp;L Data'!$D2:$D500,"Education Outside the Classroom")</f>
        <v>641008656</v>
      </c>
      <c r="AD66" s="113">
        <f>SUMIFS('S&amp;L Data'!AO2:AO500,'S&amp;L Data'!$D2:$D500,"Education Inside the Classroom")+SUMIFS('S&amp;L Data'!AO2:AO500,'S&amp;L Data'!$D2:$D500,"Education Outside the Classroom")</f>
        <v>682952146</v>
      </c>
      <c r="AE66" s="113">
        <f>SUMIFS('S&amp;L Data'!AP2:AP500,'S&amp;L Data'!$D2:$D500,"Education Inside the Classroom")+SUMIFS('S&amp;L Data'!AP2:AP500,'S&amp;L Data'!$D2:$D500,"Education Outside the Classroom")</f>
        <v>728776677</v>
      </c>
      <c r="AF66" s="113">
        <f>SUMIFS('S&amp;L Data'!AQ2:AQ500,'S&amp;L Data'!$D2:$D500,"Education Inside the Classroom")+SUMIFS('S&amp;L Data'!AQ2:AQ500,'S&amp;L Data'!$D2:$D500,"Education Outside the Classroom")</f>
        <v>747579083</v>
      </c>
      <c r="AG66" s="113">
        <f>SUMIFS('S&amp;L Data'!AR2:AR500,'S&amp;L Data'!$D2:$D500,"Education Inside the Classroom")+SUMIFS('S&amp;L Data'!AR2:AR500,'S&amp;L Data'!$D2:$D500,"Education Outside the Classroom")</f>
        <v>749970217</v>
      </c>
      <c r="AH66" s="113">
        <f>SUMIFS('S&amp;L Data'!AS2:AS500,'S&amp;L Data'!$D2:$D500,"Education Inside the Classroom")+SUMIFS('S&amp;L Data'!AS2:AS500,'S&amp;L Data'!$D2:$D500,"Education Outside the Classroom")</f>
        <v>743869381</v>
      </c>
      <c r="AI66" s="113">
        <f>SUMIFS('S&amp;L Data'!AT2:AT500,'S&amp;L Data'!$D2:$D500,"Education Inside the Classroom")+SUMIFS('S&amp;L Data'!AT2:AT500,'S&amp;L Data'!$D2:$D500,"Education Outside the Classroom")</f>
        <v>766103398</v>
      </c>
      <c r="AJ66" s="113">
        <f>SUMIFS('S&amp;L Data'!AU2:AU500,'S&amp;L Data'!$D2:$D500,"Education Inside the Classroom")+SUMIFS('S&amp;L Data'!AU2:AU500,'S&amp;L Data'!$D2:$D500,"Education Outside the Classroom")</f>
        <v>769804450</v>
      </c>
      <c r="AK66" s="113">
        <f>SUMIFS('S&amp;L Data'!AV2:AV500,'S&amp;L Data'!$D2:$D500,"Education Inside the Classroom")+SUMIFS('S&amp;L Data'!AV2:AV500,'S&amp;L Data'!$D2:$D500,"Education Outside the Classroom")</f>
        <v>794723005</v>
      </c>
    </row>
    <row r="67" spans="1:40" outlineLevel="2">
      <c r="A67" s="22" t="str">
        <f>B66</f>
        <v>Education</v>
      </c>
      <c r="B67" s="28" t="s">
        <v>44</v>
      </c>
      <c r="C67" s="113">
        <f>SUMIFS('S&amp;L Data'!N2:N500,'S&amp;L Data'!$D2:$D500,"Education Inside the Classroom")</f>
        <v>119454321</v>
      </c>
      <c r="D67" s="113">
        <f>SUMIFS('S&amp;L Data'!O2:O500,'S&amp;L Data'!$D2:$D500,"Education Inside the Classroom")</f>
        <v>130458655</v>
      </c>
      <c r="E67" s="113">
        <f>SUMIFS('S&amp;L Data'!P2:P500,'S&amp;L Data'!$D2:$D500,"Education Inside the Classroom")</f>
        <v>137184443</v>
      </c>
      <c r="F67" s="113">
        <f>SUMIFS('S&amp;L Data'!Q2:Q500,'S&amp;L Data'!$D2:$D500,"Education Inside the Classroom")</f>
        <v>145046501</v>
      </c>
      <c r="G67" s="113">
        <f>SUMIFS('S&amp;L Data'!R2:R500,'S&amp;L Data'!$D2:$D500,"Education Inside the Classroom")</f>
        <v>155493407</v>
      </c>
      <c r="H67" s="113">
        <f>SUMIFS('S&amp;L Data'!S2:S500,'S&amp;L Data'!$D2:$D500,"Education Inside the Classroom")</f>
        <v>170728411</v>
      </c>
      <c r="I67" s="113">
        <f>SUMIFS('S&amp;L Data'!T2:T500,'S&amp;L Data'!$D2:$D500,"Education Inside the Classroom")</f>
        <v>187073186</v>
      </c>
      <c r="J67" s="113">
        <f>SUMIFS('S&amp;L Data'!U2:U500,'S&amp;L Data'!$D2:$D500,"Education Inside the Classroom")</f>
        <v>201630514</v>
      </c>
      <c r="K67" s="113">
        <f>SUMIFS('S&amp;L Data'!V2:V500,'S&amp;L Data'!$D2:$D500,"Education Inside the Classroom")</f>
        <v>215649530</v>
      </c>
      <c r="L67" s="113">
        <f>SUMIFS('S&amp;L Data'!W2:W500,'S&amp;L Data'!$D2:$D500,"Education Inside the Classroom")</f>
        <v>233838156</v>
      </c>
      <c r="M67" s="113">
        <f>SUMIFS('S&amp;L Data'!X2:X500,'S&amp;L Data'!$D2:$D500,"Education Inside the Classroom")</f>
        <v>255307603</v>
      </c>
      <c r="N67" s="113">
        <f>SUMIFS('S&amp;L Data'!Y2:Y500,'S&amp;L Data'!$D2:$D500,"Education Inside the Classroom")</f>
        <v>273675722</v>
      </c>
      <c r="O67" s="113">
        <f>SUMIFS('S&amp;L Data'!Z2:Z500,'S&amp;L Data'!$D2:$D500,"Education Inside the Classroom")</f>
        <v>285506613</v>
      </c>
      <c r="P67" s="113">
        <f>SUMIFS('S&amp;L Data'!AA2:AA500,'S&amp;L Data'!$D2:$D500,"Education Inside the Classroom")</f>
        <v>300360379</v>
      </c>
      <c r="Q67" s="113">
        <f>SUMIFS('S&amp;L Data'!AB2:AB500,'S&amp;L Data'!$D2:$D500,"Education Inside the Classroom")</f>
        <v>308793901</v>
      </c>
      <c r="R67" s="113">
        <f>SUMIFS('S&amp;L Data'!AC2:AC500,'S&amp;L Data'!$D2:$D500,"Education Inside the Classroom")</f>
        <v>330724218</v>
      </c>
      <c r="S67" s="113">
        <f>SUMIFS('S&amp;L Data'!AD2:AD500,'S&amp;L Data'!$D2:$D500,"Education Inside the Classroom")</f>
        <v>349117247</v>
      </c>
      <c r="T67" s="113">
        <f>SUMIFS('S&amp;L Data'!AE2:AE500,'S&amp;L Data'!$D2:$D500,"Education Inside the Classroom")</f>
        <v>366303685</v>
      </c>
      <c r="U67" s="113">
        <f>SUMIFS('S&amp;L Data'!AF2:AF500,'S&amp;L Data'!$D2:$D500,"Education Inside the Classroom")</f>
        <v>393676082</v>
      </c>
      <c r="V67" s="113">
        <f>SUMIFS('S&amp;L Data'!AG2:AG500,'S&amp;L Data'!$D2:$D500,"Education Inside the Classroom")</f>
        <v>422853965</v>
      </c>
      <c r="W67" s="113">
        <f>SUMIFS('S&amp;L Data'!AH2:AH500,'S&amp;L Data'!$D2:$D500,"Education Inside the Classroom")</f>
        <v>456050323</v>
      </c>
      <c r="X67" s="113">
        <f>SUMIFS('S&amp;L Data'!AI2:AI500,'S&amp;L Data'!$D2:$D500,"Education Inside the Classroom")</f>
        <v>493714329</v>
      </c>
      <c r="Y67" s="113">
        <f>SUMIFS('S&amp;L Data'!AJ2:AJ500,'S&amp;L Data'!$D2:$D500,"Education Inside the Classroom")</f>
        <v>522403494</v>
      </c>
      <c r="Z67" s="113">
        <f>SUMIFS('S&amp;L Data'!AK2:AK500,'S&amp;L Data'!$D2:$D500,"Education Inside the Classroom")</f>
        <v>542813411</v>
      </c>
      <c r="AA67" s="113">
        <f>SUMIFS('S&amp;L Data'!AL2:AL500,'S&amp;L Data'!$D2:$D500,"Education Inside the Classroom")</f>
        <v>571755621</v>
      </c>
      <c r="AB67" s="113">
        <f>SUMIFS('S&amp;L Data'!AM2:AM500,'S&amp;L Data'!$D2:$D500,"Education Inside the Classroom")</f>
        <v>598245147</v>
      </c>
      <c r="AC67" s="113">
        <f>SUMIFS('S&amp;L Data'!AN2:AN500,'S&amp;L Data'!$D2:$D500,"Education Inside the Classroom")</f>
        <v>632120996</v>
      </c>
      <c r="AD67" s="113">
        <f>SUMIFS('S&amp;L Data'!AO2:AO500,'S&amp;L Data'!$D2:$D500,"Education Inside the Classroom")</f>
        <v>672186206</v>
      </c>
      <c r="AE67" s="113">
        <f>SUMIFS('S&amp;L Data'!AP2:AP500,'S&amp;L Data'!$D2:$D500,"Education Inside the Classroom")</f>
        <v>717255487</v>
      </c>
      <c r="AF67" s="113">
        <f>SUMIFS('S&amp;L Data'!AQ2:AQ500,'S&amp;L Data'!$D2:$D500,"Education Inside the Classroom")</f>
        <v>736448822</v>
      </c>
      <c r="AG67" s="113">
        <f>SUMIFS('S&amp;L Data'!AR2:AR500,'S&amp;L Data'!$D2:$D500,"Education Inside the Classroom")</f>
        <v>738979205</v>
      </c>
      <c r="AH67" s="113">
        <f>SUMIFS('S&amp;L Data'!AS2:AS500,'S&amp;L Data'!$D2:$D500,"Education Inside the Classroom")</f>
        <v>733170870</v>
      </c>
      <c r="AI67" s="113">
        <f>SUMIFS('S&amp;L Data'!AT2:AT500,'S&amp;L Data'!$D2:$D500,"Education Inside the Classroom")</f>
        <v>754643667</v>
      </c>
      <c r="AJ67" s="113">
        <f>SUMIFS('S&amp;L Data'!AU2:AU500,'S&amp;L Data'!$D2:$D500,"Education Inside the Classroom")</f>
        <v>758653999</v>
      </c>
      <c r="AK67" s="113">
        <f>SUMIFS('S&amp;L Data'!AV2:AV500,'S&amp;L Data'!$D2:$D500,"Education Inside the Classroom")</f>
        <v>783564716</v>
      </c>
    </row>
    <row r="68" spans="1:40" outlineLevel="3">
      <c r="A68" s="22" t="str">
        <f>B67</f>
        <v>Education Inside the Classroom</v>
      </c>
      <c r="B68" s="29" t="s">
        <v>289</v>
      </c>
      <c r="C68" s="113">
        <f>SUMIFS('S&amp;L Data'!N2:N500,'S&amp;L Data'!$E2:$E500,"Elementary and Secondary Education")</f>
        <v>91878286</v>
      </c>
      <c r="D68" s="113">
        <f>SUMIFS('S&amp;L Data'!O2:O500,'S&amp;L Data'!$E2:$E500,"Elementary and Secondary Education")</f>
        <v>99521862</v>
      </c>
      <c r="E68" s="113">
        <f>SUMIFS('S&amp;L Data'!P2:P500,'S&amp;L Data'!$E2:$E500,"Elementary and Secondary Education")</f>
        <v>104841980</v>
      </c>
      <c r="F68" s="113">
        <f>SUMIFS('S&amp;L Data'!Q2:Q500,'S&amp;L Data'!$E2:$E500,"Elementary and Secondary Education")</f>
        <v>111714345</v>
      </c>
      <c r="G68" s="113">
        <f>SUMIFS('S&amp;L Data'!R2:R500,'S&amp;L Data'!$E2:$E500,"Elementary and Secondary Education")</f>
        <v>119577524</v>
      </c>
      <c r="H68" s="113">
        <f>SUMIFS('S&amp;L Data'!S2:S500,'S&amp;L Data'!$E2:$E500,"Elementary and Secondary Education")</f>
        <v>130867116</v>
      </c>
      <c r="I68" s="113">
        <f>SUMIFS('S&amp;L Data'!T2:T500,'S&amp;L Data'!$E2:$E500,"Elementary and Secondary Education")</f>
        <v>144148137</v>
      </c>
      <c r="J68" s="113">
        <f>SUMIFS('S&amp;L Data'!U2:U500,'S&amp;L Data'!$E2:$E500,"Elementary and Secondary Education")</f>
        <v>156139518</v>
      </c>
      <c r="K68" s="113">
        <f>SUMIFS('S&amp;L Data'!V2:V500,'S&amp;L Data'!$E2:$E500,"Elementary and Secondary Education")</f>
        <v>168366811</v>
      </c>
      <c r="L68" s="113">
        <f>SUMIFS('S&amp;L Data'!W2:W500,'S&amp;L Data'!$E2:$E500,"Elementary and Secondary Education")</f>
        <v>183398503</v>
      </c>
      <c r="M68" s="113">
        <f>SUMIFS('S&amp;L Data'!X2:X500,'S&amp;L Data'!$E2:$E500,"Elementary and Secondary Education")</f>
        <v>200436227</v>
      </c>
      <c r="N68" s="113">
        <f>SUMIFS('S&amp;L Data'!Y2:Y500,'S&amp;L Data'!$E2:$E500,"Elementary and Secondary Education")</f>
        <v>216399102</v>
      </c>
      <c r="O68" s="113">
        <f>SUMIFS('S&amp;L Data'!Z2:Z500,'S&amp;L Data'!$E2:$E500,"Elementary and Secondary Education")</f>
        <v>225873520</v>
      </c>
      <c r="P68" s="113">
        <f>SUMIFS('S&amp;L Data'!AA2:AA500,'S&amp;L Data'!$E2:$E500,"Elementary and Secondary Education")</f>
        <v>239548787</v>
      </c>
      <c r="Q68" s="113">
        <f>SUMIFS('S&amp;L Data'!AB2:AB500,'S&amp;L Data'!$E2:$E500,"Elementary and Secondary Education")</f>
        <v>246526230</v>
      </c>
      <c r="R68" s="113">
        <f>SUMIFS('S&amp;L Data'!AC2:AC500,'S&amp;L Data'!$E2:$E500,"Elementary and Secondary Education")</f>
        <v>264507206</v>
      </c>
      <c r="S68" s="113">
        <f>SUMIFS('S&amp;L Data'!AD2:AD500,'S&amp;L Data'!$E2:$E500,"Elementary and Secondary Education")</f>
        <v>280378469</v>
      </c>
      <c r="T68" s="113">
        <f>SUMIFS('S&amp;L Data'!AE2:AE500,'S&amp;L Data'!$E2:$E500,"Elementary and Secondary Education")</f>
        <v>294817894</v>
      </c>
      <c r="U68" s="113">
        <f>SUMIFS('S&amp;L Data'!AF2:AF500,'S&amp;L Data'!$E2:$E500,"Elementary and Secondary Education")</f>
        <v>318289990</v>
      </c>
      <c r="V68" s="113">
        <f>SUMIFS('S&amp;L Data'!AG2:AG500,'S&amp;L Data'!$E2:$E500,"Elementary and Secondary Education")</f>
        <v>340215405</v>
      </c>
      <c r="W68" s="113">
        <f>SUMIFS('S&amp;L Data'!AH2:AH500,'S&amp;L Data'!$E2:$E500,"Elementary and Secondary Education")</f>
        <v>365624809</v>
      </c>
      <c r="X68" s="113">
        <f>SUMIFS('S&amp;L Data'!AI2:AI500,'S&amp;L Data'!$E2:$E500,"Elementary and Secondary Education")</f>
        <v>393822363</v>
      </c>
      <c r="Y68" s="113">
        <f>SUMIFS('S&amp;L Data'!AJ2:AJ500,'S&amp;L Data'!$E2:$E500,"Elementary and Secondary Education")</f>
        <v>413905575</v>
      </c>
      <c r="Z68" s="113">
        <f>SUMIFS('S&amp;L Data'!AK2:AK500,'S&amp;L Data'!$E2:$E500,"Elementary and Secondary Education")</f>
        <v>431230698</v>
      </c>
      <c r="AA68" s="113">
        <f>SUMIFS('S&amp;L Data'!AL2:AL500,'S&amp;L Data'!$E2:$E500,"Elementary and Secondary Education")</f>
        <v>455364585</v>
      </c>
      <c r="AB68" s="113">
        <f>SUMIFS('S&amp;L Data'!AM2:AM500,'S&amp;L Data'!$E2:$E500,"Elementary and Secondary Education")</f>
        <v>478140102</v>
      </c>
      <c r="AC68" s="113">
        <f>SUMIFS('S&amp;L Data'!AN2:AN500,'S&amp;L Data'!$E2:$E500,"Elementary and Secondary Education")</f>
        <v>506849584</v>
      </c>
      <c r="AD68" s="113">
        <f>SUMIFS('S&amp;L Data'!AO2:AO500,'S&amp;L Data'!$E2:$E500,"Elementary and Secondary Education")</f>
        <v>539426458</v>
      </c>
      <c r="AE68" s="113">
        <f>SUMIFS('S&amp;L Data'!AP2:AP500,'S&amp;L Data'!$E2:$E500,"Elementary and Secondary Education")</f>
        <v>571134344</v>
      </c>
      <c r="AF68" s="113">
        <f>SUMIFS('S&amp;L Data'!AQ2:AQ500,'S&amp;L Data'!$E2:$E500,"Elementary and Secondary Education")</f>
        <v>584886702</v>
      </c>
      <c r="AG68" s="113">
        <f>SUMIFS('S&amp;L Data'!AR2:AR500,'S&amp;L Data'!$E2:$E500,"Elementary and Secondary Education")</f>
        <v>582942574</v>
      </c>
      <c r="AH68" s="113">
        <f>SUMIFS('S&amp;L Data'!AS2:AS500,'S&amp;L Data'!$E2:$E500,"Elementary and Secondary Education")</f>
        <v>576200339</v>
      </c>
      <c r="AI68" s="113">
        <f>SUMIFS('S&amp;L Data'!AT2:AT500,'S&amp;L Data'!$E2:$E500,"Elementary and Secondary Education")</f>
        <v>577011319</v>
      </c>
      <c r="AJ68" s="113">
        <f>SUMIFS('S&amp;L Data'!AU2:AU500,'S&amp;L Data'!$E2:$E500,"Elementary and Secondary Education")</f>
        <v>582482623</v>
      </c>
      <c r="AK68" s="113">
        <f>SUMIFS('S&amp;L Data'!AV2:AV500,'S&amp;L Data'!$E2:$E500,"Elementary and Secondary Education")</f>
        <v>601189209</v>
      </c>
    </row>
    <row r="69" spans="1:40" outlineLevel="3">
      <c r="A69" s="22" t="str">
        <f>B67</f>
        <v>Education Inside the Classroom</v>
      </c>
      <c r="B69" s="29" t="s">
        <v>288</v>
      </c>
      <c r="C69" s="113">
        <f>SUMIFS('S&amp;L Data'!N2:N500,'S&amp;L Data'!$E2:$E500,"Higher Education")</f>
        <v>23510656</v>
      </c>
      <c r="D69" s="113">
        <f>SUMIFS('S&amp;L Data'!O2:O500,'S&amp;L Data'!$E2:$E500,"Higher Education")</f>
        <v>26311278</v>
      </c>
      <c r="E69" s="113">
        <f>SUMIFS('S&amp;L Data'!P2:P500,'S&amp;L Data'!$E2:$E500,"Higher Education")</f>
        <v>28045349</v>
      </c>
      <c r="F69" s="113">
        <f>SUMIFS('S&amp;L Data'!Q2:Q500,'S&amp;L Data'!$E2:$E500,"Higher Education")</f>
        <v>29011915</v>
      </c>
      <c r="G69" s="113">
        <f>SUMIFS('S&amp;L Data'!R2:R500,'S&amp;L Data'!$E2:$E500,"Higher Education")</f>
        <v>31250795</v>
      </c>
      <c r="H69" s="113">
        <f>SUMIFS('S&amp;L Data'!S2:S500,'S&amp;L Data'!$E2:$E500,"Higher Education")</f>
        <v>34782333</v>
      </c>
      <c r="I69" s="113">
        <f>SUMIFS('S&amp;L Data'!T2:T500,'S&amp;L Data'!$E2:$E500,"Higher Education")</f>
        <v>37474836</v>
      </c>
      <c r="J69" s="113">
        <f>SUMIFS('S&amp;L Data'!U2:U500,'S&amp;L Data'!$E2:$E500,"Higher Education")</f>
        <v>39829454</v>
      </c>
      <c r="K69" s="113">
        <f>SUMIFS('S&amp;L Data'!V2:V500,'S&amp;L Data'!$E2:$E500,"Higher Education")</f>
        <v>41023776</v>
      </c>
      <c r="L69" s="113">
        <f>SUMIFS('S&amp;L Data'!W2:W500,'S&amp;L Data'!$E2:$E500,"Higher Education")</f>
        <v>43500898</v>
      </c>
      <c r="M69" s="113">
        <f>SUMIFS('S&amp;L Data'!X2:X500,'S&amp;L Data'!$E2:$E500,"Higher Education")</f>
        <v>47078872</v>
      </c>
      <c r="N69" s="113">
        <f>SUMIFS('S&amp;L Data'!Y2:Y500,'S&amp;L Data'!$E2:$E500,"Higher Education")</f>
        <v>49897850</v>
      </c>
      <c r="O69" s="113">
        <f>SUMIFS('S&amp;L Data'!Z2:Z500,'S&amp;L Data'!$E2:$E500,"Higher Education")</f>
        <v>52109177</v>
      </c>
      <c r="P69" s="113">
        <f>SUMIFS('S&amp;L Data'!AA2:AA500,'S&amp;L Data'!$E2:$E500,"Higher Education")</f>
        <v>53153548</v>
      </c>
      <c r="Q69" s="113">
        <f>SUMIFS('S&amp;L Data'!AB2:AB500,'S&amp;L Data'!$E2:$E500,"Higher Education")</f>
        <v>53811952</v>
      </c>
      <c r="R69" s="113">
        <f>SUMIFS('S&amp;L Data'!AC2:AC500,'S&amp;L Data'!$E2:$E500,"Higher Education")</f>
        <v>57297710</v>
      </c>
      <c r="S69" s="113">
        <f>SUMIFS('S&amp;L Data'!AD2:AD500,'S&amp;L Data'!$E2:$E500,"Higher Education")</f>
        <v>59189988</v>
      </c>
      <c r="T69" s="113">
        <f>SUMIFS('S&amp;L Data'!AE2:AE500,'S&amp;L Data'!$E2:$E500,"Higher Education")</f>
        <v>61829911</v>
      </c>
      <c r="U69" s="113">
        <f>SUMIFS('S&amp;L Data'!AF2:AF500,'S&amp;L Data'!$E2:$E500,"Higher Education")</f>
        <v>65370084</v>
      </c>
      <c r="V69" s="113">
        <f>SUMIFS('S&amp;L Data'!AG2:AG500,'S&amp;L Data'!$E2:$E500,"Higher Education")</f>
        <v>72049963</v>
      </c>
      <c r="W69" s="113">
        <f>SUMIFS('S&amp;L Data'!AH2:AH500,'S&amp;L Data'!$E2:$E500,"Higher Education")</f>
        <v>79059205</v>
      </c>
      <c r="X69" s="113">
        <f>SUMIFS('S&amp;L Data'!AI2:AI500,'S&amp;L Data'!$E2:$E500,"Higher Education")</f>
        <v>87021971</v>
      </c>
      <c r="Y69" s="113">
        <f>SUMIFS('S&amp;L Data'!AJ2:AJ500,'S&amp;L Data'!$E2:$E500,"Higher Education")</f>
        <v>95495625</v>
      </c>
      <c r="Z69" s="113">
        <f>SUMIFS('S&amp;L Data'!AK2:AK500,'S&amp;L Data'!$E2:$E500,"Higher Education")</f>
        <v>97355570</v>
      </c>
      <c r="AA69" s="113">
        <f>SUMIFS('S&amp;L Data'!AL2:AL500,'S&amp;L Data'!$E2:$E500,"Higher Education")</f>
        <v>101943499</v>
      </c>
      <c r="AB69" s="113">
        <f>SUMIFS('S&amp;L Data'!AM2:AM500,'S&amp;L Data'!$E2:$E500,"Higher Education")</f>
        <v>105406713</v>
      </c>
      <c r="AC69" s="113">
        <f>SUMIFS('S&amp;L Data'!AN2:AN500,'S&amp;L Data'!$E2:$E500,"Higher Education")</f>
        <v>109562107</v>
      </c>
      <c r="AD69" s="113">
        <f>SUMIFS('S&amp;L Data'!AO2:AO500,'S&amp;L Data'!$E2:$E500,"Higher Education")</f>
        <v>117501686</v>
      </c>
      <c r="AE69" s="113">
        <f>SUMIFS('S&amp;L Data'!AP2:AP500,'S&amp;L Data'!$E2:$E500,"Higher Education")</f>
        <v>129954447</v>
      </c>
      <c r="AF69" s="113">
        <f>SUMIFS('S&amp;L Data'!AQ2:AQ500,'S&amp;L Data'!$E2:$E500,"Higher Education")</f>
        <v>135155241</v>
      </c>
      <c r="AG69" s="113">
        <f>SUMIFS('S&amp;L Data'!AR2:AR500,'S&amp;L Data'!$E2:$E500,"Higher Education")</f>
        <v>137999872</v>
      </c>
      <c r="AH69" s="113">
        <f>SUMIFS('S&amp;L Data'!AS2:AS500,'S&amp;L Data'!$E2:$E500,"Higher Education")</f>
        <v>139241220</v>
      </c>
      <c r="AI69" s="113">
        <f>SUMIFS('S&amp;L Data'!AT2:AT500,'S&amp;L Data'!$E2:$E500,"Higher Education")</f>
        <v>160615261</v>
      </c>
      <c r="AJ69" s="113">
        <f>SUMIFS('S&amp;L Data'!AU2:AU500,'S&amp;L Data'!$E2:$E500,"Higher Education")</f>
        <v>158986758</v>
      </c>
      <c r="AK69" s="113">
        <f>SUMIFS('S&amp;L Data'!AV2:AV500,'S&amp;L Data'!$E2:$E500,"Higher Education")</f>
        <v>164109632</v>
      </c>
    </row>
    <row r="70" spans="1:40" outlineLevel="3">
      <c r="A70" s="22" t="str">
        <f>B67</f>
        <v>Education Inside the Classroom</v>
      </c>
      <c r="B70" s="29" t="s">
        <v>48</v>
      </c>
      <c r="C70" s="113">
        <f>SUMIFS('S&amp;L Data'!N2:N500,'S&amp;L Data'!$E2:$E500,"Education Unallocable")</f>
        <v>4065379</v>
      </c>
      <c r="D70" s="113">
        <f>SUMIFS('S&amp;L Data'!O2:O500,'S&amp;L Data'!$E2:$E500,"Education Unallocable")</f>
        <v>4625515</v>
      </c>
      <c r="E70" s="113">
        <f>SUMIFS('S&amp;L Data'!P2:P500,'S&amp;L Data'!$E2:$E500,"Education Unallocable")</f>
        <v>4297114</v>
      </c>
      <c r="F70" s="113">
        <f>SUMIFS('S&amp;L Data'!Q2:Q500,'S&amp;L Data'!$E2:$E500,"Education Unallocable")</f>
        <v>4320241</v>
      </c>
      <c r="G70" s="113">
        <f>SUMIFS('S&amp;L Data'!R2:R500,'S&amp;L Data'!$E2:$E500,"Education Unallocable")</f>
        <v>4665088</v>
      </c>
      <c r="H70" s="113">
        <f>SUMIFS('S&amp;L Data'!S2:S500,'S&amp;L Data'!$E2:$E500,"Education Unallocable")</f>
        <v>5078962</v>
      </c>
      <c r="I70" s="113">
        <f>SUMIFS('S&amp;L Data'!T2:T500,'S&amp;L Data'!$E2:$E500,"Education Unallocable")</f>
        <v>5450213</v>
      </c>
      <c r="J70" s="113">
        <f>SUMIFS('S&amp;L Data'!U2:U500,'S&amp;L Data'!$E2:$E500,"Education Unallocable")</f>
        <v>5661542</v>
      </c>
      <c r="K70" s="113">
        <f>SUMIFS('S&amp;L Data'!V2:V500,'S&amp;L Data'!$E2:$E500,"Education Unallocable")</f>
        <v>6258943</v>
      </c>
      <c r="L70" s="113">
        <f>SUMIFS('S&amp;L Data'!W2:W500,'S&amp;L Data'!$E2:$E500,"Education Unallocable")</f>
        <v>6938755</v>
      </c>
      <c r="M70" s="113">
        <f>SUMIFS('S&amp;L Data'!X2:X500,'S&amp;L Data'!$E2:$E500,"Education Unallocable")</f>
        <v>7792504</v>
      </c>
      <c r="N70" s="113">
        <f>SUMIFS('S&amp;L Data'!Y2:Y500,'S&amp;L Data'!$E2:$E500,"Education Unallocable")</f>
        <v>7378770</v>
      </c>
      <c r="O70" s="113">
        <f>SUMIFS('S&amp;L Data'!Z2:Z500,'S&amp;L Data'!$E2:$E500,"Education Unallocable")</f>
        <v>7523916</v>
      </c>
      <c r="P70" s="113">
        <f>SUMIFS('S&amp;L Data'!AA2:AA500,'S&amp;L Data'!$E2:$E500,"Education Unallocable")</f>
        <v>7658044</v>
      </c>
      <c r="Q70" s="113">
        <f>SUMIFS('S&amp;L Data'!AB2:AB500,'S&amp;L Data'!$E2:$E500,"Education Unallocable")</f>
        <v>8455719</v>
      </c>
      <c r="R70" s="113">
        <f>SUMIFS('S&amp;L Data'!AC2:AC500,'S&amp;L Data'!$E2:$E500,"Education Unallocable")</f>
        <v>8919302</v>
      </c>
      <c r="S70" s="113">
        <f>SUMIFS('S&amp;L Data'!AD2:AD500,'S&amp;L Data'!$E2:$E500,"Education Unallocable")</f>
        <v>9548790</v>
      </c>
      <c r="T70" s="113">
        <f>SUMIFS('S&amp;L Data'!AE2:AE500,'S&amp;L Data'!$E2:$E500,"Education Unallocable")</f>
        <v>9655880</v>
      </c>
      <c r="U70" s="113">
        <f>SUMIFS('S&amp;L Data'!AF2:AF500,'S&amp;L Data'!$E2:$E500,"Education Unallocable")</f>
        <v>10016008</v>
      </c>
      <c r="V70" s="113">
        <f>SUMIFS('S&amp;L Data'!AG2:AG500,'S&amp;L Data'!$E2:$E500,"Education Unallocable")</f>
        <v>10588597</v>
      </c>
      <c r="W70" s="113">
        <f>SUMIFS('S&amp;L Data'!AH2:AH500,'S&amp;L Data'!$E2:$E500,"Education Unallocable")</f>
        <v>11366309</v>
      </c>
      <c r="X70" s="113">
        <f>SUMIFS('S&amp;L Data'!AI2:AI500,'S&amp;L Data'!$E2:$E500,"Education Unallocable")</f>
        <v>12869995</v>
      </c>
      <c r="Y70" s="113">
        <f>SUMIFS('S&amp;L Data'!AJ2:AJ500,'S&amp;L Data'!$E2:$E500,"Education Unallocable")</f>
        <v>13002294</v>
      </c>
      <c r="Z70" s="113">
        <f>SUMIFS('S&amp;L Data'!AK2:AK500,'S&amp;L Data'!$E2:$E500,"Education Unallocable")</f>
        <v>14227143</v>
      </c>
      <c r="AA70" s="113">
        <f>SUMIFS('S&amp;L Data'!AL2:AL500,'S&amp;L Data'!$E2:$E500,"Education Unallocable")</f>
        <v>14447537</v>
      </c>
      <c r="AB70" s="113">
        <f>SUMIFS('S&amp;L Data'!AM2:AM500,'S&amp;L Data'!$E2:$E500,"Education Unallocable")</f>
        <v>14698332</v>
      </c>
      <c r="AC70" s="113">
        <f>SUMIFS('S&amp;L Data'!AN2:AN500,'S&amp;L Data'!$E2:$E500,"Education Unallocable")</f>
        <v>15709305</v>
      </c>
      <c r="AD70" s="113">
        <f>SUMIFS('S&amp;L Data'!AO2:AO500,'S&amp;L Data'!$E2:$E500,"Education Unallocable")</f>
        <v>15258062</v>
      </c>
      <c r="AE70" s="113">
        <f>SUMIFS('S&amp;L Data'!AP2:AP500,'S&amp;L Data'!$E2:$E500,"Education Unallocable")</f>
        <v>16166696</v>
      </c>
      <c r="AF70" s="113">
        <f>SUMIFS('S&amp;L Data'!AQ2:AQ500,'S&amp;L Data'!$E2:$E500,"Education Unallocable")</f>
        <v>16406879</v>
      </c>
      <c r="AG70" s="113">
        <f>SUMIFS('S&amp;L Data'!AR2:AR500,'S&amp;L Data'!$E2:$E500,"Education Unallocable")</f>
        <v>18036759</v>
      </c>
      <c r="AH70" s="113">
        <f>SUMIFS('S&amp;L Data'!AS2:AS500,'S&amp;L Data'!$E2:$E500,"Education Unallocable")</f>
        <v>17729311</v>
      </c>
      <c r="AI70" s="113">
        <f>SUMIFS('S&amp;L Data'!AT2:AT500,'S&amp;L Data'!$E2:$E500,"Education Unallocable")</f>
        <v>17017087</v>
      </c>
      <c r="AJ70" s="113">
        <f>SUMIFS('S&amp;L Data'!AU2:AU500,'S&amp;L Data'!$E2:$E500,"Education Unallocable")</f>
        <v>17184618</v>
      </c>
      <c r="AK70" s="113">
        <f>SUMIFS('S&amp;L Data'!AV2:AV500,'S&amp;L Data'!$E2:$E500,"Education Unallocable")</f>
        <v>18265875</v>
      </c>
    </row>
    <row r="71" spans="1:40" outlineLevel="2">
      <c r="A71" s="22" t="str">
        <f>B66</f>
        <v>Education</v>
      </c>
      <c r="B71" s="28" t="s">
        <v>129</v>
      </c>
      <c r="C71" s="113">
        <f>SUMIFS('S&amp;L Data'!N2:N500,'S&amp;L Data'!$D2:$D500,"Education Outside the Classroom")</f>
        <v>1693627</v>
      </c>
      <c r="D71" s="113">
        <f>SUMIFS('S&amp;L Data'!O2:O500,'S&amp;L Data'!$D2:$D500,"Education Outside the Classroom")</f>
        <v>1865190</v>
      </c>
      <c r="E71" s="113">
        <f>SUMIFS('S&amp;L Data'!P2:P500,'S&amp;L Data'!$D2:$D500,"Education Outside the Classroom")</f>
        <v>2012593</v>
      </c>
      <c r="F71" s="113">
        <f>SUMIFS('S&amp;L Data'!Q2:Q500,'S&amp;L Data'!$D2:$D500,"Education Outside the Classroom")</f>
        <v>2213222</v>
      </c>
      <c r="G71" s="113">
        <f>SUMIFS('S&amp;L Data'!R2:R500,'S&amp;L Data'!$D2:$D500,"Education Outside the Classroom")</f>
        <v>2412517</v>
      </c>
      <c r="H71" s="113">
        <f>SUMIFS('S&amp;L Data'!S2:S500,'S&amp;L Data'!$D2:$D500,"Education Outside the Classroom")</f>
        <v>2699929</v>
      </c>
      <c r="I71" s="113">
        <f>SUMIFS('S&amp;L Data'!T2:T500,'S&amp;L Data'!$D2:$D500,"Education Outside the Classroom")</f>
        <v>2947501</v>
      </c>
      <c r="J71" s="113">
        <f>SUMIFS('S&amp;L Data'!U2:U500,'S&amp;L Data'!$D2:$D500,"Education Outside the Classroom")</f>
        <v>3297578</v>
      </c>
      <c r="K71" s="113">
        <f>SUMIFS('S&amp;L Data'!V2:V500,'S&amp;L Data'!$D2:$D500,"Education Outside the Classroom")</f>
        <v>3500747</v>
      </c>
      <c r="L71" s="113">
        <f>SUMIFS('S&amp;L Data'!W2:W500,'S&amp;L Data'!$D2:$D500,"Education Outside the Classroom")</f>
        <v>3783451</v>
      </c>
      <c r="M71" s="113">
        <f>SUMIFS('S&amp;L Data'!X2:X500,'S&amp;L Data'!$D2:$D500,"Education Outside the Classroom")</f>
        <v>4101814</v>
      </c>
      <c r="N71" s="113">
        <f>SUMIFS('S&amp;L Data'!Y2:Y500,'S&amp;L Data'!$D2:$D500,"Education Outside the Classroom")</f>
        <v>4442137</v>
      </c>
      <c r="O71" s="113">
        <f>SUMIFS('S&amp;L Data'!Z2:Z500,'S&amp;L Data'!$D2:$D500,"Education Outside the Classroom")</f>
        <v>4709918</v>
      </c>
      <c r="P71" s="113">
        <f>SUMIFS('S&amp;L Data'!AA2:AA500,'S&amp;L Data'!$D2:$D500,"Education Outside the Classroom")</f>
        <v>4662447</v>
      </c>
      <c r="Q71" s="113">
        <f>SUMIFS('S&amp;L Data'!AB2:AB500,'S&amp;L Data'!$D2:$D500,"Education Outside the Classroom")</f>
        <v>4954133</v>
      </c>
      <c r="R71" s="113">
        <f>SUMIFS('S&amp;L Data'!AC2:AC500,'S&amp;L Data'!$D2:$D500,"Education Outside the Classroom")</f>
        <v>5284677</v>
      </c>
      <c r="S71" s="113">
        <f>SUMIFS('S&amp;L Data'!AD2:AD500,'S&amp;L Data'!$D2:$D500,"Education Outside the Classroom")</f>
        <v>5720039</v>
      </c>
      <c r="T71" s="113">
        <f>SUMIFS('S&amp;L Data'!AE2:AE500,'S&amp;L Data'!$D2:$D500,"Education Outside the Classroom")</f>
        <v>6292519</v>
      </c>
      <c r="U71" s="113">
        <f>SUMIFS('S&amp;L Data'!AF2:AF500,'S&amp;L Data'!$D2:$D500,"Education Outside the Classroom")</f>
        <v>6569123</v>
      </c>
      <c r="V71" s="113">
        <f>SUMIFS('S&amp;L Data'!AG2:AG500,'S&amp;L Data'!$D2:$D500,"Education Outside the Classroom")</f>
        <v>6840982</v>
      </c>
      <c r="W71" s="113">
        <f>SUMIFS('S&amp;L Data'!AH2:AH500,'S&amp;L Data'!$D2:$D500,"Education Outside the Classroom")</f>
        <v>7155356</v>
      </c>
      <c r="X71" s="113">
        <f>SUMIFS('S&amp;L Data'!AI2:AI500,'S&amp;L Data'!$D2:$D500,"Education Outside the Classroom")</f>
        <v>7802091</v>
      </c>
      <c r="Y71" s="113">
        <f>SUMIFS('S&amp;L Data'!AJ2:AJ500,'S&amp;L Data'!$D2:$D500,"Education Outside the Classroom")</f>
        <v>8260071</v>
      </c>
      <c r="Z71" s="113">
        <f>SUMIFS('S&amp;L Data'!AK2:AK500,'S&amp;L Data'!$D2:$D500,"Education Outside the Classroom")</f>
        <v>7581684</v>
      </c>
      <c r="AA71" s="113">
        <f>SUMIFS('S&amp;L Data'!AL2:AL500,'S&amp;L Data'!$D2:$D500,"Education Outside the Classroom")</f>
        <v>9288583</v>
      </c>
      <c r="AB71" s="113">
        <f>SUMIFS('S&amp;L Data'!AM2:AM500,'S&amp;L Data'!$D2:$D500,"Education Outside the Classroom")</f>
        <v>9792378</v>
      </c>
      <c r="AC71" s="113">
        <f>SUMIFS('S&amp;L Data'!AN2:AN500,'S&amp;L Data'!$D2:$D500,"Education Outside the Classroom")</f>
        <v>8887660</v>
      </c>
      <c r="AD71" s="113">
        <f>SUMIFS('S&amp;L Data'!AO2:AO500,'S&amp;L Data'!$D2:$D500,"Education Outside the Classroom")</f>
        <v>10765940</v>
      </c>
      <c r="AE71" s="113">
        <f>SUMIFS('S&amp;L Data'!AP2:AP500,'S&amp;L Data'!$D2:$D500,"Education Outside the Classroom")</f>
        <v>11521190</v>
      </c>
      <c r="AF71" s="113">
        <f>SUMIFS('S&amp;L Data'!AQ2:AQ500,'S&amp;L Data'!$D2:$D500,"Education Outside the Classroom")</f>
        <v>11130261</v>
      </c>
      <c r="AG71" s="113">
        <f>SUMIFS('S&amp;L Data'!AR2:AR500,'S&amp;L Data'!$D2:$D500,"Education Outside the Classroom")</f>
        <v>10991012</v>
      </c>
      <c r="AH71" s="113">
        <f>SUMIFS('S&amp;L Data'!AS2:AS500,'S&amp;L Data'!$D2:$D500,"Education Outside the Classroom")</f>
        <v>10698511</v>
      </c>
      <c r="AI71" s="113">
        <f>SUMIFS('S&amp;L Data'!AT2:AT500,'S&amp;L Data'!$D2:$D500,"Education Outside the Classroom")</f>
        <v>11459731</v>
      </c>
      <c r="AJ71" s="113">
        <f>SUMIFS('S&amp;L Data'!AU2:AU500,'S&amp;L Data'!$D2:$D500,"Education Outside the Classroom")</f>
        <v>11150451</v>
      </c>
      <c r="AK71" s="113">
        <f>SUMIFS('S&amp;L Data'!AV2:AV500,'S&amp;L Data'!$D2:$D500,"Education Outside the Classroom")</f>
        <v>11158289</v>
      </c>
    </row>
    <row r="72" spans="1:40" outlineLevel="1">
      <c r="A72" s="22" t="str">
        <f>B65</f>
        <v>Secure the Blessings of Liberty to Ourselves and Our Posterity</v>
      </c>
      <c r="B72" s="27" t="s">
        <v>159</v>
      </c>
      <c r="C72" s="113">
        <f>SUMIFS('S&amp;L Data'!N2:N500,'S&amp;L Data'!$D2:$D500,"Energy, Environment, and Agriculture")</f>
        <v>22416657</v>
      </c>
      <c r="D72" s="113">
        <f>SUMIFS('S&amp;L Data'!O2:O500,'S&amp;L Data'!$D2:$D500,"Energy, Environment, and Agriculture")</f>
        <v>24770787</v>
      </c>
      <c r="E72" s="113">
        <f>SUMIFS('S&amp;L Data'!P2:P500,'S&amp;L Data'!$D2:$D500,"Energy, Environment, and Agriculture")</f>
        <v>24218384</v>
      </c>
      <c r="F72" s="113">
        <f>SUMIFS('S&amp;L Data'!Q2:Q500,'S&amp;L Data'!$D2:$D500,"Energy, Environment, and Agriculture")</f>
        <v>23843553</v>
      </c>
      <c r="G72" s="113">
        <f>SUMIFS('S&amp;L Data'!R2:R500,'S&amp;L Data'!$D2:$D500,"Energy, Environment, and Agriculture")</f>
        <v>21497636</v>
      </c>
      <c r="H72" s="113">
        <f>SUMIFS('S&amp;L Data'!S2:S500,'S&amp;L Data'!$D2:$D500,"Energy, Environment, and Agriculture")</f>
        <v>22846228</v>
      </c>
      <c r="I72" s="113">
        <f>SUMIFS('S&amp;L Data'!T2:T500,'S&amp;L Data'!$D2:$D500,"Energy, Environment, and Agriculture")</f>
        <v>26639225</v>
      </c>
      <c r="J72" s="113">
        <f>SUMIFS('S&amp;L Data'!U2:U500,'S&amp;L Data'!$D2:$D500,"Energy, Environment, and Agriculture")</f>
        <v>28166069</v>
      </c>
      <c r="K72" s="113">
        <f>SUMIFS('S&amp;L Data'!V2:V500,'S&amp;L Data'!$D2:$D500,"Energy, Environment, and Agriculture")</f>
        <v>27642744</v>
      </c>
      <c r="L72" s="113">
        <f>SUMIFS('S&amp;L Data'!W2:W500,'S&amp;L Data'!$D2:$D500,"Energy, Environment, and Agriculture")</f>
        <v>28547127</v>
      </c>
      <c r="M72" s="113">
        <f>SUMIFS('S&amp;L Data'!X2:X500,'S&amp;L Data'!$D2:$D500,"Energy, Environment, and Agriculture")</f>
        <v>31386197</v>
      </c>
      <c r="N72" s="113">
        <f>SUMIFS('S&amp;L Data'!Y2:Y500,'S&amp;L Data'!$D2:$D500,"Energy, Environment, and Agriculture")</f>
        <v>33562949</v>
      </c>
      <c r="O72" s="113">
        <f>SUMIFS('S&amp;L Data'!Z2:Z500,'S&amp;L Data'!$D2:$D500,"Energy, Environment, and Agriculture")</f>
        <v>33489758</v>
      </c>
      <c r="P72" s="113">
        <f>SUMIFS('S&amp;L Data'!AA2:AA500,'S&amp;L Data'!$D2:$D500,"Energy, Environment, and Agriculture")</f>
        <v>32526295</v>
      </c>
      <c r="Q72" s="113">
        <f>SUMIFS('S&amp;L Data'!AB2:AB500,'S&amp;L Data'!$D2:$D500,"Energy, Environment, and Agriculture")</f>
        <v>30044663</v>
      </c>
      <c r="R72" s="113">
        <f>SUMIFS('S&amp;L Data'!AC2:AC500,'S&amp;L Data'!$D2:$D500,"Energy, Environment, and Agriculture")</f>
        <v>32905878</v>
      </c>
      <c r="S72" s="113">
        <f>SUMIFS('S&amp;L Data'!AD2:AD500,'S&amp;L Data'!$D2:$D500,"Energy, Environment, and Agriculture")</f>
        <v>31721155</v>
      </c>
      <c r="T72" s="113">
        <f>SUMIFS('S&amp;L Data'!AE2:AE500,'S&amp;L Data'!$D2:$D500,"Energy, Environment, and Agriculture")</f>
        <v>35329234</v>
      </c>
      <c r="U72" s="113">
        <f>SUMIFS('S&amp;L Data'!AF2:AF500,'S&amp;L Data'!$D2:$D500,"Energy, Environment, and Agriculture")</f>
        <v>36612304</v>
      </c>
      <c r="V72" s="113">
        <f>SUMIFS('S&amp;L Data'!AG2:AG500,'S&amp;L Data'!$D2:$D500,"Energy, Environment, and Agriculture")</f>
        <v>37644771</v>
      </c>
      <c r="W72" s="113">
        <f>SUMIFS('S&amp;L Data'!AH2:AH500,'S&amp;L Data'!$D2:$D500,"Energy, Environment, and Agriculture")</f>
        <v>42072698</v>
      </c>
      <c r="X72" s="113">
        <f>SUMIFS('S&amp;L Data'!AI2:AI500,'S&amp;L Data'!$D2:$D500,"Energy, Environment, and Agriculture")</f>
        <v>53449567</v>
      </c>
      <c r="Y72" s="113">
        <f>SUMIFS('S&amp;L Data'!AJ2:AJ500,'S&amp;L Data'!$D2:$D500,"Energy, Environment, and Agriculture")</f>
        <v>55115084</v>
      </c>
      <c r="Z72" s="113">
        <f>SUMIFS('S&amp;L Data'!AK2:AK500,'S&amp;L Data'!$D2:$D500,"Energy, Environment, and Agriculture")</f>
        <v>55127281</v>
      </c>
      <c r="AA72" s="113">
        <f>SUMIFS('S&amp;L Data'!AL2:AL500,'S&amp;L Data'!$D2:$D500,"Energy, Environment, and Agriculture")</f>
        <v>60585332</v>
      </c>
      <c r="AB72" s="113">
        <f>SUMIFS('S&amp;L Data'!AM2:AM500,'S&amp;L Data'!$D2:$D500,"Energy, Environment, and Agriculture")</f>
        <v>59608129</v>
      </c>
      <c r="AC72" s="113">
        <f>SUMIFS('S&amp;L Data'!AN2:AN500,'S&amp;L Data'!$D2:$D500,"Energy, Environment, and Agriculture")</f>
        <v>63743731</v>
      </c>
      <c r="AD72" s="113">
        <f>SUMIFS('S&amp;L Data'!AO2:AO500,'S&amp;L Data'!$D2:$D500,"Energy, Environment, and Agriculture")</f>
        <v>76337260</v>
      </c>
      <c r="AE72" s="113">
        <f>SUMIFS('S&amp;L Data'!AP2:AP500,'S&amp;L Data'!$D2:$D500,"Energy, Environment, and Agriculture")</f>
        <v>80749640</v>
      </c>
      <c r="AF72" s="113">
        <f>SUMIFS('S&amp;L Data'!AQ2:AQ500,'S&amp;L Data'!$D2:$D500,"Energy, Environment, and Agriculture")</f>
        <v>84856766</v>
      </c>
      <c r="AG72" s="113">
        <f>SUMIFS('S&amp;L Data'!AR2:AR500,'S&amp;L Data'!$D2:$D500,"Energy, Environment, and Agriculture")</f>
        <v>77052636</v>
      </c>
      <c r="AH72" s="113">
        <f>SUMIFS('S&amp;L Data'!AS2:AS500,'S&amp;L Data'!$D2:$D500,"Energy, Environment, and Agriculture")</f>
        <v>71499830</v>
      </c>
      <c r="AI72" s="113">
        <f>SUMIFS('S&amp;L Data'!AT2:AT500,'S&amp;L Data'!$D2:$D500,"Energy, Environment, and Agriculture")</f>
        <v>63063628</v>
      </c>
      <c r="AJ72" s="113">
        <f>SUMIFS('S&amp;L Data'!AU2:AU500,'S&amp;L Data'!$D2:$D500,"Energy, Environment, and Agriculture")</f>
        <v>57425549</v>
      </c>
      <c r="AK72" s="113">
        <f>SUMIFS('S&amp;L Data'!AV2:AV500,'S&amp;L Data'!$D2:$D500,"Energy, Environment, and Agriculture")</f>
        <v>51687828</v>
      </c>
    </row>
    <row r="73" spans="1:40" outlineLevel="2">
      <c r="A73" s="22" t="str">
        <f>B72</f>
        <v>Sustainability and Self-Sufficiency</v>
      </c>
      <c r="B73" s="28" t="s">
        <v>285</v>
      </c>
      <c r="C73" s="113">
        <f>SUMIFS('S&amp;L Data'!N2:N500,'S&amp;L Data'!$E2:$E500,"Energy")</f>
        <v>1983966</v>
      </c>
      <c r="D73" s="113">
        <f>SUMIFS('S&amp;L Data'!O2:O500,'S&amp;L Data'!$E2:$E500,"Energy")</f>
        <v>2216364</v>
      </c>
      <c r="E73" s="113">
        <f>SUMIFS('S&amp;L Data'!P2:P500,'S&amp;L Data'!$E2:$E500,"Energy")</f>
        <v>1708481</v>
      </c>
      <c r="F73" s="113">
        <f>SUMIFS('S&amp;L Data'!Q2:Q500,'S&amp;L Data'!$E2:$E500,"Energy")</f>
        <v>1122151</v>
      </c>
      <c r="G73" s="113">
        <f>SUMIFS('S&amp;L Data'!R2:R500,'S&amp;L Data'!$E2:$E500,"Energy")</f>
        <v>-175766</v>
      </c>
      <c r="H73" s="113">
        <f>SUMIFS('S&amp;L Data'!S2:S500,'S&amp;L Data'!$E2:$E500,"Energy")</f>
        <v>-603633</v>
      </c>
      <c r="I73" s="113">
        <f>SUMIFS('S&amp;L Data'!T2:T500,'S&amp;L Data'!$E2:$E500,"Energy")</f>
        <v>629495</v>
      </c>
      <c r="J73" s="113">
        <f>SUMIFS('S&amp;L Data'!U2:U500,'S&amp;L Data'!$E2:$E500,"Energy")</f>
        <v>-1226990</v>
      </c>
      <c r="K73" s="113">
        <f>SUMIFS('S&amp;L Data'!V2:V500,'S&amp;L Data'!$E2:$E500,"Energy")</f>
        <v>-2575341</v>
      </c>
      <c r="L73" s="113">
        <f>SUMIFS('S&amp;L Data'!W2:W500,'S&amp;L Data'!$E2:$E500,"Energy")</f>
        <v>-3538754</v>
      </c>
      <c r="M73" s="113">
        <f>SUMIFS('S&amp;L Data'!X2:X500,'S&amp;L Data'!$E2:$E500,"Energy")</f>
        <v>-3832537</v>
      </c>
      <c r="N73" s="113">
        <f>SUMIFS('S&amp;L Data'!Y2:Y500,'S&amp;L Data'!$E2:$E500,"Energy")</f>
        <v>-4764614</v>
      </c>
      <c r="O73" s="113">
        <f>SUMIFS('S&amp;L Data'!Z2:Z500,'S&amp;L Data'!$E2:$E500,"Energy")</f>
        <v>-4262831</v>
      </c>
      <c r="P73" s="113">
        <f>SUMIFS('S&amp;L Data'!AA2:AA500,'S&amp;L Data'!$E2:$E500,"Energy")</f>
        <v>-5046003</v>
      </c>
      <c r="Q73" s="113">
        <f>SUMIFS('S&amp;L Data'!AB2:AB500,'S&amp;L Data'!$E2:$E500,"Energy")</f>
        <v>-5189453</v>
      </c>
      <c r="R73" s="113">
        <f>SUMIFS('S&amp;L Data'!AC2:AC500,'S&amp;L Data'!$E2:$E500,"Energy")</f>
        <v>-5754958</v>
      </c>
      <c r="S73" s="113">
        <f>SUMIFS('S&amp;L Data'!AD2:AD500,'S&amp;L Data'!$E2:$E500,"Energy")</f>
        <v>-6652537</v>
      </c>
      <c r="T73" s="113">
        <f>SUMIFS('S&amp;L Data'!AE2:AE500,'S&amp;L Data'!$E2:$E500,"Energy")</f>
        <v>-6401882</v>
      </c>
      <c r="U73" s="113">
        <f>SUMIFS('S&amp;L Data'!AF2:AF500,'S&amp;L Data'!$E2:$E500,"Energy")</f>
        <v>-6715744</v>
      </c>
      <c r="V73" s="113">
        <f>SUMIFS('S&amp;L Data'!AG2:AG500,'S&amp;L Data'!$E2:$E500,"Energy")</f>
        <v>-7625171</v>
      </c>
      <c r="W73" s="113">
        <f>SUMIFS('S&amp;L Data'!AH2:AH500,'S&amp;L Data'!$E2:$E500,"Energy")</f>
        <v>-7634397</v>
      </c>
      <c r="X73" s="113">
        <f>SUMIFS('S&amp;L Data'!AI2:AI500,'S&amp;L Data'!$E2:$E500,"Energy")</f>
        <v>-642368</v>
      </c>
      <c r="Y73" s="113">
        <f>SUMIFS('S&amp;L Data'!AJ2:AJ500,'S&amp;L Data'!$E2:$E500,"Energy")</f>
        <v>-3546137</v>
      </c>
      <c r="Z73" s="113">
        <f>SUMIFS('S&amp;L Data'!AK2:AK500,'S&amp;L Data'!$E2:$E500,"Energy")</f>
        <v>-4599194</v>
      </c>
      <c r="AA73" s="113">
        <f>SUMIFS('S&amp;L Data'!AL2:AL500,'S&amp;L Data'!$E2:$E500,"Energy")</f>
        <v>-1371072</v>
      </c>
      <c r="AB73" s="113">
        <f>SUMIFS('S&amp;L Data'!AM2:AM500,'S&amp;L Data'!$E2:$E500,"Energy")</f>
        <v>-4925850</v>
      </c>
      <c r="AC73" s="113">
        <f>SUMIFS('S&amp;L Data'!AN2:AN500,'S&amp;L Data'!$E2:$E500,"Energy")</f>
        <v>-3762181</v>
      </c>
      <c r="AD73" s="113">
        <f>SUMIFS('S&amp;L Data'!AO2:AO500,'S&amp;L Data'!$E2:$E500,"Energy")</f>
        <v>-2284722</v>
      </c>
      <c r="AE73" s="113">
        <f>SUMIFS('S&amp;L Data'!AP2:AP500,'S&amp;L Data'!$E2:$E500,"Energy")</f>
        <v>-1273401</v>
      </c>
      <c r="AF73" s="113">
        <f>SUMIFS('S&amp;L Data'!AQ2:AQ500,'S&amp;L Data'!$E2:$E500,"Energy")</f>
        <v>-2221545</v>
      </c>
      <c r="AG73" s="113">
        <f>SUMIFS('S&amp;L Data'!AR2:AR500,'S&amp;L Data'!$E2:$E500,"Energy")</f>
        <v>-3485174</v>
      </c>
      <c r="AH73" s="113">
        <f>SUMIFS('S&amp;L Data'!AS2:AS500,'S&amp;L Data'!$E2:$E500,"Energy")</f>
        <v>-3750466</v>
      </c>
      <c r="AI73" s="113">
        <f>SUMIFS('S&amp;L Data'!AT2:AT500,'S&amp;L Data'!$E2:$E500,"Energy")</f>
        <v>-5148262</v>
      </c>
      <c r="AJ73" s="113">
        <f>SUMIFS('S&amp;L Data'!AU2:AU500,'S&amp;L Data'!$E2:$E500,"Energy")</f>
        <v>-5191609</v>
      </c>
      <c r="AK73" s="113">
        <f>SUMIFS('S&amp;L Data'!AV2:AV500,'S&amp;L Data'!$E2:$E500,"Energy")</f>
        <v>-6682265</v>
      </c>
    </row>
    <row r="74" spans="1:40" outlineLevel="2">
      <c r="A74" s="22" t="str">
        <f>B72</f>
        <v>Sustainability and Self-Sufficiency</v>
      </c>
      <c r="B74" s="28" t="s">
        <v>51</v>
      </c>
      <c r="C74" s="113">
        <f>SUMIFS('S&amp;L Data'!N2:N500,'S&amp;L Data'!$E2:$E500,"Environment and Natural Resources")</f>
        <v>18670189</v>
      </c>
      <c r="D74" s="113">
        <f>SUMIFS('S&amp;L Data'!O2:O500,'S&amp;L Data'!$E2:$E500,"Environment and Natural Resources")</f>
        <v>20565108</v>
      </c>
      <c r="E74" s="113">
        <f>SUMIFS('S&amp;L Data'!P2:P500,'S&amp;L Data'!$E2:$E500,"Environment and Natural Resources")</f>
        <v>20344221</v>
      </c>
      <c r="F74" s="113">
        <f>SUMIFS('S&amp;L Data'!Q2:Q500,'S&amp;L Data'!$E2:$E500,"Environment and Natural Resources")</f>
        <v>20451914</v>
      </c>
      <c r="G74" s="113">
        <f>SUMIFS('S&amp;L Data'!R2:R500,'S&amp;L Data'!$E2:$E500,"Environment and Natural Resources")</f>
        <v>19304710</v>
      </c>
      <c r="H74" s="113">
        <f>SUMIFS('S&amp;L Data'!S2:S500,'S&amp;L Data'!$E2:$E500,"Environment and Natural Resources")</f>
        <v>20876905</v>
      </c>
      <c r="I74" s="113">
        <f>SUMIFS('S&amp;L Data'!T2:T500,'S&amp;L Data'!$E2:$E500,"Environment and Natural Resources")</f>
        <v>23223562</v>
      </c>
      <c r="J74" s="113">
        <f>SUMIFS('S&amp;L Data'!U2:U500,'S&amp;L Data'!$E2:$E500,"Environment and Natural Resources")</f>
        <v>26404465</v>
      </c>
      <c r="K74" s="113">
        <f>SUMIFS('S&amp;L Data'!V2:V500,'S&amp;L Data'!$E2:$E500,"Environment and Natural Resources")</f>
        <v>27208034</v>
      </c>
      <c r="L74" s="113">
        <f>SUMIFS('S&amp;L Data'!W2:W500,'S&amp;L Data'!$E2:$E500,"Environment and Natural Resources")</f>
        <v>28844238</v>
      </c>
      <c r="M74" s="113">
        <f>SUMIFS('S&amp;L Data'!X2:X500,'S&amp;L Data'!$E2:$E500,"Environment and Natural Resources")</f>
        <v>31687053</v>
      </c>
      <c r="N74" s="113">
        <f>SUMIFS('S&amp;L Data'!Y2:Y500,'S&amp;L Data'!$E2:$E500,"Environment and Natural Resources")</f>
        <v>34691881</v>
      </c>
      <c r="O74" s="113">
        <f>SUMIFS('S&amp;L Data'!Z2:Z500,'S&amp;L Data'!$E2:$E500,"Environment and Natural Resources")</f>
        <v>34099498</v>
      </c>
      <c r="P74" s="113">
        <f>SUMIFS('S&amp;L Data'!AA2:AA500,'S&amp;L Data'!$E2:$E500,"Environment and Natural Resources")</f>
        <v>33822476</v>
      </c>
      <c r="Q74" s="113">
        <f>SUMIFS('S&amp;L Data'!AB2:AB500,'S&amp;L Data'!$E2:$E500,"Environment and Natural Resources")</f>
        <v>31438965</v>
      </c>
      <c r="R74" s="113">
        <f>SUMIFS('S&amp;L Data'!AC2:AC500,'S&amp;L Data'!$E2:$E500,"Environment and Natural Resources")</f>
        <v>34794028</v>
      </c>
      <c r="S74" s="113">
        <f>SUMIFS('S&amp;L Data'!AD2:AD500,'S&amp;L Data'!$E2:$E500,"Environment and Natural Resources")</f>
        <v>34380285</v>
      </c>
      <c r="T74" s="113">
        <f>SUMIFS('S&amp;L Data'!AE2:AE500,'S&amp;L Data'!$E2:$E500,"Environment and Natural Resources")</f>
        <v>37611396</v>
      </c>
      <c r="U74" s="113">
        <f>SUMIFS('S&amp;L Data'!AF2:AF500,'S&amp;L Data'!$E2:$E500,"Environment and Natural Resources")</f>
        <v>38941015</v>
      </c>
      <c r="V74" s="113">
        <f>SUMIFS('S&amp;L Data'!AG2:AG500,'S&amp;L Data'!$E2:$E500,"Environment and Natural Resources")</f>
        <v>40624029</v>
      </c>
      <c r="W74" s="113">
        <f>SUMIFS('S&amp;L Data'!AH2:AH500,'S&amp;L Data'!$E2:$E500,"Environment and Natural Resources")</f>
        <v>44250821</v>
      </c>
      <c r="X74" s="113">
        <f>SUMIFS('S&amp;L Data'!AI2:AI500,'S&amp;L Data'!$E2:$E500,"Environment and Natural Resources")</f>
        <v>48454306</v>
      </c>
      <c r="Y74" s="113">
        <f>SUMIFS('S&amp;L Data'!AJ2:AJ500,'S&amp;L Data'!$E2:$E500,"Environment and Natural Resources")</f>
        <v>53157357</v>
      </c>
      <c r="Z74" s="113">
        <f>SUMIFS('S&amp;L Data'!AK2:AK500,'S&amp;L Data'!$E2:$E500,"Environment and Natural Resources")</f>
        <v>54135122</v>
      </c>
      <c r="AA74" s="113">
        <f>SUMIFS('S&amp;L Data'!AL2:AL500,'S&amp;L Data'!$E2:$E500,"Environment and Natural Resources")</f>
        <v>56382786</v>
      </c>
      <c r="AB74" s="113">
        <f>SUMIFS('S&amp;L Data'!AM2:AM500,'S&amp;L Data'!$E2:$E500,"Environment and Natural Resources")</f>
        <v>64533979</v>
      </c>
      <c r="AC74" s="113">
        <f>SUMIFS('S&amp;L Data'!AN2:AN500,'S&amp;L Data'!$E2:$E500,"Environment and Natural Resources")</f>
        <v>67505912</v>
      </c>
      <c r="AD74" s="113">
        <f>SUMIFS('S&amp;L Data'!AO2:AO500,'S&amp;L Data'!$E2:$E500,"Environment and Natural Resources")</f>
        <v>78621982</v>
      </c>
      <c r="AE74" s="113">
        <f>SUMIFS('S&amp;L Data'!AP2:AP500,'S&amp;L Data'!$E2:$E500,"Environment and Natural Resources")</f>
        <v>82023041</v>
      </c>
      <c r="AF74" s="113">
        <f>SUMIFS('S&amp;L Data'!AQ2:AQ500,'S&amp;L Data'!$E2:$E500,"Environment and Natural Resources")</f>
        <v>87078311</v>
      </c>
      <c r="AG74" s="113">
        <f>SUMIFS('S&amp;L Data'!AR2:AR500,'S&amp;L Data'!$E2:$E500,"Environment and Natural Resources")</f>
        <v>80537810</v>
      </c>
      <c r="AH74" s="113">
        <f>SUMIFS('S&amp;L Data'!AS2:AS500,'S&amp;L Data'!$E2:$E500,"Environment and Natural Resources")</f>
        <v>75250296</v>
      </c>
      <c r="AI74" s="113">
        <f>SUMIFS('S&amp;L Data'!AT2:AT500,'S&amp;L Data'!$E2:$E500,"Environment and Natural Resources")</f>
        <v>68211890</v>
      </c>
      <c r="AJ74" s="113">
        <f>SUMIFS('S&amp;L Data'!AU2:AU500,'S&amp;L Data'!$E2:$E500,"Environment and Natural Resources")</f>
        <v>62617158</v>
      </c>
      <c r="AK74" s="113">
        <f>SUMIFS('S&amp;L Data'!AV2:AV500,'S&amp;L Data'!$E2:$E500,"Environment and Natural Resources")</f>
        <v>52509304.010971516</v>
      </c>
    </row>
    <row r="75" spans="1:40" outlineLevel="3">
      <c r="A75" s="22" t="str">
        <f>B74</f>
        <v>Environment and Natural Resources</v>
      </c>
      <c r="B75" s="29" t="s">
        <v>286</v>
      </c>
      <c r="C75" s="113">
        <f>SUMIFS('S&amp;L Data'!N2:N500,'S&amp;L Data'!$F2:$F500,"Sewerage and Waste Management (Govt. Business)")</f>
        <v>8341230</v>
      </c>
      <c r="D75" s="113">
        <f>SUMIFS('S&amp;L Data'!O2:O500,'S&amp;L Data'!$F2:$F500,"Sewerage and Waste Management (Govt. Business)")</f>
        <v>9195961</v>
      </c>
      <c r="E75" s="113">
        <f>SUMIFS('S&amp;L Data'!P2:P500,'S&amp;L Data'!$F2:$F500,"Sewerage and Waste Management (Govt. Business)")</f>
        <v>8560298</v>
      </c>
      <c r="F75" s="113">
        <f>SUMIFS('S&amp;L Data'!Q2:Q500,'S&amp;L Data'!$F2:$F500,"Sewerage and Waste Management (Govt. Business)")</f>
        <v>8143290</v>
      </c>
      <c r="G75" s="113">
        <f>SUMIFS('S&amp;L Data'!R2:R500,'S&amp;L Data'!$F2:$F500,"Sewerage and Waste Management (Govt. Business)")</f>
        <v>7642469</v>
      </c>
      <c r="H75" s="113">
        <f>SUMIFS('S&amp;L Data'!S2:S500,'S&amp;L Data'!$F2:$F500,"Sewerage and Waste Management (Govt. Business)")</f>
        <v>7824794</v>
      </c>
      <c r="I75" s="113">
        <f>SUMIFS('S&amp;L Data'!T2:T500,'S&amp;L Data'!$F2:$F500,"Sewerage and Waste Management (Govt. Business)")</f>
        <v>8333331</v>
      </c>
      <c r="J75" s="113">
        <f>SUMIFS('S&amp;L Data'!U2:U500,'S&amp;L Data'!$F2:$F500,"Sewerage and Waste Management (Govt. Business)")</f>
        <v>9495297</v>
      </c>
      <c r="K75" s="113">
        <f>SUMIFS('S&amp;L Data'!V2:V500,'S&amp;L Data'!$F2:$F500,"Sewerage and Waste Management (Govt. Business)")</f>
        <v>10196274</v>
      </c>
      <c r="L75" s="113">
        <f>SUMIFS('S&amp;L Data'!W2:W500,'S&amp;L Data'!$F2:$F500,"Sewerage and Waste Management (Govt. Business)")</f>
        <v>10610364</v>
      </c>
      <c r="M75" s="113">
        <f>SUMIFS('S&amp;L Data'!X2:X500,'S&amp;L Data'!$F2:$F500,"Sewerage and Waste Management (Govt. Business)")</f>
        <v>10805485</v>
      </c>
      <c r="N75" s="113">
        <f>SUMIFS('S&amp;L Data'!Y2:Y500,'S&amp;L Data'!$F2:$F500,"Sewerage and Waste Management (Govt. Business)")</f>
        <v>11409979</v>
      </c>
      <c r="O75" s="113">
        <f>SUMIFS('S&amp;L Data'!Z2:Z500,'S&amp;L Data'!$F2:$F500,"Sewerage and Waste Management (Govt. Business)")</f>
        <v>11249244</v>
      </c>
      <c r="P75" s="113">
        <f>SUMIFS('S&amp;L Data'!AA2:AA500,'S&amp;L Data'!$F2:$F500,"Sewerage and Waste Management (Govt. Business)")</f>
        <v>12311045</v>
      </c>
      <c r="Q75" s="113">
        <f>SUMIFS('S&amp;L Data'!AB2:AB500,'S&amp;L Data'!$F2:$F500,"Sewerage and Waste Management (Govt. Business)")</f>
        <v>9154626</v>
      </c>
      <c r="R75" s="113">
        <f>SUMIFS('S&amp;L Data'!AC2:AC500,'S&amp;L Data'!$F2:$F500,"Sewerage and Waste Management (Govt. Business)")</f>
        <v>10213734</v>
      </c>
      <c r="S75" s="113">
        <f>SUMIFS('S&amp;L Data'!AD2:AD500,'S&amp;L Data'!$F2:$F500,"Sewerage and Waste Management (Govt. Business)")</f>
        <v>9278426</v>
      </c>
      <c r="T75" s="113">
        <f>SUMIFS('S&amp;L Data'!AE2:AE500,'S&amp;L Data'!$F2:$F500,"Sewerage and Waste Management (Govt. Business)")</f>
        <v>10098444</v>
      </c>
      <c r="U75" s="113">
        <f>SUMIFS('S&amp;L Data'!AF2:AF500,'S&amp;L Data'!$F2:$F500,"Sewerage and Waste Management (Govt. Business)")</f>
        <v>9430530</v>
      </c>
      <c r="V75" s="113">
        <f>SUMIFS('S&amp;L Data'!AG2:AG500,'S&amp;L Data'!$F2:$F500,"Sewerage and Waste Management (Govt. Business)")</f>
        <v>9412339</v>
      </c>
      <c r="W75" s="113">
        <f>SUMIFS('S&amp;L Data'!AH2:AH500,'S&amp;L Data'!$F2:$F500,"Sewerage and Waste Management (Govt. Business)")</f>
        <v>10724713</v>
      </c>
      <c r="X75" s="113">
        <f>SUMIFS('S&amp;L Data'!AI2:AI500,'S&amp;L Data'!$F2:$F500,"Sewerage and Waste Management (Govt. Business)")</f>
        <v>9922620</v>
      </c>
      <c r="Y75" s="113">
        <f>SUMIFS('S&amp;L Data'!AJ2:AJ500,'S&amp;L Data'!$F2:$F500,"Sewerage and Waste Management (Govt. Business)")</f>
        <v>12004103</v>
      </c>
      <c r="Z75" s="113">
        <f>SUMIFS('S&amp;L Data'!AK2:AK500,'S&amp;L Data'!$F2:$F500,"Sewerage and Waste Management (Govt. Business)")</f>
        <v>11926725</v>
      </c>
      <c r="AA75" s="113">
        <f>SUMIFS('S&amp;L Data'!AL2:AL500,'S&amp;L Data'!$F2:$F500,"Sewerage and Waste Management (Govt. Business)")</f>
        <v>13397142</v>
      </c>
      <c r="AB75" s="113">
        <f>SUMIFS('S&amp;L Data'!AM2:AM500,'S&amp;L Data'!$F2:$F500,"Sewerage and Waste Management (Govt. Business)")</f>
        <v>13459669</v>
      </c>
      <c r="AC75" s="113">
        <f>SUMIFS('S&amp;L Data'!AN2:AN500,'S&amp;L Data'!$F2:$F500,"Sewerage and Waste Management (Govt. Business)")</f>
        <v>14445095</v>
      </c>
      <c r="AD75" s="113">
        <f>SUMIFS('S&amp;L Data'!AO2:AO500,'S&amp;L Data'!$F2:$F500,"Sewerage and Waste Management (Govt. Business)")</f>
        <v>16243556</v>
      </c>
      <c r="AE75" s="113">
        <f>SUMIFS('S&amp;L Data'!AP2:AP500,'S&amp;L Data'!$F2:$F500,"Sewerage and Waste Management (Govt. Business)")</f>
        <v>16991980</v>
      </c>
      <c r="AF75" s="113">
        <f>SUMIFS('S&amp;L Data'!AQ2:AQ500,'S&amp;L Data'!$F2:$F500,"Sewerage and Waste Management (Govt. Business)")</f>
        <v>17985610</v>
      </c>
      <c r="AG75" s="113">
        <f>SUMIFS('S&amp;L Data'!AR2:AR500,'S&amp;L Data'!$F2:$F500,"Sewerage and Waste Management (Govt. Business)")</f>
        <v>16410439</v>
      </c>
      <c r="AH75" s="113">
        <f>SUMIFS('S&amp;L Data'!AS2:AS500,'S&amp;L Data'!$F2:$F500,"Sewerage and Waste Management (Govt. Business)")</f>
        <v>15415085</v>
      </c>
      <c r="AI75" s="113">
        <f>SUMIFS('S&amp;L Data'!AT2:AT500,'S&amp;L Data'!$F2:$F500,"Sewerage and Waste Management (Govt. Business)")</f>
        <v>11980227</v>
      </c>
      <c r="AJ75" s="113">
        <f>SUMIFS('S&amp;L Data'!AU2:AU500,'S&amp;L Data'!$F2:$F500,"Sewerage and Waste Management (Govt. Business)")</f>
        <v>8964158</v>
      </c>
      <c r="AK75" s="113">
        <f>SUMIFS('S&amp;L Data'!AV2:AV500,'S&amp;L Data'!$F2:$F500,"Sewerage and Waste Management (Govt. Business)")</f>
        <v>5859147</v>
      </c>
    </row>
    <row r="76" spans="1:40" outlineLevel="3">
      <c r="A76" s="22" t="str">
        <f>B74</f>
        <v>Environment and Natural Resources</v>
      </c>
      <c r="B76" s="29" t="s">
        <v>287</v>
      </c>
      <c r="C76" s="113">
        <f>SUMIFS('S&amp;L Data'!N2:N500,'S&amp;L Data'!$F2:$F500,"Water Utilities (Govt. Business)")</f>
        <v>1440828</v>
      </c>
      <c r="D76" s="113">
        <f>SUMIFS('S&amp;L Data'!O2:O500,'S&amp;L Data'!$F2:$F500,"Water Utilities (Govt. Business)")</f>
        <v>1722163</v>
      </c>
      <c r="E76" s="113">
        <f>SUMIFS('S&amp;L Data'!P2:P500,'S&amp;L Data'!$F2:$F500,"Water Utilities (Govt. Business)")</f>
        <v>1660730</v>
      </c>
      <c r="F76" s="113">
        <f>SUMIFS('S&amp;L Data'!Q2:Q500,'S&amp;L Data'!$F2:$F500,"Water Utilities (Govt. Business)")</f>
        <v>1428280</v>
      </c>
      <c r="G76" s="113">
        <f>SUMIFS('S&amp;L Data'!R2:R500,'S&amp;L Data'!$F2:$F500,"Water Utilities (Govt. Business)")</f>
        <v>447131</v>
      </c>
      <c r="H76" s="113">
        <f>SUMIFS('S&amp;L Data'!S2:S500,'S&amp;L Data'!$F2:$F500,"Water Utilities (Govt. Business)")</f>
        <v>508053</v>
      </c>
      <c r="I76" s="113">
        <f>SUMIFS('S&amp;L Data'!T2:T500,'S&amp;L Data'!$F2:$F500,"Water Utilities (Govt. Business)")</f>
        <v>952585</v>
      </c>
      <c r="J76" s="113">
        <f>SUMIFS('S&amp;L Data'!U2:U500,'S&amp;L Data'!$F2:$F500,"Water Utilities (Govt. Business)")</f>
        <v>1696942</v>
      </c>
      <c r="K76" s="113">
        <f>SUMIFS('S&amp;L Data'!V2:V500,'S&amp;L Data'!$F2:$F500,"Water Utilities (Govt. Business)")</f>
        <v>1096065</v>
      </c>
      <c r="L76" s="113">
        <f>SUMIFS('S&amp;L Data'!W2:W500,'S&amp;L Data'!$F2:$F500,"Water Utilities (Govt. Business)")</f>
        <v>1019580</v>
      </c>
      <c r="M76" s="113">
        <f>SUMIFS('S&amp;L Data'!X2:X500,'S&amp;L Data'!$F2:$F500,"Water Utilities (Govt. Business)")</f>
        <v>1522909</v>
      </c>
      <c r="N76" s="113">
        <f>SUMIFS('S&amp;L Data'!Y2:Y500,'S&amp;L Data'!$F2:$F500,"Water Utilities (Govt. Business)")</f>
        <v>2455623</v>
      </c>
      <c r="O76" s="113">
        <f>SUMIFS('S&amp;L Data'!Z2:Z500,'S&amp;L Data'!$F2:$F500,"Water Utilities (Govt. Business)")</f>
        <v>2089384</v>
      </c>
      <c r="P76" s="113">
        <f>SUMIFS('S&amp;L Data'!AA2:AA500,'S&amp;L Data'!$F2:$F500,"Water Utilities (Govt. Business)")</f>
        <v>578261</v>
      </c>
      <c r="Q76" s="113">
        <f>SUMIFS('S&amp;L Data'!AB2:AB500,'S&amp;L Data'!$F2:$F500,"Water Utilities (Govt. Business)")</f>
        <v>295709</v>
      </c>
      <c r="R76" s="113">
        <f>SUMIFS('S&amp;L Data'!AC2:AC500,'S&amp;L Data'!$F2:$F500,"Water Utilities (Govt. Business)")</f>
        <v>543110</v>
      </c>
      <c r="S76" s="113">
        <f>SUMIFS('S&amp;L Data'!AD2:AD500,'S&amp;L Data'!$F2:$F500,"Water Utilities (Govt. Business)")</f>
        <v>-396673</v>
      </c>
      <c r="T76" s="113">
        <f>SUMIFS('S&amp;L Data'!AE2:AE500,'S&amp;L Data'!$F2:$F500,"Water Utilities (Govt. Business)")</f>
        <v>223742</v>
      </c>
      <c r="U76" s="113">
        <f>SUMIFS('S&amp;L Data'!AF2:AF500,'S&amp;L Data'!$F2:$F500,"Water Utilities (Govt. Business)")</f>
        <v>338715</v>
      </c>
      <c r="V76" s="113">
        <f>SUMIFS('S&amp;L Data'!AG2:AG500,'S&amp;L Data'!$F2:$F500,"Water Utilities (Govt. Business)")</f>
        <v>782042</v>
      </c>
      <c r="W76" s="113">
        <f>SUMIFS('S&amp;L Data'!AH2:AH500,'S&amp;L Data'!$F2:$F500,"Water Utilities (Govt. Business)")</f>
        <v>625076</v>
      </c>
      <c r="X76" s="113">
        <f>SUMIFS('S&amp;L Data'!AI2:AI500,'S&amp;L Data'!$F2:$F500,"Water Utilities (Govt. Business)")</f>
        <v>1258363</v>
      </c>
      <c r="Y76" s="113">
        <f>SUMIFS('S&amp;L Data'!AJ2:AJ500,'S&amp;L Data'!$F2:$F500,"Water Utilities (Govt. Business)")</f>
        <v>2296164</v>
      </c>
      <c r="Z76" s="113">
        <f>SUMIFS('S&amp;L Data'!AK2:AK500,'S&amp;L Data'!$F2:$F500,"Water Utilities (Govt. Business)")</f>
        <v>3352783</v>
      </c>
      <c r="AA76" s="113">
        <f>SUMIFS('S&amp;L Data'!AL2:AL500,'S&amp;L Data'!$F2:$F500,"Water Utilities (Govt. Business)")</f>
        <v>3105898</v>
      </c>
      <c r="AB76" s="113">
        <f>SUMIFS('S&amp;L Data'!AM2:AM500,'S&amp;L Data'!$F2:$F500,"Water Utilities (Govt. Business)")</f>
        <v>3566383</v>
      </c>
      <c r="AC76" s="113">
        <f>SUMIFS('S&amp;L Data'!AN2:AN500,'S&amp;L Data'!$F2:$F500,"Water Utilities (Govt. Business)")</f>
        <v>2667558</v>
      </c>
      <c r="AD76" s="113">
        <f>SUMIFS('S&amp;L Data'!AO2:AO500,'S&amp;L Data'!$F2:$F500,"Water Utilities (Govt. Business)")</f>
        <v>4990622</v>
      </c>
      <c r="AE76" s="113">
        <f>SUMIFS('S&amp;L Data'!AP2:AP500,'S&amp;L Data'!$F2:$F500,"Water Utilities (Govt. Business)")</f>
        <v>4262671</v>
      </c>
      <c r="AF76" s="113">
        <f>SUMIFS('S&amp;L Data'!AQ2:AQ500,'S&amp;L Data'!$F2:$F500,"Water Utilities (Govt. Business)")</f>
        <v>6572650</v>
      </c>
      <c r="AG76" s="113">
        <f>SUMIFS('S&amp;L Data'!AR2:AR500,'S&amp;L Data'!$F2:$F500,"Water Utilities (Govt. Business)")</f>
        <v>4775891</v>
      </c>
      <c r="AH76" s="113">
        <f>SUMIFS('S&amp;L Data'!AS2:AS500,'S&amp;L Data'!$F2:$F500,"Water Utilities (Govt. Business)")</f>
        <v>2142024</v>
      </c>
      <c r="AI76" s="113">
        <f>SUMIFS('S&amp;L Data'!AT2:AT500,'S&amp;L Data'!$F2:$F500,"Water Utilities (Govt. Business)")</f>
        <v>-471360</v>
      </c>
      <c r="AJ76" s="113">
        <f>SUMIFS('S&amp;L Data'!AU2:AU500,'S&amp;L Data'!$F2:$F500,"Water Utilities (Govt. Business)")</f>
        <v>-1887657</v>
      </c>
      <c r="AK76" s="113">
        <f>SUMIFS('S&amp;L Data'!AV2:AV500,'S&amp;L Data'!$F2:$F500,"Water Utilities (Govt. Business)")</f>
        <v>-1835919</v>
      </c>
      <c r="AN76" s="51"/>
    </row>
    <row r="77" spans="1:40" outlineLevel="3">
      <c r="A77" s="22" t="str">
        <f>B74</f>
        <v>Environment and Natural Resources</v>
      </c>
      <c r="B77" s="29" t="s">
        <v>133</v>
      </c>
      <c r="C77" s="113">
        <f>SUMIFS('S&amp;L Data'!N2:N500,'S&amp;L Data'!$E2:$E500,"Environment and Natural Resources")-C75-C76</f>
        <v>8888131</v>
      </c>
      <c r="D77" s="113">
        <f>SUMIFS('S&amp;L Data'!O2:O500,'S&amp;L Data'!$E2:$E500,"Environment and Natural Resources")-D75-D76</f>
        <v>9646984</v>
      </c>
      <c r="E77" s="113">
        <f>SUMIFS('S&amp;L Data'!P2:P500,'S&amp;L Data'!$E2:$E500,"Environment and Natural Resources")-E75-E76</f>
        <v>10123193</v>
      </c>
      <c r="F77" s="113">
        <f>SUMIFS('S&amp;L Data'!Q2:Q500,'S&amp;L Data'!$E2:$E500,"Environment and Natural Resources")-F75-F76</f>
        <v>10880344</v>
      </c>
      <c r="G77" s="113">
        <f>SUMIFS('S&amp;L Data'!R2:R500,'S&amp;L Data'!$E2:$E500,"Environment and Natural Resources")-G75-G76</f>
        <v>11215110</v>
      </c>
      <c r="H77" s="113">
        <f>SUMIFS('S&amp;L Data'!S2:S500,'S&amp;L Data'!$E2:$E500,"Environment and Natural Resources")-H75-H76</f>
        <v>12544058</v>
      </c>
      <c r="I77" s="113">
        <f>SUMIFS('S&amp;L Data'!T2:T500,'S&amp;L Data'!$E2:$E500,"Environment and Natural Resources")-I75-I76</f>
        <v>13937646</v>
      </c>
      <c r="J77" s="113">
        <f>SUMIFS('S&amp;L Data'!U2:U500,'S&amp;L Data'!$E2:$E500,"Environment and Natural Resources")-J75-J76</f>
        <v>15212226</v>
      </c>
      <c r="K77" s="113">
        <f>SUMIFS('S&amp;L Data'!V2:V500,'S&amp;L Data'!$E2:$E500,"Environment and Natural Resources")-K75-K76</f>
        <v>15915695</v>
      </c>
      <c r="L77" s="113">
        <f>SUMIFS('S&amp;L Data'!W2:W500,'S&amp;L Data'!$E2:$E500,"Environment and Natural Resources")-L75-L76</f>
        <v>17214294</v>
      </c>
      <c r="M77" s="113">
        <f>SUMIFS('S&amp;L Data'!X2:X500,'S&amp;L Data'!$E2:$E500,"Environment and Natural Resources")-M75-M76</f>
        <v>19358659</v>
      </c>
      <c r="N77" s="113">
        <f>SUMIFS('S&amp;L Data'!Y2:Y500,'S&amp;L Data'!$E2:$E500,"Environment and Natural Resources")-N75-N76</f>
        <v>20826279</v>
      </c>
      <c r="O77" s="113">
        <f>SUMIFS('S&amp;L Data'!Z2:Z500,'S&amp;L Data'!$E2:$E500,"Environment and Natural Resources")-O75-O76</f>
        <v>20760870</v>
      </c>
      <c r="P77" s="113">
        <f>SUMIFS('S&amp;L Data'!AA2:AA500,'S&amp;L Data'!$E2:$E500,"Environment and Natural Resources")-P75-P76</f>
        <v>20933170</v>
      </c>
      <c r="Q77" s="113">
        <f>SUMIFS('S&amp;L Data'!AB2:AB500,'S&amp;L Data'!$E2:$E500,"Environment and Natural Resources")-Q75-Q76</f>
        <v>21988630</v>
      </c>
      <c r="R77" s="113">
        <f>SUMIFS('S&amp;L Data'!AC2:AC500,'S&amp;L Data'!$E2:$E500,"Environment and Natural Resources")-R75-R76</f>
        <v>24037184</v>
      </c>
      <c r="S77" s="113">
        <f>SUMIFS('S&amp;L Data'!AD2:AD500,'S&amp;L Data'!$E2:$E500,"Environment and Natural Resources")-S75-S76</f>
        <v>25498532</v>
      </c>
      <c r="T77" s="113">
        <f>SUMIFS('S&amp;L Data'!AE2:AE500,'S&amp;L Data'!$E2:$E500,"Environment and Natural Resources")-T75-T76</f>
        <v>27289210</v>
      </c>
      <c r="U77" s="113">
        <f>SUMIFS('S&amp;L Data'!AF2:AF500,'S&amp;L Data'!$E2:$E500,"Environment and Natural Resources")-U75-U76</f>
        <v>29171770</v>
      </c>
      <c r="V77" s="113">
        <f>SUMIFS('S&amp;L Data'!AG2:AG500,'S&amp;L Data'!$E2:$E500,"Environment and Natural Resources")-V75-V76</f>
        <v>30429648</v>
      </c>
      <c r="W77" s="113">
        <f>SUMIFS('S&amp;L Data'!AH2:AH500,'S&amp;L Data'!$E2:$E500,"Environment and Natural Resources")-W75-W76</f>
        <v>32901032</v>
      </c>
      <c r="X77" s="113">
        <f>SUMIFS('S&amp;L Data'!AI2:AI500,'S&amp;L Data'!$E2:$E500,"Environment and Natural Resources")-X75-X76</f>
        <v>37273323</v>
      </c>
      <c r="Y77" s="113">
        <f>SUMIFS('S&amp;L Data'!AJ2:AJ500,'S&amp;L Data'!$E2:$E500,"Environment and Natural Resources")-Y75-Y76</f>
        <v>38857090</v>
      </c>
      <c r="Z77" s="113">
        <f>SUMIFS('S&amp;L Data'!AK2:AK500,'S&amp;L Data'!$E2:$E500,"Environment and Natural Resources")-Z75-Z76</f>
        <v>38855614</v>
      </c>
      <c r="AA77" s="113">
        <f>SUMIFS('S&amp;L Data'!AL2:AL500,'S&amp;L Data'!$E2:$E500,"Environment and Natural Resources")-AA75-AA76</f>
        <v>39879746</v>
      </c>
      <c r="AB77" s="113">
        <f>SUMIFS('S&amp;L Data'!AM2:AM500,'S&amp;L Data'!$E2:$E500,"Environment and Natural Resources")-AB75-AB76-AB78</f>
        <v>41906654.619230531</v>
      </c>
      <c r="AC77" s="113">
        <f>SUMIFS('S&amp;L Data'!AN2:AN500,'S&amp;L Data'!$E2:$E500,"Environment and Natural Resources")-AC75-AC76-AC78</f>
        <v>44764332.238461055</v>
      </c>
      <c r="AD77" s="113">
        <f>SUMIFS('S&amp;L Data'!AO2:AO500,'S&amp;L Data'!$E2:$E500,"Environment and Natural Resources")-AD75-AD76-AD78</f>
        <v>51731222.857691586</v>
      </c>
      <c r="AE77" s="113">
        <f>SUMIFS('S&amp;L Data'!AP2:AP500,'S&amp;L Data'!$E2:$E500,"Environment and Natural Resources")-AE75-AE76-AE78</f>
        <v>55084154.476922117</v>
      </c>
      <c r="AF77" s="113">
        <f>SUMIFS('S&amp;L Data'!AQ2:AQ500,'S&amp;L Data'!$E2:$E500,"Environment and Natural Resources")-AF75-AF76-AF78</f>
        <v>56808161.096152648</v>
      </c>
      <c r="AG77" s="113">
        <f>SUMIFS('S&amp;L Data'!AR2:AR500,'S&amp;L Data'!$E2:$E500,"Environment and Natural Resources")-AG75-AG76-AG78</f>
        <v>53611935.715383172</v>
      </c>
      <c r="AH77" s="113">
        <f>SUMIFS('S&amp;L Data'!AS2:AS500,'S&amp;L Data'!$E2:$E500,"Environment and Natural Resources")-AH75-AH76-AH78</f>
        <v>51925988.334613703</v>
      </c>
      <c r="AI77" s="113">
        <f>SUMIFS('S&amp;L Data'!AT2:AT500,'S&amp;L Data'!$E2:$E500,"Environment and Natural Resources")-AI75-AI76-AI78</f>
        <v>50908169.953844234</v>
      </c>
      <c r="AJ77" s="113">
        <f>SUMIFS('S&amp;L Data'!AU2:AU500,'S&amp;L Data'!$E2:$E500,"Environment and Natural Resources")-AJ75-AJ76-AJ78</f>
        <v>49718149.573074758</v>
      </c>
      <c r="AK77" s="113">
        <f>SUMIFS('S&amp;L Data'!AV2:AV500,'S&amp;L Data'!$E2:$E500,"Environment and Natural Resources")-AK75-AK76</f>
        <v>48486076.010971516</v>
      </c>
    </row>
    <row r="78" spans="1:40" outlineLevel="2">
      <c r="A78" s="22" t="str">
        <f>B72</f>
        <v>Sustainability and Self-Sufficiency</v>
      </c>
      <c r="B78" s="28" t="s">
        <v>50</v>
      </c>
      <c r="C78" s="113">
        <f>SUMIFS('S&amp;L Data'!N2:N500,'S&amp;L Data'!$E2:$E500,"Agriculture")</f>
        <v>1762502</v>
      </c>
      <c r="D78" s="113">
        <f>SUMIFS('S&amp;L Data'!O2:O500,'S&amp;L Data'!$E2:$E500,"Agriculture")</f>
        <v>1989315</v>
      </c>
      <c r="E78" s="113">
        <f>SUMIFS('S&amp;L Data'!P2:P500,'S&amp;L Data'!$E2:$E500,"Agriculture")</f>
        <v>2165682</v>
      </c>
      <c r="F78" s="113">
        <f>SUMIFS('S&amp;L Data'!Q2:Q500,'S&amp;L Data'!$E2:$E500,"Agriculture")</f>
        <v>2269488</v>
      </c>
      <c r="G78" s="113">
        <f>SUMIFS('S&amp;L Data'!R2:R500,'S&amp;L Data'!$E2:$E500,"Agriculture")</f>
        <v>2368692</v>
      </c>
      <c r="H78" s="113">
        <f>SUMIFS('S&amp;L Data'!S2:S500,'S&amp;L Data'!$E2:$E500,"Agriculture")</f>
        <v>2572956</v>
      </c>
      <c r="I78" s="113">
        <f>SUMIFS('S&amp;L Data'!T2:T500,'S&amp;L Data'!$E2:$E500,"Agriculture")</f>
        <v>2786168</v>
      </c>
      <c r="J78" s="113">
        <f>SUMIFS('S&amp;L Data'!U2:U500,'S&amp;L Data'!$E2:$E500,"Agriculture")</f>
        <v>2988594</v>
      </c>
      <c r="K78" s="113">
        <f>SUMIFS('S&amp;L Data'!V2:V500,'S&amp;L Data'!$E2:$E500,"Agriculture")</f>
        <v>3010051</v>
      </c>
      <c r="L78" s="113">
        <f>SUMIFS('S&amp;L Data'!W2:W500,'S&amp;L Data'!$E2:$E500,"Agriculture")</f>
        <v>3241643</v>
      </c>
      <c r="M78" s="113">
        <f>SUMIFS('S&amp;L Data'!X2:X500,'S&amp;L Data'!$E2:$E500,"Agriculture")</f>
        <v>3531681</v>
      </c>
      <c r="N78" s="113">
        <f>SUMIFS('S&amp;L Data'!Y2:Y500,'S&amp;L Data'!$E2:$E500,"Agriculture")</f>
        <v>3635682</v>
      </c>
      <c r="O78" s="113">
        <f>SUMIFS('S&amp;L Data'!Z2:Z500,'S&amp;L Data'!$E2:$E500,"Agriculture")</f>
        <v>3653091</v>
      </c>
      <c r="P78" s="113">
        <f>SUMIFS('S&amp;L Data'!AA2:AA500,'S&amp;L Data'!$E2:$E500,"Agriculture")</f>
        <v>3749822</v>
      </c>
      <c r="Q78" s="113">
        <f>SUMIFS('S&amp;L Data'!AB2:AB500,'S&amp;L Data'!$E2:$E500,"Agriculture")</f>
        <v>3795151</v>
      </c>
      <c r="R78" s="113">
        <f>SUMIFS('S&amp;L Data'!AC2:AC500,'S&amp;L Data'!$E2:$E500,"Agriculture")</f>
        <v>3866808</v>
      </c>
      <c r="S78" s="113">
        <f>SUMIFS('S&amp;L Data'!AD2:AD500,'S&amp;L Data'!$E2:$E500,"Agriculture")</f>
        <v>3993407</v>
      </c>
      <c r="T78" s="113">
        <f>SUMIFS('S&amp;L Data'!AE2:AE500,'S&amp;L Data'!$E2:$E500,"Agriculture")</f>
        <v>4119720</v>
      </c>
      <c r="U78" s="113">
        <f>SUMIFS('S&amp;L Data'!AF2:AF500,'S&amp;L Data'!$E2:$E500,"Agriculture")</f>
        <v>4387033</v>
      </c>
      <c r="V78" s="113">
        <f>SUMIFS('S&amp;L Data'!AG2:AG500,'S&amp;L Data'!$E2:$E500,"Agriculture")</f>
        <v>4645913</v>
      </c>
      <c r="W78" s="113">
        <f>SUMIFS('S&amp;L Data'!AH2:AH500,'S&amp;L Data'!$E2:$E500,"Agriculture")</f>
        <v>5456274</v>
      </c>
      <c r="X78" s="113">
        <f>SUMIFS('S&amp;L Data'!AI2:AI500,'S&amp;L Data'!$E2:$E500,"Agriculture")</f>
        <v>5637629</v>
      </c>
      <c r="Y78" s="113">
        <f>SUMIFS('S&amp;L Data'!AJ2:AJ500,'S&amp;L Data'!$E2:$E500,"Agriculture")</f>
        <v>5503864</v>
      </c>
      <c r="Z78" s="113">
        <f>SUMIFS('S&amp;L Data'!AK2:AK500,'S&amp;L Data'!$E2:$E500,"Agriculture")</f>
        <v>5591353</v>
      </c>
      <c r="AA78" s="113">
        <f>SUMIFS('S&amp;L Data'!AL2:AL500,'S&amp;L Data'!$E2:$E500,"Agriculture")</f>
        <v>5573618</v>
      </c>
      <c r="AB78" s="113">
        <v>5601272.3807694707</v>
      </c>
      <c r="AC78" s="113">
        <v>5628926.7615389423</v>
      </c>
      <c r="AD78" s="113">
        <v>5656581.1423084121</v>
      </c>
      <c r="AE78" s="113">
        <v>5684235.5230778838</v>
      </c>
      <c r="AF78" s="113">
        <v>5711889.9038473554</v>
      </c>
      <c r="AG78" s="113">
        <v>5739544.2846168261</v>
      </c>
      <c r="AH78" s="113">
        <v>5767198.6653862968</v>
      </c>
      <c r="AI78" s="113">
        <v>5794853.0461557675</v>
      </c>
      <c r="AJ78" s="113">
        <v>5822507.4269252392</v>
      </c>
      <c r="AK78" s="113">
        <f>SUMIFS('S&amp;L Data'!AV2:AV500,'S&amp;L Data'!$E2:$E500,"Agriculture")</f>
        <v>5860788.9890284827</v>
      </c>
    </row>
    <row r="79" spans="1:40" outlineLevel="1">
      <c r="A79" s="22" t="str">
        <f>B65</f>
        <v>Secure the Blessings of Liberty to Ourselves and Our Posterity</v>
      </c>
      <c r="B79" s="27" t="s">
        <v>157</v>
      </c>
      <c r="C79" s="113">
        <f>SUMIFS('S&amp;L Data'!N2:N500,'S&amp;L Data'!$C2:$C500,"Obligations")+SUMIFS('S&amp;L Data'!N2:N500,'S&amp;L Data'!$C2:$C500,"Wealth and Savings")</f>
        <v>21717089</v>
      </c>
      <c r="D79" s="113">
        <f>SUMIFS('S&amp;L Data'!O2:O500,'S&amp;L Data'!$C2:$C500,"Obligations")+SUMIFS('S&amp;L Data'!O2:O500,'S&amp;L Data'!$C2:$C500,"Wealth and Savings")</f>
        <v>24939869</v>
      </c>
      <c r="E79" s="113">
        <f>SUMIFS('S&amp;L Data'!P2:P500,'S&amp;L Data'!$C2:$C500,"Obligations")+SUMIFS('S&amp;L Data'!P2:P500,'S&amp;L Data'!$C2:$C500,"Wealth and Savings")</f>
        <v>28165321</v>
      </c>
      <c r="F79" s="113">
        <f>SUMIFS('S&amp;L Data'!Q2:Q500,'S&amp;L Data'!$C2:$C500,"Obligations")+SUMIFS('S&amp;L Data'!Q2:Q500,'S&amp;L Data'!$C2:$C500,"Wealth and Savings")</f>
        <v>37845549</v>
      </c>
      <c r="G79" s="113">
        <f>SUMIFS('S&amp;L Data'!R2:R500,'S&amp;L Data'!$C2:$C500,"Obligations")+SUMIFS('S&amp;L Data'!R2:R500,'S&amp;L Data'!$C2:$C500,"Wealth and Savings")</f>
        <v>48858294</v>
      </c>
      <c r="H79" s="113">
        <f>SUMIFS('S&amp;L Data'!S2:S500,'S&amp;L Data'!$C2:$C500,"Obligations")+SUMIFS('S&amp;L Data'!S2:S500,'S&amp;L Data'!$C2:$C500,"Wealth and Savings")</f>
        <v>53088779</v>
      </c>
      <c r="I79" s="113">
        <f>SUMIFS('S&amp;L Data'!T2:T500,'S&amp;L Data'!$C2:$C500,"Obligations")+SUMIFS('S&amp;L Data'!T2:T500,'S&amp;L Data'!$C2:$C500,"Wealth and Savings")</f>
        <v>61424894</v>
      </c>
      <c r="J79" s="113">
        <f>SUMIFS('S&amp;L Data'!U2:U500,'S&amp;L Data'!$C2:$C500,"Obligations")+SUMIFS('S&amp;L Data'!U2:U500,'S&amp;L Data'!$C2:$C500,"Wealth and Savings")</f>
        <v>72970371</v>
      </c>
      <c r="K79" s="113">
        <f>SUMIFS('S&amp;L Data'!V2:V500,'S&amp;L Data'!$C2:$C500,"Obligations")+SUMIFS('S&amp;L Data'!V2:V500,'S&amp;L Data'!$C2:$C500,"Wealth and Savings")</f>
        <v>69180271</v>
      </c>
      <c r="L79" s="113">
        <f>SUMIFS('S&amp;L Data'!W2:W500,'S&amp;L Data'!$C2:$C500,"Obligations")+SUMIFS('S&amp;L Data'!W2:W500,'S&amp;L Data'!$C2:$C500,"Wealth and Savings")</f>
        <v>69897782</v>
      </c>
      <c r="M79" s="113">
        <f>SUMIFS('S&amp;L Data'!X2:X500,'S&amp;L Data'!$C2:$C500,"Obligations")+SUMIFS('S&amp;L Data'!X2:X500,'S&amp;L Data'!$C2:$C500,"Wealth and Savings")</f>
        <v>73902386</v>
      </c>
      <c r="N79" s="113">
        <f>SUMIFS('S&amp;L Data'!Y2:Y500,'S&amp;L Data'!$C2:$C500,"Obligations")+SUMIFS('S&amp;L Data'!Y2:Y500,'S&amp;L Data'!$C2:$C500,"Wealth and Savings")</f>
        <v>80722143</v>
      </c>
      <c r="O79" s="113">
        <f>SUMIFS('S&amp;L Data'!Z2:Z500,'S&amp;L Data'!$C2:$C500,"Obligations")+SUMIFS('S&amp;L Data'!Z2:Z500,'S&amp;L Data'!$C2:$C500,"Wealth and Savings")</f>
        <v>38988386</v>
      </c>
      <c r="P79" s="113">
        <f>SUMIFS('S&amp;L Data'!AA2:AA500,'S&amp;L Data'!$C2:$C500,"Obligations")+SUMIFS('S&amp;L Data'!AA2:AA500,'S&amp;L Data'!$C2:$C500,"Wealth and Savings")</f>
        <v>48067627</v>
      </c>
      <c r="Q79" s="113">
        <f>SUMIFS('S&amp;L Data'!AB2:AB500,'S&amp;L Data'!$C2:$C500,"Obligations")+SUMIFS('S&amp;L Data'!AB2:AB500,'S&amp;L Data'!$C2:$C500,"Wealth and Savings")</f>
        <v>51681852</v>
      </c>
      <c r="R79" s="113">
        <f>SUMIFS('S&amp;L Data'!AC2:AC500,'S&amp;L Data'!$C2:$C500,"Obligations")+SUMIFS('S&amp;L Data'!AC2:AC500,'S&amp;L Data'!$C2:$C500,"Wealth and Savings")</f>
        <v>53378032</v>
      </c>
      <c r="S79" s="113">
        <f>SUMIFS('S&amp;L Data'!AD2:AD500,'S&amp;L Data'!$C2:$C500,"Obligations")+SUMIFS('S&amp;L Data'!AD2:AD500,'S&amp;L Data'!$C2:$C500,"Wealth and Savings")</f>
        <v>58268864</v>
      </c>
      <c r="T79" s="113">
        <f>SUMIFS('S&amp;L Data'!AE2:AE500,'S&amp;L Data'!$C2:$C500,"Obligations")+SUMIFS('S&amp;L Data'!AE2:AE500,'S&amp;L Data'!$C2:$C500,"Wealth and Savings")</f>
        <v>61893769</v>
      </c>
      <c r="U79" s="113">
        <f>SUMIFS('S&amp;L Data'!AF2:AF500,'S&amp;L Data'!$C2:$C500,"Obligations")+SUMIFS('S&amp;L Data'!AF2:AF500,'S&amp;L Data'!$C2:$C500,"Wealth and Savings")</f>
        <v>68307987</v>
      </c>
      <c r="V79" s="113">
        <f>SUMIFS('S&amp;L Data'!AG2:AG500,'S&amp;L Data'!$C2:$C500,"Obligations")+SUMIFS('S&amp;L Data'!AG2:AG500,'S&amp;L Data'!$C2:$C500,"Wealth and Savings")</f>
        <v>74219024</v>
      </c>
      <c r="W79" s="113">
        <f>SUMIFS('S&amp;L Data'!AH2:AH500,'S&amp;L Data'!$C2:$C500,"Obligations")+SUMIFS('S&amp;L Data'!AH2:AH500,'S&amp;L Data'!$C2:$C500,"Wealth and Savings")</f>
        <v>82702865</v>
      </c>
      <c r="X79" s="113">
        <f>SUMIFS('S&amp;L Data'!AI2:AI500,'S&amp;L Data'!$C2:$C500,"Obligations")+SUMIFS('S&amp;L Data'!AI2:AI500,'S&amp;L Data'!$C2:$C500,"Wealth and Savings")</f>
        <v>82236509</v>
      </c>
      <c r="Y79" s="113">
        <f>SUMIFS('S&amp;L Data'!AJ2:AJ500,'S&amp;L Data'!$C2:$C500,"Obligations")+SUMIFS('S&amp;L Data'!AJ2:AJ500,'S&amp;L Data'!$C2:$C500,"Wealth and Savings")</f>
        <v>106634092</v>
      </c>
      <c r="Z79" s="113">
        <f>SUMIFS('S&amp;L Data'!AK2:AK500,'S&amp;L Data'!$C2:$C500,"Obligations")+SUMIFS('S&amp;L Data'!AK2:AK500,'S&amp;L Data'!$C2:$C500,"Wealth and Savings")</f>
        <v>126804008</v>
      </c>
      <c r="AA79" s="113">
        <f>SUMIFS('S&amp;L Data'!AL2:AL500,'S&amp;L Data'!$C2:$C500,"Obligations")+SUMIFS('S&amp;L Data'!AL2:AL500,'S&amp;L Data'!$C2:$C500,"Wealth and Savings")</f>
        <v>139982854</v>
      </c>
      <c r="AB79" s="113">
        <f>SUMIFS('S&amp;L Data'!AM2:AM500,'S&amp;L Data'!$C2:$C500,"Obligations")+SUMIFS('S&amp;L Data'!AM2:AM500,'S&amp;L Data'!$C2:$C500,"Wealth and Savings")</f>
        <v>140851963</v>
      </c>
      <c r="AC79" s="113">
        <f>SUMIFS('S&amp;L Data'!AN2:AN500,'S&amp;L Data'!$C2:$C500,"Obligations")+SUMIFS('S&amp;L Data'!AN2:AN500,'S&amp;L Data'!$C2:$C500,"Wealth and Savings")</f>
        <v>143893914</v>
      </c>
      <c r="AD79" s="113">
        <f>SUMIFS('S&amp;L Data'!AO2:AO500,'S&amp;L Data'!$C2:$C500,"Obligations")+SUMIFS('S&amp;L Data'!AO2:AO500,'S&amp;L Data'!$C2:$C500,"Wealth and Savings")</f>
        <v>140987349</v>
      </c>
      <c r="AE79" s="113">
        <f>SUMIFS('S&amp;L Data'!AP2:AP500,'S&amp;L Data'!$C2:$C500,"Obligations")+SUMIFS('S&amp;L Data'!AP2:AP500,'S&amp;L Data'!$C2:$C500,"Wealth and Savings")</f>
        <v>162844207</v>
      </c>
      <c r="AF79" s="113">
        <f>SUMIFS('S&amp;L Data'!AQ2:AQ500,'S&amp;L Data'!$C2:$C500,"Obligations")+SUMIFS('S&amp;L Data'!AQ2:AQ500,'S&amp;L Data'!$C2:$C500,"Wealth and Savings")</f>
        <v>197140317</v>
      </c>
      <c r="AG79" s="113">
        <f>SUMIFS('S&amp;L Data'!AR2:AR500,'S&amp;L Data'!$C2:$C500,"Obligations")+SUMIFS('S&amp;L Data'!AR2:AR500,'S&amp;L Data'!$C2:$C500,"Wealth and Savings")</f>
        <v>225971893</v>
      </c>
      <c r="AH79" s="113">
        <f>SUMIFS('S&amp;L Data'!AS2:AS500,'S&amp;L Data'!$C2:$C500,"Obligations")+SUMIFS('S&amp;L Data'!AS2:AS500,'S&amp;L Data'!$C2:$C500,"Wealth and Savings")</f>
        <v>247838727</v>
      </c>
      <c r="AI79" s="113">
        <f>SUMIFS('S&amp;L Data'!AT2:AT500,'S&amp;L Data'!$C2:$C500,"Obligations")+SUMIFS('S&amp;L Data'!AT2:AT500,'S&amp;L Data'!$C2:$C500,"Wealth and Savings")</f>
        <v>262038131</v>
      </c>
      <c r="AJ79" s="113">
        <f>SUMIFS('S&amp;L Data'!AU2:AU500,'S&amp;L Data'!$C2:$C500,"Obligations")+SUMIFS('S&amp;L Data'!AU2:AU500,'S&amp;L Data'!$C2:$C500,"Wealth and Savings")</f>
        <v>276038101</v>
      </c>
      <c r="AK79" s="113">
        <f>SUMIFS('S&amp;L Data'!AV2:AV500,'S&amp;L Data'!$C2:$C500,"Obligations")+SUMIFS('S&amp;L Data'!AV2:AV500,'S&amp;L Data'!$C2:$C500,"Wealth and Savings")</f>
        <v>285635054</v>
      </c>
    </row>
    <row r="80" spans="1:40" outlineLevel="1">
      <c r="A80" s="22" t="str">
        <f>B79</f>
        <v>Wealth and Savings</v>
      </c>
      <c r="B80" s="28" t="s">
        <v>41</v>
      </c>
      <c r="C80" s="113">
        <f>SUMIFS('S&amp;L Data'!N2:N500,'S&amp;L Data'!$C2:$C500,"Obligations")</f>
        <v>21717089</v>
      </c>
      <c r="D80" s="113">
        <f>SUMIFS('S&amp;L Data'!O2:O500,'S&amp;L Data'!$C2:$C500,"Obligations")</f>
        <v>24939869</v>
      </c>
      <c r="E80" s="113">
        <f>SUMIFS('S&amp;L Data'!P2:P500,'S&amp;L Data'!$C2:$C500,"Obligations")</f>
        <v>28165321</v>
      </c>
      <c r="F80" s="113">
        <f>SUMIFS('S&amp;L Data'!Q2:Q500,'S&amp;L Data'!$C2:$C500,"Obligations")</f>
        <v>37845549</v>
      </c>
      <c r="G80" s="113">
        <f>SUMIFS('S&amp;L Data'!R2:R500,'S&amp;L Data'!$C2:$C500,"Obligations")</f>
        <v>48858294</v>
      </c>
      <c r="H80" s="113">
        <f>SUMIFS('S&amp;L Data'!S2:S500,'S&amp;L Data'!$C2:$C500,"Obligations")</f>
        <v>53088779</v>
      </c>
      <c r="I80" s="113">
        <f>SUMIFS('S&amp;L Data'!T2:T500,'S&amp;L Data'!$C2:$C500,"Obligations")</f>
        <v>61424894</v>
      </c>
      <c r="J80" s="113">
        <f>SUMIFS('S&amp;L Data'!U2:U500,'S&amp;L Data'!$C2:$C500,"Obligations")</f>
        <v>72970371</v>
      </c>
      <c r="K80" s="113">
        <f>SUMIFS('S&amp;L Data'!V2:V500,'S&amp;L Data'!$C2:$C500,"Obligations")</f>
        <v>69180271</v>
      </c>
      <c r="L80" s="113">
        <f>SUMIFS('S&amp;L Data'!W2:W500,'S&amp;L Data'!$C2:$C500,"Obligations")</f>
        <v>69897782</v>
      </c>
      <c r="M80" s="113">
        <f>SUMIFS('S&amp;L Data'!X2:X500,'S&amp;L Data'!$C2:$C500,"Obligations")</f>
        <v>73902386</v>
      </c>
      <c r="N80" s="113">
        <f>SUMIFS('S&amp;L Data'!Y2:Y500,'S&amp;L Data'!$C2:$C500,"Obligations")</f>
        <v>80722143</v>
      </c>
      <c r="O80" s="113">
        <f>SUMIFS('S&amp;L Data'!Z2:Z500,'S&amp;L Data'!$C2:$C500,"Obligations")</f>
        <v>38988386</v>
      </c>
      <c r="P80" s="113">
        <f>SUMIFS('S&amp;L Data'!AA2:AA500,'S&amp;L Data'!$C2:$C500,"Obligations")</f>
        <v>48067627</v>
      </c>
      <c r="Q80" s="113">
        <f>SUMIFS('S&amp;L Data'!AB2:AB500,'S&amp;L Data'!$C2:$C500,"Obligations")</f>
        <v>51681852</v>
      </c>
      <c r="R80" s="113">
        <f>SUMIFS('S&amp;L Data'!AC2:AC500,'S&amp;L Data'!$C2:$C500,"Obligations")</f>
        <v>53378032</v>
      </c>
      <c r="S80" s="113">
        <f>SUMIFS('S&amp;L Data'!AD2:AD500,'S&amp;L Data'!$C2:$C500,"Obligations")</f>
        <v>58268864</v>
      </c>
      <c r="T80" s="113">
        <f>SUMIFS('S&amp;L Data'!AE2:AE500,'S&amp;L Data'!$C2:$C500,"Obligations")</f>
        <v>61893769</v>
      </c>
      <c r="U80" s="113">
        <f>SUMIFS('S&amp;L Data'!AF2:AF500,'S&amp;L Data'!$C2:$C500,"Obligations")</f>
        <v>68307987</v>
      </c>
      <c r="V80" s="113">
        <f>SUMIFS('S&amp;L Data'!AG2:AG500,'S&amp;L Data'!$C2:$C500,"Obligations")</f>
        <v>74219024</v>
      </c>
      <c r="W80" s="113">
        <f>SUMIFS('S&amp;L Data'!AH2:AH500,'S&amp;L Data'!$C2:$C500,"Obligations")</f>
        <v>82702865</v>
      </c>
      <c r="X80" s="113">
        <f>SUMIFS('S&amp;L Data'!AI2:AI500,'S&amp;L Data'!$C2:$C500,"Obligations")</f>
        <v>82236509</v>
      </c>
      <c r="Y80" s="113">
        <f>SUMIFS('S&amp;L Data'!AJ2:AJ500,'S&amp;L Data'!$C2:$C500,"Obligations")</f>
        <v>106634092</v>
      </c>
      <c r="Z80" s="113">
        <f>SUMIFS('S&amp;L Data'!AK2:AK500,'S&amp;L Data'!$C2:$C500,"Obligations")</f>
        <v>126804008</v>
      </c>
      <c r="AA80" s="113">
        <f>SUMIFS('S&amp;L Data'!AL2:AL500,'S&amp;L Data'!$C2:$C500,"Obligations")</f>
        <v>139982854</v>
      </c>
      <c r="AB80" s="113">
        <f>SUMIFS('S&amp;L Data'!AM2:AM500,'S&amp;L Data'!$C2:$C500,"Obligations")</f>
        <v>140851963</v>
      </c>
      <c r="AC80" s="113">
        <f>SUMIFS('S&amp;L Data'!AN2:AN500,'S&amp;L Data'!$C2:$C500,"Obligations")</f>
        <v>143893914</v>
      </c>
      <c r="AD80" s="113">
        <f>SUMIFS('S&amp;L Data'!AO2:AO500,'S&amp;L Data'!$C2:$C500,"Obligations")</f>
        <v>140987349</v>
      </c>
      <c r="AE80" s="113">
        <f>SUMIFS('S&amp;L Data'!AP2:AP500,'S&amp;L Data'!$C2:$C500,"Obligations")</f>
        <v>162844207</v>
      </c>
      <c r="AF80" s="113">
        <f>SUMIFS('S&amp;L Data'!AQ2:AQ500,'S&amp;L Data'!$C2:$C500,"Obligations")</f>
        <v>197140317</v>
      </c>
      <c r="AG80" s="113">
        <f>SUMIFS('S&amp;L Data'!AR2:AR500,'S&amp;L Data'!$C2:$C500,"Obligations")</f>
        <v>225971893</v>
      </c>
      <c r="AH80" s="113">
        <f>SUMIFS('S&amp;L Data'!AS2:AS500,'S&amp;L Data'!$C2:$C500,"Obligations")</f>
        <v>247838727</v>
      </c>
      <c r="AI80" s="113">
        <f>SUMIFS('S&amp;L Data'!AT2:AT500,'S&amp;L Data'!$C2:$C500,"Obligations")</f>
        <v>262038131</v>
      </c>
      <c r="AJ80" s="113">
        <f>SUMIFS('S&amp;L Data'!AU2:AU500,'S&amp;L Data'!$C2:$C500,"Obligations")</f>
        <v>276038101</v>
      </c>
      <c r="AK80" s="113">
        <f>SUMIFS('S&amp;L Data'!AV2:AV500,'S&amp;L Data'!$C2:$C500,"Obligations")</f>
        <v>285635054</v>
      </c>
    </row>
    <row r="81" spans="1:37" outlineLevel="1">
      <c r="A81" s="22" t="str">
        <f>B80</f>
        <v>Obligations</v>
      </c>
      <c r="B81" s="29" t="s">
        <v>42</v>
      </c>
      <c r="C81" s="113">
        <f>SUMIFS('S&amp;L Data'!N2:N500,'S&amp;L Data'!$D2:$D500,"Employee Retirement and Disability Benefits")</f>
        <v>16725998</v>
      </c>
      <c r="D81" s="113">
        <f>SUMIFS('S&amp;L Data'!O2:O500,'S&amp;L Data'!$D2:$D500,"Employee Retirement and Disability Benefits")</f>
        <v>18650130</v>
      </c>
      <c r="E81" s="113">
        <f>SUMIFS('S&amp;L Data'!P2:P500,'S&amp;L Data'!$D2:$D500,"Employee Retirement and Disability Benefits")</f>
        <v>21316508</v>
      </c>
      <c r="F81" s="113">
        <f>SUMIFS('S&amp;L Data'!Q2:Q500,'S&amp;L Data'!$D2:$D500,"Employee Retirement and Disability Benefits")</f>
        <v>23162124</v>
      </c>
      <c r="G81" s="113">
        <f>SUMIFS('S&amp;L Data'!R2:R500,'S&amp;L Data'!$D2:$D500,"Employee Retirement and Disability Benefits")</f>
        <v>26093110</v>
      </c>
      <c r="H81" s="113">
        <f>SUMIFS('S&amp;L Data'!S2:S500,'S&amp;L Data'!$D2:$D500,"Employee Retirement and Disability Benefits")</f>
        <v>29195532</v>
      </c>
      <c r="I81" s="113">
        <f>SUMIFS('S&amp;L Data'!T2:T500,'S&amp;L Data'!$D2:$D500,"Employee Retirement and Disability Benefits")</f>
        <v>31651311</v>
      </c>
      <c r="J81" s="113">
        <f>SUMIFS('S&amp;L Data'!U2:U500,'S&amp;L Data'!$D2:$D500,"Employee Retirement and Disability Benefits")</f>
        <v>35555474</v>
      </c>
      <c r="K81" s="113">
        <f>SUMIFS('S&amp;L Data'!V2:V500,'S&amp;L Data'!$D2:$D500,"Employee Retirement and Disability Benefits")</f>
        <v>38786642</v>
      </c>
      <c r="L81" s="113">
        <f>SUMIFS('S&amp;L Data'!W2:W500,'S&amp;L Data'!$D2:$D500,"Employee Retirement and Disability Benefits")</f>
        <v>42131706</v>
      </c>
      <c r="M81" s="113">
        <f>SUMIFS('S&amp;L Data'!X2:X500,'S&amp;L Data'!$D2:$D500,"Employee Retirement and Disability Benefits")</f>
        <v>46821905</v>
      </c>
      <c r="N81" s="113">
        <f>SUMIFS('S&amp;L Data'!Y2:Y500,'S&amp;L Data'!$D2:$D500,"Employee Retirement and Disability Benefits")</f>
        <v>52023117</v>
      </c>
      <c r="O81" s="113">
        <f>SUMIFS('S&amp;L Data'!Z2:Z500,'S&amp;L Data'!$D2:$D500,"Employee Retirement and Disability Benefits")</f>
        <v>57327293</v>
      </c>
      <c r="P81" s="113">
        <f>SUMIFS('S&amp;L Data'!AA2:AA500,'S&amp;L Data'!$D2:$D500,"Employee Retirement and Disability Benefits")</f>
        <v>63397702</v>
      </c>
      <c r="Q81" s="113">
        <f>SUMIFS('S&amp;L Data'!AB2:AB500,'S&amp;L Data'!$D2:$D500,"Employee Retirement and Disability Benefits")</f>
        <v>66838500</v>
      </c>
      <c r="R81" s="113">
        <f>SUMIFS('S&amp;L Data'!AC2:AC500,'S&amp;L Data'!$D2:$D500,"Employee Retirement and Disability Benefits")</f>
        <v>72135714</v>
      </c>
      <c r="S81" s="113">
        <f>SUMIFS('S&amp;L Data'!AD2:AD500,'S&amp;L Data'!$D2:$D500,"Employee Retirement and Disability Benefits")</f>
        <v>79241399</v>
      </c>
      <c r="T81" s="113">
        <f>SUMIFS('S&amp;L Data'!AE2:AE500,'S&amp;L Data'!$D2:$D500,"Employee Retirement and Disability Benefits")</f>
        <v>83204583</v>
      </c>
      <c r="U81" s="113">
        <f>SUMIFS('S&amp;L Data'!AF2:AF500,'S&amp;L Data'!$D2:$D500,"Employee Retirement and Disability Benefits")</f>
        <v>90621254</v>
      </c>
      <c r="V81" s="113">
        <f>SUMIFS('S&amp;L Data'!AG2:AG500,'S&amp;L Data'!$D2:$D500,"Employee Retirement and Disability Benefits")</f>
        <v>95949025</v>
      </c>
      <c r="W81" s="113">
        <f>SUMIFS('S&amp;L Data'!AH2:AH500,'S&amp;L Data'!$D2:$D500,"Employee Retirement and Disability Benefits")</f>
        <v>106581171</v>
      </c>
      <c r="X81" s="113">
        <f>SUMIFS('S&amp;L Data'!AI2:AI500,'S&amp;L Data'!$D2:$D500,"Employee Retirement and Disability Benefits")</f>
        <v>116556397</v>
      </c>
      <c r="Y81" s="113">
        <f>SUMIFS('S&amp;L Data'!AJ2:AJ500,'S&amp;L Data'!$D2:$D500,"Employee Retirement and Disability Benefits")</f>
        <v>128596440</v>
      </c>
      <c r="Z81" s="113">
        <f>SUMIFS('S&amp;L Data'!AK2:AK500,'S&amp;L Data'!$D2:$D500,"Employee Retirement and Disability Benefits")</f>
        <v>141716972</v>
      </c>
      <c r="AA81" s="113">
        <f>SUMIFS('S&amp;L Data'!AL2:AL500,'S&amp;L Data'!$D2:$D500,"Employee Retirement and Disability Benefits")</f>
        <v>154564283</v>
      </c>
      <c r="AB81" s="113">
        <f>SUMIFS('S&amp;L Data'!AM2:AM500,'S&amp;L Data'!$D2:$D500,"Employee Retirement and Disability Benefits")</f>
        <v>165886533</v>
      </c>
      <c r="AC81" s="113">
        <f>SUMIFS('S&amp;L Data'!AN2:AN500,'S&amp;L Data'!$D2:$D500,"Employee Retirement and Disability Benefits")</f>
        <v>175982997</v>
      </c>
      <c r="AD81" s="113">
        <f>SUMIFS('S&amp;L Data'!AO2:AO500,'S&amp;L Data'!$D2:$D500,"Employee Retirement and Disability Benefits")</f>
        <v>184916909</v>
      </c>
      <c r="AE81" s="113">
        <f>SUMIFS('S&amp;L Data'!AP2:AP500,'S&amp;L Data'!$D2:$D500,"Employee Retirement and Disability Benefits")</f>
        <v>199632225</v>
      </c>
      <c r="AF81" s="113">
        <f>SUMIFS('S&amp;L Data'!AQ2:AQ500,'S&amp;L Data'!$D2:$D500,"Employee Retirement and Disability Benefits")</f>
        <v>210904021</v>
      </c>
      <c r="AG81" s="113">
        <f>SUMIFS('S&amp;L Data'!AR2:AR500,'S&amp;L Data'!$D2:$D500,"Employee Retirement and Disability Benefits")</f>
        <v>223659874</v>
      </c>
      <c r="AH81" s="113">
        <f>SUMIFS('S&amp;L Data'!AS2:AS500,'S&amp;L Data'!$D2:$D500,"Employee Retirement and Disability Benefits")</f>
        <v>239017752</v>
      </c>
      <c r="AI81" s="113">
        <f>SUMIFS('S&amp;L Data'!AT2:AT500,'S&amp;L Data'!$D2:$D500,"Employee Retirement and Disability Benefits")</f>
        <v>249507210</v>
      </c>
      <c r="AJ81" s="113">
        <f>SUMIFS('S&amp;L Data'!AU2:AU500,'S&amp;L Data'!$D2:$D500,"Employee Retirement and Disability Benefits")</f>
        <v>263675303</v>
      </c>
      <c r="AK81" s="113">
        <f>SUMIFS('S&amp;L Data'!AV2:AV500,'S&amp;L Data'!$D2:$D500,"Employee Retirement and Disability Benefits")</f>
        <v>276557940</v>
      </c>
    </row>
    <row r="82" spans="1:37" outlineLevel="1">
      <c r="A82" s="22" t="str">
        <f>B80</f>
        <v>Obligations</v>
      </c>
      <c r="B82" s="29" t="s">
        <v>314</v>
      </c>
      <c r="C82" s="113">
        <f>SUMIFS('S&amp;L Data'!N2:N500,'S&amp;L Data'!$D2:$D500,"Employee Contributions for Retirement and Disability")</f>
        <v>-10335303</v>
      </c>
      <c r="D82" s="113">
        <f>SUMIFS('S&amp;L Data'!O2:O500,'S&amp;L Data'!$D2:$D500,"Employee Contributions for Retirement and Disability")</f>
        <v>-10894517</v>
      </c>
      <c r="E82" s="113">
        <f>SUMIFS('S&amp;L Data'!P2:P500,'S&amp;L Data'!$D2:$D500,"Employee Contributions for Retirement and Disability")</f>
        <v>-11887489</v>
      </c>
      <c r="F82" s="113">
        <f>SUMIFS('S&amp;L Data'!Q2:Q500,'S&amp;L Data'!$D2:$D500,"Employee Contributions for Retirement and Disability")</f>
        <v>-12528720</v>
      </c>
      <c r="G82" s="113">
        <f>SUMIFS('S&amp;L Data'!R2:R500,'S&amp;L Data'!$D2:$D500,"Employee Contributions for Retirement and Disability")</f>
        <v>-12913795</v>
      </c>
      <c r="H82" s="113">
        <f>SUMIFS('S&amp;L Data'!S2:S500,'S&amp;L Data'!$D2:$D500,"Employee Contributions for Retirement and Disability")</f>
        <v>-14047155</v>
      </c>
      <c r="I82" s="113">
        <f>SUMIFS('S&amp;L Data'!T2:T500,'S&amp;L Data'!$D2:$D500,"Employee Contributions for Retirement and Disability")</f>
        <v>-15758488</v>
      </c>
      <c r="J82" s="113">
        <f>SUMIFS('S&amp;L Data'!U2:U500,'S&amp;L Data'!$D2:$D500,"Employee Contributions for Retirement and Disability")</f>
        <v>-17725324</v>
      </c>
      <c r="K82" s="113">
        <f>SUMIFS('S&amp;L Data'!V2:V500,'S&amp;L Data'!$D2:$D500,"Employee Contributions for Retirement and Disability")</f>
        <v>-19420311</v>
      </c>
      <c r="L82" s="113">
        <f>SUMIFS('S&amp;L Data'!W2:W500,'S&amp;L Data'!$D2:$D500,"Employee Contributions for Retirement and Disability")</f>
        <v>-21251402</v>
      </c>
      <c r="M82" s="113">
        <f>SUMIFS('S&amp;L Data'!X2:X500,'S&amp;L Data'!$D2:$D500,"Employee Contributions for Retirement and Disability")</f>
        <v>-22848992</v>
      </c>
      <c r="N82" s="113">
        <f>SUMIFS('S&amp;L Data'!Y2:Y500,'S&amp;L Data'!$D2:$D500,"Employee Contributions for Retirement and Disability")</f>
        <v>-26481732</v>
      </c>
      <c r="O82" s="113">
        <f>SUMIFS('S&amp;L Data'!Z2:Z500,'S&amp;L Data'!$D2:$D500,"Employee Contributions for Retirement and Disability")</f>
        <v>-27760841</v>
      </c>
      <c r="P82" s="113">
        <f>SUMIFS('S&amp;L Data'!AA2:AA500,'S&amp;L Data'!$D2:$D500,"Employee Contributions for Retirement and Disability")</f>
        <v>-29326048</v>
      </c>
      <c r="Q82" s="113">
        <f>SUMIFS('S&amp;L Data'!AB2:AB500,'S&amp;L Data'!$D2:$D500,"Employee Contributions for Retirement and Disability")</f>
        <v>-30964392</v>
      </c>
      <c r="R82" s="113">
        <f>SUMIFS('S&amp;L Data'!AC2:AC500,'S&amp;L Data'!$D2:$D500,"Employee Contributions for Retirement and Disability")</f>
        <v>-31723411</v>
      </c>
      <c r="S82" s="113">
        <f>SUMIFS('S&amp;L Data'!AD2:AD500,'S&amp;L Data'!$D2:$D500,"Employee Contributions for Retirement and Disability")</f>
        <v>-32123809</v>
      </c>
      <c r="T82" s="113">
        <f>SUMIFS('S&amp;L Data'!AE2:AE500,'S&amp;L Data'!$D2:$D500,"Employee Contributions for Retirement and Disability")</f>
        <v>-31795676</v>
      </c>
      <c r="U82" s="113">
        <f>SUMIFS('S&amp;L Data'!AF2:AF500,'S&amp;L Data'!$D2:$D500,"Employee Contributions for Retirement and Disability")</f>
        <v>-31493901</v>
      </c>
      <c r="V82" s="113">
        <f>SUMIFS('S&amp;L Data'!AG2:AG500,'S&amp;L Data'!$D2:$D500,"Employee Contributions for Retirement and Disability")</f>
        <v>-33299480</v>
      </c>
      <c r="W82" s="113">
        <f>SUMIFS('S&amp;L Data'!AH2:AH500,'S&amp;L Data'!$D2:$D500,"Employee Contributions for Retirement and Disability")</f>
        <v>-33887563</v>
      </c>
      <c r="X82" s="113">
        <f>SUMIFS('S&amp;L Data'!AI2:AI500,'S&amp;L Data'!$D2:$D500,"Employee Contributions for Retirement and Disability")</f>
        <v>-38771656</v>
      </c>
      <c r="Y82" s="113">
        <f>SUMIFS('S&amp;L Data'!AJ2:AJ500,'S&amp;L Data'!$D2:$D500,"Employee Contributions for Retirement and Disability")</f>
        <v>-41734573</v>
      </c>
      <c r="Z82" s="113">
        <f>SUMIFS('S&amp;L Data'!AK2:AK500,'S&amp;L Data'!$D2:$D500,"Employee Contributions for Retirement and Disability")</f>
        <v>-45536446</v>
      </c>
      <c r="AA82" s="113">
        <f>SUMIFS('S&amp;L Data'!AL2:AL500,'S&amp;L Data'!$D2:$D500,"Employee Contributions for Retirement and Disability")</f>
        <v>-54665833</v>
      </c>
      <c r="AB82" s="113">
        <f>SUMIFS('S&amp;L Data'!AM2:AM500,'S&amp;L Data'!$D2:$D500,"Employee Contributions for Retirement and Disability")</f>
        <v>-57439174</v>
      </c>
      <c r="AC82" s="113">
        <f>SUMIFS('S&amp;L Data'!AN2:AN500,'S&amp;L Data'!$D2:$D500,"Employee Contributions for Retirement and Disability")</f>
        <v>-57688305</v>
      </c>
      <c r="AD82" s="113">
        <f>SUMIFS('S&amp;L Data'!AO2:AO500,'S&amp;L Data'!$D2:$D500,"Employee Contributions for Retirement and Disability")</f>
        <v>-58153090</v>
      </c>
      <c r="AE82" s="113">
        <f>SUMIFS('S&amp;L Data'!AP2:AP500,'S&amp;L Data'!$D2:$D500,"Employee Contributions for Retirement and Disability")</f>
        <v>-56337574</v>
      </c>
      <c r="AF82" s="113">
        <f>SUMIFS('S&amp;L Data'!AQ2:AQ500,'S&amp;L Data'!$D2:$D500,"Employee Contributions for Retirement and Disability")</f>
        <v>-59356093</v>
      </c>
      <c r="AG82" s="113">
        <f>SUMIFS('S&amp;L Data'!AR2:AR500,'S&amp;L Data'!$D2:$D500,"Employee Contributions for Retirement and Disability")</f>
        <v>-57799064</v>
      </c>
      <c r="AH82" s="113">
        <f>SUMIFS('S&amp;L Data'!AS2:AS500,'S&amp;L Data'!$D2:$D500,"Employee Contributions for Retirement and Disability")</f>
        <v>-58372058</v>
      </c>
      <c r="AI82" s="113">
        <f>SUMIFS('S&amp;L Data'!AT2:AT500,'S&amp;L Data'!$D2:$D500,"Employee Contributions for Retirement and Disability")</f>
        <v>-61699123</v>
      </c>
      <c r="AJ82" s="113">
        <f>SUMIFS('S&amp;L Data'!AU2:AU500,'S&amp;L Data'!$D2:$D500,"Employee Contributions for Retirement and Disability")</f>
        <v>-62272034</v>
      </c>
      <c r="AK82" s="113">
        <f>SUMIFS('S&amp;L Data'!AV2:AV500,'S&amp;L Data'!$D2:$D500,"Employee Contributions for Retirement and Disability")</f>
        <v>-64260027</v>
      </c>
    </row>
    <row r="83" spans="1:37" outlineLevel="1">
      <c r="A83" s="22" t="str">
        <f>B80</f>
        <v>Obligations</v>
      </c>
      <c r="B83" s="49" t="s">
        <v>310</v>
      </c>
      <c r="C83" s="119">
        <f>SUMIFS('S&amp;L Data'!N2:N500,'S&amp;L Data'!$D2:$D500,"Net Interest on Debt")</f>
        <v>15326394</v>
      </c>
      <c r="D83" s="119">
        <f>SUMIFS('S&amp;L Data'!O2:O500,'S&amp;L Data'!$D2:$D500,"Net Interest on Debt")</f>
        <v>17184256</v>
      </c>
      <c r="E83" s="119">
        <f>SUMIFS('S&amp;L Data'!P2:P500,'S&amp;L Data'!$D2:$D500,"Net Interest on Debt")</f>
        <v>18736302</v>
      </c>
      <c r="F83" s="119">
        <f>SUMIFS('S&amp;L Data'!Q2:Q500,'S&amp;L Data'!$D2:$D500,"Net Interest on Debt")</f>
        <v>27212145</v>
      </c>
      <c r="G83" s="119">
        <f>SUMIFS('S&amp;L Data'!R2:R500,'S&amp;L Data'!$D2:$D500,"Net Interest on Debt")</f>
        <v>35678979</v>
      </c>
      <c r="H83" s="119">
        <f>SUMIFS('S&amp;L Data'!S2:S500,'S&amp;L Data'!$D2:$D500,"Net Interest on Debt")</f>
        <v>37940402</v>
      </c>
      <c r="I83" s="119">
        <f>SUMIFS('S&amp;L Data'!T2:T500,'S&amp;L Data'!$D2:$D500,"Net Interest on Debt")</f>
        <v>45532071</v>
      </c>
      <c r="J83" s="119">
        <f>SUMIFS('S&amp;L Data'!U2:U500,'S&amp;L Data'!$D2:$D500,"Net Interest on Debt")</f>
        <v>55140221</v>
      </c>
      <c r="K83" s="119">
        <f>SUMIFS('S&amp;L Data'!V2:V500,'S&amp;L Data'!$D2:$D500,"Net Interest on Debt")</f>
        <v>49813940</v>
      </c>
      <c r="L83" s="119">
        <f>SUMIFS('S&amp;L Data'!W2:W500,'S&amp;L Data'!$D2:$D500,"Net Interest on Debt")</f>
        <v>49017478</v>
      </c>
      <c r="M83" s="119">
        <f>SUMIFS('S&amp;L Data'!X2:X500,'S&amp;L Data'!$D2:$D500,"Net Interest on Debt")</f>
        <v>49929473</v>
      </c>
      <c r="N83" s="119">
        <f>SUMIFS('S&amp;L Data'!Y2:Y500,'S&amp;L Data'!$D2:$D500,"Net Interest on Debt")</f>
        <v>55180758</v>
      </c>
      <c r="O83" s="119">
        <f>SUMIFS('S&amp;L Data'!Z2:Z500,'S&amp;L Data'!$D2:$D500,"Net Interest on Debt")</f>
        <v>9421934</v>
      </c>
      <c r="P83" s="119">
        <f>SUMIFS('S&amp;L Data'!AA2:AA500,'S&amp;L Data'!$D2:$D500,"Net Interest on Debt")</f>
        <v>13995973</v>
      </c>
      <c r="Q83" s="119">
        <f>SUMIFS('S&amp;L Data'!AB2:AB500,'S&amp;L Data'!$D2:$D500,"Net Interest on Debt")</f>
        <v>15807744</v>
      </c>
      <c r="R83" s="119">
        <f>SUMIFS('S&amp;L Data'!AC2:AC500,'S&amp;L Data'!$D2:$D500,"Net Interest on Debt")</f>
        <v>12965729</v>
      </c>
      <c r="S83" s="119">
        <f>SUMIFS('S&amp;L Data'!AD2:AD500,'S&amp;L Data'!$D2:$D500,"Net Interest on Debt")</f>
        <v>11151274</v>
      </c>
      <c r="T83" s="119">
        <f>SUMIFS('S&amp;L Data'!AE2:AE500,'S&amp;L Data'!$D2:$D500,"Net Interest on Debt")</f>
        <v>10484862</v>
      </c>
      <c r="U83" s="119">
        <f>SUMIFS('S&amp;L Data'!AF2:AF500,'S&amp;L Data'!$D2:$D500,"Net Interest on Debt")</f>
        <v>9180634</v>
      </c>
      <c r="V83" s="119">
        <f>SUMIFS('S&amp;L Data'!AG2:AG500,'S&amp;L Data'!$D2:$D500,"Net Interest on Debt")</f>
        <v>11569479</v>
      </c>
      <c r="W83" s="119">
        <f>SUMIFS('S&amp;L Data'!AH2:AH500,'S&amp;L Data'!$D2:$D500,"Net Interest on Debt")</f>
        <v>10009257</v>
      </c>
      <c r="X83" s="119">
        <f>SUMIFS('S&amp;L Data'!AI2:AI500,'S&amp;L Data'!$D2:$D500,"Net Interest on Debt")</f>
        <v>4451768</v>
      </c>
      <c r="Y83" s="119">
        <f>SUMIFS('S&amp;L Data'!AJ2:AJ500,'S&amp;L Data'!$D2:$D500,"Net Interest on Debt")</f>
        <v>19772225</v>
      </c>
      <c r="Z83" s="119">
        <f>SUMIFS('S&amp;L Data'!AK2:AK500,'S&amp;L Data'!$D2:$D500,"Net Interest on Debt")</f>
        <v>30623482</v>
      </c>
      <c r="AA83" s="119">
        <f>SUMIFS('S&amp;L Data'!AL2:AL500,'S&amp;L Data'!$D2:$D500,"Net Interest on Debt")</f>
        <v>40084404</v>
      </c>
      <c r="AB83" s="119">
        <f>SUMIFS('S&amp;L Data'!AM2:AM500,'S&amp;L Data'!$D2:$D500,"Net Interest on Debt")</f>
        <v>32404604</v>
      </c>
      <c r="AC83" s="119">
        <f>SUMIFS('S&amp;L Data'!AN2:AN500,'S&amp;L Data'!$D2:$D500,"Net Interest on Debt")</f>
        <v>25599222</v>
      </c>
      <c r="AD83" s="119">
        <f>SUMIFS('S&amp;L Data'!AO2:AO500,'S&amp;L Data'!$D2:$D500,"Net Interest on Debt")</f>
        <v>14223530</v>
      </c>
      <c r="AE83" s="119">
        <f>SUMIFS('S&amp;L Data'!AP2:AP500,'S&amp;L Data'!$D2:$D500,"Net Interest on Debt")</f>
        <v>19549556</v>
      </c>
      <c r="AF83" s="119">
        <f>SUMIFS('S&amp;L Data'!AQ2:AQ500,'S&amp;L Data'!$D2:$D500,"Net Interest on Debt")</f>
        <v>45592389</v>
      </c>
      <c r="AG83" s="119">
        <f>SUMIFS('S&amp;L Data'!AR2:AR500,'S&amp;L Data'!$D2:$D500,"Net Interest on Debt")</f>
        <v>60111083</v>
      </c>
      <c r="AH83" s="119">
        <f>SUMIFS('S&amp;L Data'!AS2:AS500,'S&amp;L Data'!$D2:$D500,"Net Interest on Debt")</f>
        <v>67193033</v>
      </c>
      <c r="AI83" s="119">
        <f>SUMIFS('S&amp;L Data'!AT2:AT500,'S&amp;L Data'!$D2:$D500,"Net Interest on Debt")</f>
        <v>74230044</v>
      </c>
      <c r="AJ83" s="119">
        <f>SUMIFS('S&amp;L Data'!AU2:AU500,'S&amp;L Data'!$D2:$D500,"Net Interest on Debt")</f>
        <v>74634832</v>
      </c>
      <c r="AK83" s="119">
        <f>SUMIFS('S&amp;L Data'!AV2:AV500,'S&amp;L Data'!$D2:$D500,"Net Interest on Debt")</f>
        <v>73337141</v>
      </c>
    </row>
    <row r="84" spans="1:37" outlineLevel="1">
      <c r="A84" s="22" t="str">
        <f>B65</f>
        <v>Secure the Blessings of Liberty to Ourselves and Our Posterity</v>
      </c>
      <c r="B84" s="40" t="s">
        <v>493</v>
      </c>
      <c r="C84" s="121" t="s">
        <v>487</v>
      </c>
      <c r="D84" s="121" t="s">
        <v>487</v>
      </c>
      <c r="E84" s="121" t="s">
        <v>487</v>
      </c>
      <c r="F84" s="121" t="s">
        <v>487</v>
      </c>
      <c r="G84" s="121" t="s">
        <v>487</v>
      </c>
      <c r="H84" s="121" t="s">
        <v>487</v>
      </c>
      <c r="I84" s="121" t="s">
        <v>487</v>
      </c>
      <c r="J84" s="121" t="s">
        <v>487</v>
      </c>
      <c r="K84" s="121" t="s">
        <v>487</v>
      </c>
      <c r="L84" s="121" t="s">
        <v>487</v>
      </c>
      <c r="M84" s="121" t="s">
        <v>487</v>
      </c>
      <c r="N84" s="121" t="s">
        <v>487</v>
      </c>
      <c r="O84" s="121" t="s">
        <v>487</v>
      </c>
      <c r="P84" s="121" t="s">
        <v>487</v>
      </c>
      <c r="Q84" s="121" t="s">
        <v>487</v>
      </c>
      <c r="R84" s="121" t="s">
        <v>487</v>
      </c>
      <c r="S84" s="121" t="s">
        <v>487</v>
      </c>
      <c r="T84" s="121" t="s">
        <v>487</v>
      </c>
      <c r="U84" s="121" t="s">
        <v>487</v>
      </c>
      <c r="V84" s="121" t="s">
        <v>487</v>
      </c>
      <c r="W84" s="121" t="s">
        <v>487</v>
      </c>
      <c r="X84" s="121" t="s">
        <v>487</v>
      </c>
      <c r="Y84" s="121" t="s">
        <v>487</v>
      </c>
      <c r="Z84" s="121" t="s">
        <v>487</v>
      </c>
      <c r="AA84" s="121" t="s">
        <v>487</v>
      </c>
      <c r="AB84" s="121" t="s">
        <v>487</v>
      </c>
      <c r="AC84" s="121" t="s">
        <v>487</v>
      </c>
      <c r="AD84" s="121" t="s">
        <v>487</v>
      </c>
      <c r="AE84" s="121" t="s">
        <v>487</v>
      </c>
      <c r="AF84" s="121" t="s">
        <v>487</v>
      </c>
      <c r="AG84" s="121" t="s">
        <v>487</v>
      </c>
      <c r="AH84" s="121" t="s">
        <v>487</v>
      </c>
      <c r="AI84" s="121" t="s">
        <v>487</v>
      </c>
      <c r="AJ84" s="121" t="s">
        <v>487</v>
      </c>
      <c r="AK84" s="121" t="s">
        <v>487</v>
      </c>
    </row>
    <row r="85" spans="1:37">
      <c r="A85" s="22" t="str">
        <f>B26</f>
        <v>Spending By Mission</v>
      </c>
      <c r="B85" s="73" t="s">
        <v>40</v>
      </c>
      <c r="C85" s="117">
        <f>SUMIFS('S&amp;L Data'!N2:N500,'S&amp;L Data'!$C2:$C500,"General Government")</f>
        <v>33490017</v>
      </c>
      <c r="D85" s="117">
        <f>SUMIFS('S&amp;L Data'!O2:O500,'S&amp;L Data'!$C2:$C500,"General Government")</f>
        <v>36047905</v>
      </c>
      <c r="E85" s="117">
        <f>SUMIFS('S&amp;L Data'!P2:P500,'S&amp;L Data'!$C2:$C500,"General Government")</f>
        <v>36321833</v>
      </c>
      <c r="F85" s="117">
        <f>SUMIFS('S&amp;L Data'!Q2:Q500,'S&amp;L Data'!$C2:$C500,"General Government")</f>
        <v>36125794</v>
      </c>
      <c r="G85" s="117">
        <f>SUMIFS('S&amp;L Data'!R2:R500,'S&amp;L Data'!$C2:$C500,"General Government")</f>
        <v>38891922</v>
      </c>
      <c r="H85" s="117">
        <f>SUMIFS('S&amp;L Data'!S2:S500,'S&amp;L Data'!$C2:$C500,"General Government")</f>
        <v>42895231</v>
      </c>
      <c r="I85" s="117">
        <f>SUMIFS('S&amp;L Data'!T2:T500,'S&amp;L Data'!$C2:$C500,"General Government")</f>
        <v>46789058</v>
      </c>
      <c r="J85" s="117">
        <f>SUMIFS('S&amp;L Data'!U2:U500,'S&amp;L Data'!$C2:$C500,"General Government")</f>
        <v>51030336</v>
      </c>
      <c r="K85" s="117">
        <f>SUMIFS('S&amp;L Data'!V2:V500,'S&amp;L Data'!$C2:$C500,"General Government")</f>
        <v>53109075</v>
      </c>
      <c r="L85" s="117">
        <f>SUMIFS('S&amp;L Data'!W2:W500,'S&amp;L Data'!$C2:$C500,"General Government")</f>
        <v>56919626</v>
      </c>
      <c r="M85" s="117">
        <f>SUMIFS('S&amp;L Data'!X2:X500,'S&amp;L Data'!$C2:$C500,"General Government")</f>
        <v>61059762</v>
      </c>
      <c r="N85" s="117">
        <f>SUMIFS('S&amp;L Data'!Y2:Y500,'S&amp;L Data'!$C2:$C500,"General Government")</f>
        <v>65282138</v>
      </c>
      <c r="O85" s="117">
        <f>SUMIFS('S&amp;L Data'!Z2:Z500,'S&amp;L Data'!$C2:$C500,"General Government")</f>
        <v>66757855</v>
      </c>
      <c r="P85" s="117">
        <f>SUMIFS('S&amp;L Data'!AA2:AA500,'S&amp;L Data'!$C2:$C500,"General Government")</f>
        <v>68898275</v>
      </c>
      <c r="Q85" s="117">
        <f>SUMIFS('S&amp;L Data'!AB2:AB500,'S&amp;L Data'!$C2:$C500,"General Government")</f>
        <v>70736640</v>
      </c>
      <c r="R85" s="117">
        <f>SUMIFS('S&amp;L Data'!AC2:AC500,'S&amp;L Data'!$C2:$C500,"General Government")</f>
        <v>75526320</v>
      </c>
      <c r="S85" s="117">
        <f>SUMIFS('S&amp;L Data'!AD2:AD500,'S&amp;L Data'!$C2:$C500,"General Government")</f>
        <v>75227274</v>
      </c>
      <c r="T85" s="117">
        <f>SUMIFS('S&amp;L Data'!AE2:AE500,'S&amp;L Data'!$C2:$C500,"General Government")</f>
        <v>82143509</v>
      </c>
      <c r="U85" s="117">
        <f>SUMIFS('S&amp;L Data'!AF2:AF500,'S&amp;L Data'!$C2:$C500,"General Government")</f>
        <v>85160967</v>
      </c>
      <c r="V85" s="117">
        <f>SUMIFS('S&amp;L Data'!AG2:AG500,'S&amp;L Data'!$C2:$C500,"General Government")</f>
        <v>94425013</v>
      </c>
      <c r="W85" s="117">
        <f>SUMIFS('S&amp;L Data'!AH2:AH500,'S&amp;L Data'!$C2:$C500,"General Government")</f>
        <v>102791222</v>
      </c>
      <c r="X85" s="117">
        <f>SUMIFS('S&amp;L Data'!AI2:AI500,'S&amp;L Data'!$C2:$C500,"General Government")</f>
        <v>112524167</v>
      </c>
      <c r="Y85" s="117">
        <f>SUMIFS('S&amp;L Data'!AJ2:AJ500,'S&amp;L Data'!$C2:$C500,"General Government")</f>
        <v>120882962</v>
      </c>
      <c r="Z85" s="117">
        <f>SUMIFS('S&amp;L Data'!AK2:AK500,'S&amp;L Data'!$C2:$C500,"General Government")</f>
        <v>118239247</v>
      </c>
      <c r="AA85" s="117">
        <f>SUMIFS('S&amp;L Data'!AL2:AL500,'S&amp;L Data'!$C2:$C500,"General Government")</f>
        <v>119089366</v>
      </c>
      <c r="AB85" s="117">
        <f>SUMIFS('S&amp;L Data'!AM2:AM500,'S&amp;L Data'!$C2:$C500,"General Government")</f>
        <v>122609628</v>
      </c>
      <c r="AC85" s="117">
        <f>SUMIFS('S&amp;L Data'!AN2:AN500,'S&amp;L Data'!$C2:$C500,"General Government")</f>
        <v>131804808</v>
      </c>
      <c r="AD85" s="117">
        <f>SUMIFS('S&amp;L Data'!AO2:AO500,'S&amp;L Data'!$C2:$C500,"General Government")</f>
        <v>148596531</v>
      </c>
      <c r="AE85" s="117">
        <f>SUMIFS('S&amp;L Data'!AP2:AP500,'S&amp;L Data'!$C2:$C500,"General Government")</f>
        <v>151893372</v>
      </c>
      <c r="AF85" s="117">
        <f>SUMIFS('S&amp;L Data'!AQ2:AQ500,'S&amp;L Data'!$C2:$C500,"General Government")</f>
        <v>156733765</v>
      </c>
      <c r="AG85" s="117">
        <f>SUMIFS('S&amp;L Data'!AR2:AR500,'S&amp;L Data'!$C2:$C500,"General Government")</f>
        <v>158039258</v>
      </c>
      <c r="AH85" s="117">
        <f>SUMIFS('S&amp;L Data'!AS2:AS500,'S&amp;L Data'!$C2:$C500,"General Government")</f>
        <v>154779816</v>
      </c>
      <c r="AI85" s="117">
        <f>SUMIFS('S&amp;L Data'!AT2:AT500,'S&amp;L Data'!$C2:$C500,"General Government")</f>
        <v>148651663</v>
      </c>
      <c r="AJ85" s="117">
        <f>SUMIFS('S&amp;L Data'!AU2:AU500,'S&amp;L Data'!$C2:$C500,"General Government")</f>
        <v>145235828</v>
      </c>
      <c r="AK85" s="117">
        <f>SUMIFS('S&amp;L Data'!AV2:AV500,'S&amp;L Data'!$C2:$C500,"General Government")</f>
        <v>154342431</v>
      </c>
    </row>
    <row r="86" spans="1:37">
      <c r="B86" s="26"/>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row>
    <row r="87" spans="1:37">
      <c r="B87" s="21" t="s">
        <v>320</v>
      </c>
      <c r="C87" s="111">
        <f t="shared" ref="C87:AK87" si="1">C5-C27</f>
        <v>932331</v>
      </c>
      <c r="D87" s="111">
        <f t="shared" si="1"/>
        <v>1907945</v>
      </c>
      <c r="E87" s="111">
        <f t="shared" si="1"/>
        <v>4173378</v>
      </c>
      <c r="F87" s="111">
        <f t="shared" si="1"/>
        <v>3405434</v>
      </c>
      <c r="G87" s="111">
        <f t="shared" si="1"/>
        <v>18599607</v>
      </c>
      <c r="H87" s="111">
        <f t="shared" si="1"/>
        <v>24439622</v>
      </c>
      <c r="I87" s="111">
        <f t="shared" si="1"/>
        <v>22721241</v>
      </c>
      <c r="J87" s="111">
        <f t="shared" si="1"/>
        <v>18447444</v>
      </c>
      <c r="K87" s="111">
        <f t="shared" si="1"/>
        <v>5277626</v>
      </c>
      <c r="L87" s="111">
        <f t="shared" si="1"/>
        <v>6074532</v>
      </c>
      <c r="M87" s="111">
        <f t="shared" si="1"/>
        <v>832391</v>
      </c>
      <c r="N87" s="111">
        <f t="shared" si="1"/>
        <v>-32427217</v>
      </c>
      <c r="O87" s="111">
        <f t="shared" si="1"/>
        <v>27297933</v>
      </c>
      <c r="P87" s="111">
        <f t="shared" si="1"/>
        <v>44724621</v>
      </c>
      <c r="Q87" s="111">
        <f t="shared" si="1"/>
        <v>52013012</v>
      </c>
      <c r="R87" s="111">
        <f t="shared" si="1"/>
        <v>48710352</v>
      </c>
      <c r="S87" s="111">
        <f t="shared" si="1"/>
        <v>95102389</v>
      </c>
      <c r="T87" s="111">
        <f t="shared" si="1"/>
        <v>129205020</v>
      </c>
      <c r="U87" s="111">
        <f t="shared" si="1"/>
        <v>169722857</v>
      </c>
      <c r="V87" s="111">
        <f t="shared" si="1"/>
        <v>149630473</v>
      </c>
      <c r="W87" s="111">
        <f t="shared" si="1"/>
        <v>173646566</v>
      </c>
      <c r="X87" s="111">
        <f t="shared" si="1"/>
        <v>-24408205</v>
      </c>
      <c r="Y87" s="111">
        <f t="shared" si="1"/>
        <v>-245950182</v>
      </c>
      <c r="Z87" s="111">
        <f t="shared" si="1"/>
        <v>-108964279</v>
      </c>
      <c r="AA87" s="111">
        <f t="shared" si="1"/>
        <v>153445521</v>
      </c>
      <c r="AB87" s="111">
        <f t="shared" si="1"/>
        <v>131790905</v>
      </c>
      <c r="AC87" s="111">
        <f t="shared" si="1"/>
        <v>218158074</v>
      </c>
      <c r="AD87" s="111">
        <f t="shared" si="1"/>
        <v>368649664</v>
      </c>
      <c r="AE87" s="111">
        <f t="shared" si="1"/>
        <v>-246398022</v>
      </c>
      <c r="AF87" s="111">
        <f t="shared" si="1"/>
        <v>-900662708</v>
      </c>
      <c r="AG87" s="111">
        <f t="shared" si="1"/>
        <v>95301601</v>
      </c>
      <c r="AH87" s="111">
        <f t="shared" si="1"/>
        <v>282082280</v>
      </c>
      <c r="AI87" s="111">
        <f t="shared" si="1"/>
        <v>-139180831</v>
      </c>
      <c r="AJ87" s="111">
        <f t="shared" si="1"/>
        <v>187116365</v>
      </c>
      <c r="AK87" s="111">
        <f t="shared" si="1"/>
        <v>316256780</v>
      </c>
    </row>
    <row r="88" spans="1:37">
      <c r="B88" s="26"/>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row>
    <row r="89" spans="1:37">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row>
    <row r="90" spans="1:37">
      <c r="B90" s="33" t="s">
        <v>135</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row>
    <row r="91" spans="1:37">
      <c r="B91" s="30"/>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row>
    <row r="92" spans="1:37">
      <c r="B92" s="30" t="s">
        <v>142</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row>
    <row r="93" spans="1:37">
      <c r="B93" s="35" t="s">
        <v>143</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row>
    <row r="94" spans="1:37">
      <c r="B94" s="28" t="s">
        <v>154</v>
      </c>
      <c r="C94" s="113">
        <v>1825749</v>
      </c>
      <c r="D94" s="113">
        <v>2098012</v>
      </c>
      <c r="E94" s="113">
        <v>2296246</v>
      </c>
      <c r="F94" s="113">
        <v>2535352</v>
      </c>
      <c r="G94" s="113">
        <v>2745041</v>
      </c>
      <c r="H94" s="113">
        <v>3117639</v>
      </c>
      <c r="I94" s="113">
        <v>3454174</v>
      </c>
      <c r="J94" s="113">
        <v>3825118</v>
      </c>
      <c r="K94" s="113">
        <v>4108857</v>
      </c>
      <c r="L94" s="113">
        <v>4694727</v>
      </c>
      <c r="M94" s="113">
        <v>5173476</v>
      </c>
      <c r="N94" s="113">
        <v>5718240</v>
      </c>
      <c r="O94" s="113">
        <v>5909173</v>
      </c>
      <c r="P94" s="113">
        <v>6648199</v>
      </c>
      <c r="Q94" s="113">
        <v>7074108</v>
      </c>
      <c r="R94" s="113">
        <v>7663061</v>
      </c>
      <c r="S94" s="113">
        <v>8169769</v>
      </c>
      <c r="T94" s="113">
        <v>9055655</v>
      </c>
      <c r="U94" s="113">
        <v>9522480</v>
      </c>
      <c r="V94" s="113">
        <v>10216941</v>
      </c>
      <c r="W94" s="113">
        <v>11083342</v>
      </c>
      <c r="X94" s="113">
        <v>11883084</v>
      </c>
      <c r="Y94" s="113">
        <v>12330615</v>
      </c>
      <c r="Z94" s="113">
        <v>12758630</v>
      </c>
      <c r="AA94" s="113">
        <v>13444453</v>
      </c>
      <c r="AB94" s="113">
        <v>14391302</v>
      </c>
      <c r="AC94" s="113">
        <v>15446609</v>
      </c>
      <c r="AD94" s="113">
        <v>16584133</v>
      </c>
      <c r="AE94" s="113">
        <v>17786857</v>
      </c>
      <c r="AF94" s="113">
        <v>18074433</v>
      </c>
      <c r="AG94" s="113">
        <v>18066940</v>
      </c>
      <c r="AH94" s="113">
        <v>18878396</v>
      </c>
      <c r="AI94" s="113">
        <v>19783565</v>
      </c>
      <c r="AJ94" s="113">
        <v>20609468</v>
      </c>
      <c r="AK94" s="113">
        <v>21091319</v>
      </c>
    </row>
    <row r="95" spans="1:37">
      <c r="B95" s="28" t="s">
        <v>155</v>
      </c>
      <c r="C95" s="113">
        <v>2500979</v>
      </c>
      <c r="D95" s="113">
        <v>2743072</v>
      </c>
      <c r="E95" s="113">
        <v>2864028</v>
      </c>
      <c r="F95" s="113">
        <v>3013502</v>
      </c>
      <c r="G95" s="113">
        <v>3584454</v>
      </c>
      <c r="H95" s="113">
        <v>3743822</v>
      </c>
      <c r="I95" s="113">
        <v>4256947</v>
      </c>
      <c r="J95" s="113">
        <v>4913994</v>
      </c>
      <c r="K95" s="113">
        <v>5350812</v>
      </c>
      <c r="L95" s="113">
        <v>5752001</v>
      </c>
      <c r="M95" s="113">
        <v>6483626</v>
      </c>
      <c r="N95" s="113">
        <v>7233199</v>
      </c>
      <c r="O95" s="113">
        <v>8226538</v>
      </c>
      <c r="P95" s="113">
        <v>9290158</v>
      </c>
      <c r="Q95" s="113">
        <v>9414319</v>
      </c>
      <c r="R95" s="113">
        <v>8397419</v>
      </c>
      <c r="S95" s="113">
        <v>8793310</v>
      </c>
      <c r="T95" s="113">
        <v>10127909</v>
      </c>
      <c r="U95" s="113">
        <v>10458676</v>
      </c>
      <c r="V95" s="113">
        <v>12632131</v>
      </c>
      <c r="W95" s="113">
        <v>13159783</v>
      </c>
      <c r="X95" s="113">
        <v>15531944</v>
      </c>
      <c r="Y95" s="113">
        <v>16209242</v>
      </c>
      <c r="Z95" s="113">
        <v>17045966</v>
      </c>
      <c r="AA95" s="113">
        <v>18106573</v>
      </c>
      <c r="AB95" s="113">
        <v>17969840</v>
      </c>
      <c r="AC95" s="113">
        <v>17426394</v>
      </c>
      <c r="AD95" s="113">
        <v>20086017</v>
      </c>
      <c r="AE95" s="113">
        <v>21277449</v>
      </c>
      <c r="AF95" s="113">
        <v>22753471</v>
      </c>
      <c r="AG95" s="113">
        <v>24209029</v>
      </c>
      <c r="AH95" s="113">
        <v>22685020</v>
      </c>
      <c r="AI95" s="113">
        <v>20881694</v>
      </c>
      <c r="AJ95" s="113">
        <v>21458616</v>
      </c>
      <c r="AK95" s="113">
        <v>21653695</v>
      </c>
    </row>
    <row r="96" spans="1:37">
      <c r="B96" s="28" t="s">
        <v>156</v>
      </c>
      <c r="C96" s="113">
        <v>675230</v>
      </c>
      <c r="D96" s="113">
        <v>645060</v>
      </c>
      <c r="E96" s="113">
        <v>567782</v>
      </c>
      <c r="F96" s="113">
        <v>478150</v>
      </c>
      <c r="G96" s="113">
        <v>839413</v>
      </c>
      <c r="H96" s="113">
        <v>626183</v>
      </c>
      <c r="I96" s="113">
        <v>802773</v>
      </c>
      <c r="J96" s="113">
        <v>1088876</v>
      </c>
      <c r="K96" s="113">
        <v>1241955</v>
      </c>
      <c r="L96" s="113">
        <v>1057274</v>
      </c>
      <c r="M96" s="113">
        <v>1310150</v>
      </c>
      <c r="N96" s="113">
        <v>1514959</v>
      </c>
      <c r="O96" s="113">
        <v>2317365</v>
      </c>
      <c r="P96" s="113">
        <v>2641959</v>
      </c>
      <c r="Q96" s="113">
        <v>2340211</v>
      </c>
      <c r="R96" s="113">
        <v>734358</v>
      </c>
      <c r="S96" s="113">
        <v>623541</v>
      </c>
      <c r="T96" s="113">
        <v>1072254</v>
      </c>
      <c r="U96" s="113">
        <v>936196</v>
      </c>
      <c r="V96" s="113">
        <v>2415190</v>
      </c>
      <c r="W96" s="113">
        <v>2076441</v>
      </c>
      <c r="X96" s="113">
        <v>3648860</v>
      </c>
      <c r="Y96" s="113">
        <v>3878627</v>
      </c>
      <c r="Z96" s="113">
        <v>4287336</v>
      </c>
      <c r="AA96" s="113">
        <v>4662120</v>
      </c>
      <c r="AB96" s="113">
        <v>3578538</v>
      </c>
      <c r="AC96" s="113">
        <v>1979785</v>
      </c>
      <c r="AD96" s="113">
        <v>3501884</v>
      </c>
      <c r="AE96" s="113">
        <v>3490592</v>
      </c>
      <c r="AF96" s="113">
        <v>4679038</v>
      </c>
      <c r="AG96" s="113">
        <v>6142089</v>
      </c>
      <c r="AH96" s="113">
        <v>3806624</v>
      </c>
      <c r="AI96" s="113">
        <v>1098129</v>
      </c>
      <c r="AJ96" s="113">
        <v>849148</v>
      </c>
      <c r="AK96" s="113">
        <v>562376</v>
      </c>
    </row>
    <row r="97" spans="2:37">
      <c r="B97" s="35" t="s">
        <v>144</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row>
    <row r="98" spans="2:37">
      <c r="B98" s="28" t="s">
        <v>154</v>
      </c>
      <c r="C98" s="113">
        <v>1370292</v>
      </c>
      <c r="D98" s="113">
        <v>1494587</v>
      </c>
      <c r="E98" s="113">
        <v>1599751</v>
      </c>
      <c r="F98" s="113">
        <v>1733692</v>
      </c>
      <c r="G98" s="113">
        <v>1889952</v>
      </c>
      <c r="H98" s="113">
        <v>2097073</v>
      </c>
      <c r="I98" s="113">
        <v>2188560</v>
      </c>
      <c r="J98" s="113">
        <v>2366557</v>
      </c>
      <c r="K98" s="113">
        <v>2594536</v>
      </c>
      <c r="L98" s="113">
        <v>2797665</v>
      </c>
      <c r="M98" s="113">
        <v>3009720</v>
      </c>
      <c r="N98" s="113">
        <v>3332745</v>
      </c>
      <c r="O98" s="113">
        <v>3535736</v>
      </c>
      <c r="P98" s="113">
        <v>3610924</v>
      </c>
      <c r="Q98" s="113">
        <v>3797565</v>
      </c>
      <c r="R98" s="113">
        <v>4009898</v>
      </c>
      <c r="S98" s="113">
        <v>4164407</v>
      </c>
      <c r="T98" s="113">
        <v>4498287</v>
      </c>
      <c r="U98" s="113">
        <v>4708704</v>
      </c>
      <c r="V98" s="113">
        <v>5121914</v>
      </c>
      <c r="W98" s="113">
        <v>5493620</v>
      </c>
      <c r="X98" s="113">
        <v>5879001</v>
      </c>
      <c r="Y98" s="113">
        <v>5857697</v>
      </c>
      <c r="Z98" s="113">
        <v>5956915</v>
      </c>
      <c r="AA98" s="113">
        <v>6265033</v>
      </c>
      <c r="AB98" s="113">
        <v>7917380</v>
      </c>
      <c r="AC98" s="113">
        <v>14223045</v>
      </c>
      <c r="AD98" s="113">
        <v>8538770</v>
      </c>
      <c r="AE98" s="113">
        <v>9001092</v>
      </c>
      <c r="AF98" s="113">
        <v>9460216</v>
      </c>
      <c r="AG98" s="113">
        <v>9572334</v>
      </c>
      <c r="AH98" s="113">
        <v>10947976</v>
      </c>
      <c r="AI98" s="113">
        <v>11622588</v>
      </c>
      <c r="AJ98" s="113">
        <v>13116573</v>
      </c>
      <c r="AK98" s="113">
        <v>14128478</v>
      </c>
    </row>
    <row r="99" spans="2:37">
      <c r="B99" s="28" t="s">
        <v>155</v>
      </c>
      <c r="C99" s="113">
        <v>1067875</v>
      </c>
      <c r="D99" s="113">
        <v>1109598</v>
      </c>
      <c r="E99" s="113">
        <v>1105493</v>
      </c>
      <c r="F99" s="113">
        <v>1304961</v>
      </c>
      <c r="G99" s="113">
        <v>1378816</v>
      </c>
      <c r="H99" s="113">
        <v>1481497</v>
      </c>
      <c r="I99" s="113">
        <v>1829380</v>
      </c>
      <c r="J99" s="113">
        <v>2051628</v>
      </c>
      <c r="K99" s="113">
        <v>2499869</v>
      </c>
      <c r="L99" s="113">
        <v>2571864</v>
      </c>
      <c r="M99" s="113">
        <v>2660020</v>
      </c>
      <c r="N99" s="113">
        <v>3046007</v>
      </c>
      <c r="O99" s="113">
        <v>3380020</v>
      </c>
      <c r="P99" s="113">
        <v>3432879</v>
      </c>
      <c r="Q99" s="113">
        <v>3637625</v>
      </c>
      <c r="R99" s="113">
        <v>3672606</v>
      </c>
      <c r="S99" s="113">
        <v>3801536</v>
      </c>
      <c r="T99" s="113">
        <v>4105294</v>
      </c>
      <c r="U99" s="113">
        <v>3924056</v>
      </c>
      <c r="V99" s="113">
        <v>4940087</v>
      </c>
      <c r="W99" s="113">
        <v>5798485</v>
      </c>
      <c r="X99" s="113">
        <v>6510749</v>
      </c>
      <c r="Y99" s="113">
        <v>7330184</v>
      </c>
      <c r="Z99" s="113">
        <v>8119764</v>
      </c>
      <c r="AA99" s="113">
        <v>7491093</v>
      </c>
      <c r="AB99" s="113">
        <v>7860547</v>
      </c>
      <c r="AC99" s="113">
        <v>8621500</v>
      </c>
      <c r="AD99" s="113">
        <v>9658355</v>
      </c>
      <c r="AE99" s="113">
        <v>13846510</v>
      </c>
      <c r="AF99" s="113">
        <v>10907152</v>
      </c>
      <c r="AG99" s="113">
        <v>11134004</v>
      </c>
      <c r="AH99" s="113">
        <v>10677070</v>
      </c>
      <c r="AI99" s="113">
        <v>12383570</v>
      </c>
      <c r="AJ99" s="113">
        <v>12045539</v>
      </c>
      <c r="AK99" s="113">
        <v>13040310</v>
      </c>
    </row>
    <row r="100" spans="2:37">
      <c r="B100" s="28" t="s">
        <v>156</v>
      </c>
      <c r="C100" s="113">
        <v>-302417</v>
      </c>
      <c r="D100" s="113">
        <v>-384989</v>
      </c>
      <c r="E100" s="113">
        <v>-494258</v>
      </c>
      <c r="F100" s="113">
        <v>-428731</v>
      </c>
      <c r="G100" s="113">
        <v>-511136</v>
      </c>
      <c r="H100" s="113">
        <v>-615576</v>
      </c>
      <c r="I100" s="113">
        <v>-359180</v>
      </c>
      <c r="J100" s="113">
        <v>-314929</v>
      </c>
      <c r="K100" s="113">
        <v>-94667</v>
      </c>
      <c r="L100" s="113">
        <v>-225801</v>
      </c>
      <c r="M100" s="113">
        <v>-349700</v>
      </c>
      <c r="N100" s="113">
        <v>-286738</v>
      </c>
      <c r="O100" s="113">
        <v>-155716</v>
      </c>
      <c r="P100" s="113">
        <v>-178045</v>
      </c>
      <c r="Q100" s="113">
        <v>-159940</v>
      </c>
      <c r="R100" s="113">
        <v>-337292</v>
      </c>
      <c r="S100" s="113">
        <v>-362871</v>
      </c>
      <c r="T100" s="113">
        <v>-392993</v>
      </c>
      <c r="U100" s="113">
        <v>-784648</v>
      </c>
      <c r="V100" s="113">
        <v>-181827</v>
      </c>
      <c r="W100" s="113">
        <v>304865</v>
      </c>
      <c r="X100" s="113">
        <v>631748</v>
      </c>
      <c r="Y100" s="113">
        <v>1472487</v>
      </c>
      <c r="Z100" s="113">
        <v>2162849</v>
      </c>
      <c r="AA100" s="113">
        <v>1226060</v>
      </c>
      <c r="AB100" s="113">
        <v>-56833</v>
      </c>
      <c r="AC100" s="113">
        <v>-5601545</v>
      </c>
      <c r="AD100" s="113">
        <v>1119585</v>
      </c>
      <c r="AE100" s="113">
        <v>4845418</v>
      </c>
      <c r="AF100" s="113">
        <v>1446936</v>
      </c>
      <c r="AG100" s="113">
        <v>1561670</v>
      </c>
      <c r="AH100" s="113">
        <v>-270906</v>
      </c>
      <c r="AI100" s="113">
        <v>760982</v>
      </c>
      <c r="AJ100" s="113">
        <v>-1071034</v>
      </c>
      <c r="AK100" s="113">
        <v>-1088168</v>
      </c>
    </row>
    <row r="101" spans="2:37">
      <c r="B101" s="35" t="s">
        <v>145</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row>
    <row r="102" spans="2:37">
      <c r="B102" s="28" t="s">
        <v>154</v>
      </c>
      <c r="C102" s="113">
        <v>335156</v>
      </c>
      <c r="D102" s="113">
        <v>368863</v>
      </c>
      <c r="E102" s="113">
        <v>394381</v>
      </c>
      <c r="F102" s="113">
        <v>453319</v>
      </c>
      <c r="G102" s="113">
        <v>525924</v>
      </c>
      <c r="H102" s="113">
        <v>573945</v>
      </c>
      <c r="I102" s="113">
        <v>631872</v>
      </c>
      <c r="J102" s="113">
        <v>684362</v>
      </c>
      <c r="K102" s="113">
        <v>736854</v>
      </c>
      <c r="L102" s="113">
        <v>795606</v>
      </c>
      <c r="M102" s="113">
        <v>854430</v>
      </c>
      <c r="N102" s="113">
        <v>923935</v>
      </c>
      <c r="O102" s="113">
        <v>982742</v>
      </c>
      <c r="P102" s="113">
        <v>1002090</v>
      </c>
      <c r="Q102" s="113">
        <v>1077614</v>
      </c>
      <c r="R102" s="113">
        <v>1092766</v>
      </c>
      <c r="S102" s="113">
        <v>1106646</v>
      </c>
      <c r="T102" s="113">
        <v>1195042</v>
      </c>
      <c r="U102" s="113">
        <v>1269139</v>
      </c>
      <c r="V102" s="113">
        <v>1355459</v>
      </c>
      <c r="W102" s="113">
        <v>1373750</v>
      </c>
      <c r="X102" s="113">
        <v>1416209</v>
      </c>
      <c r="Y102" s="113">
        <v>1402243</v>
      </c>
      <c r="Z102" s="113">
        <v>1448631</v>
      </c>
      <c r="AA102" s="113">
        <v>1539919</v>
      </c>
      <c r="AB102" s="113">
        <v>1622321</v>
      </c>
      <c r="AC102" s="113">
        <v>1674224</v>
      </c>
      <c r="AD102" s="113">
        <v>2387790</v>
      </c>
      <c r="AE102" s="113">
        <v>1936705</v>
      </c>
      <c r="AF102" s="113">
        <v>2040377</v>
      </c>
      <c r="AG102" s="113">
        <v>3226373</v>
      </c>
      <c r="AH102" s="113">
        <v>2178147</v>
      </c>
      <c r="AI102" s="113">
        <v>2573108</v>
      </c>
      <c r="AJ102" s="113">
        <v>2729511</v>
      </c>
      <c r="AK102" s="113">
        <v>2884738</v>
      </c>
    </row>
    <row r="103" spans="2:37">
      <c r="B103" s="28" t="s">
        <v>155</v>
      </c>
      <c r="C103" s="113">
        <v>343053</v>
      </c>
      <c r="D103" s="113">
        <v>377345</v>
      </c>
      <c r="E103" s="113">
        <v>406483</v>
      </c>
      <c r="F103" s="113">
        <v>454483</v>
      </c>
      <c r="G103" s="113">
        <v>483985</v>
      </c>
      <c r="H103" s="113">
        <v>591729</v>
      </c>
      <c r="I103" s="113">
        <v>682460</v>
      </c>
      <c r="J103" s="113">
        <v>760559</v>
      </c>
      <c r="K103" s="113">
        <v>784884</v>
      </c>
      <c r="L103" s="113">
        <v>754578</v>
      </c>
      <c r="M103" s="113">
        <v>749235</v>
      </c>
      <c r="N103" s="113">
        <v>813557</v>
      </c>
      <c r="O103" s="113">
        <v>874455</v>
      </c>
      <c r="P103" s="113">
        <v>697892</v>
      </c>
      <c r="Q103" s="113">
        <v>729078</v>
      </c>
      <c r="R103" s="113">
        <v>800118</v>
      </c>
      <c r="S103" s="113">
        <v>874174</v>
      </c>
      <c r="T103" s="113">
        <v>811501</v>
      </c>
      <c r="U103" s="113">
        <v>882450</v>
      </c>
      <c r="V103" s="113">
        <v>1013960</v>
      </c>
      <c r="W103" s="113">
        <v>905674</v>
      </c>
      <c r="X103" s="113">
        <v>1027857</v>
      </c>
      <c r="Y103" s="113">
        <v>1122971</v>
      </c>
      <c r="Z103" s="113">
        <v>974585</v>
      </c>
      <c r="AA103" s="113">
        <v>1334990</v>
      </c>
      <c r="AB103" s="113">
        <v>1409552</v>
      </c>
      <c r="AC103" s="113">
        <v>1045455</v>
      </c>
      <c r="AD103" s="113">
        <v>1797820</v>
      </c>
      <c r="AE103" s="113">
        <v>1585535</v>
      </c>
      <c r="AF103" s="113">
        <v>1724105</v>
      </c>
      <c r="AG103" s="113">
        <v>1688325</v>
      </c>
      <c r="AH103" s="113">
        <v>1634964</v>
      </c>
      <c r="AI103" s="113">
        <v>1892481</v>
      </c>
      <c r="AJ103" s="113">
        <v>1904399</v>
      </c>
      <c r="AK103" s="113">
        <v>1839997</v>
      </c>
    </row>
    <row r="104" spans="2:37">
      <c r="B104" s="28" t="s">
        <v>156</v>
      </c>
      <c r="C104" s="113">
        <v>7897</v>
      </c>
      <c r="D104" s="113">
        <v>8482</v>
      </c>
      <c r="E104" s="113">
        <v>12102</v>
      </c>
      <c r="F104" s="113">
        <v>1164</v>
      </c>
      <c r="G104" s="113">
        <v>-41939</v>
      </c>
      <c r="H104" s="113">
        <v>17784</v>
      </c>
      <c r="I104" s="113">
        <v>50588</v>
      </c>
      <c r="J104" s="113">
        <v>76197</v>
      </c>
      <c r="K104" s="113">
        <v>48030</v>
      </c>
      <c r="L104" s="113">
        <v>-41028</v>
      </c>
      <c r="M104" s="113">
        <v>-105195</v>
      </c>
      <c r="N104" s="113">
        <v>-110378</v>
      </c>
      <c r="O104" s="113">
        <v>-108287</v>
      </c>
      <c r="P104" s="113">
        <v>-304198</v>
      </c>
      <c r="Q104" s="113">
        <v>-348536</v>
      </c>
      <c r="R104" s="113">
        <v>-292648</v>
      </c>
      <c r="S104" s="113">
        <v>-232472</v>
      </c>
      <c r="T104" s="113">
        <v>-383541</v>
      </c>
      <c r="U104" s="113">
        <v>-386689</v>
      </c>
      <c r="V104" s="113">
        <v>-341499</v>
      </c>
      <c r="W104" s="113">
        <v>-468076</v>
      </c>
      <c r="X104" s="113">
        <v>-388352</v>
      </c>
      <c r="Y104" s="113">
        <v>-279272</v>
      </c>
      <c r="Z104" s="113">
        <v>-474046</v>
      </c>
      <c r="AA104" s="113">
        <v>-204929</v>
      </c>
      <c r="AB104" s="113">
        <v>-212769</v>
      </c>
      <c r="AC104" s="113">
        <v>-628769</v>
      </c>
      <c r="AD104" s="113">
        <v>-589970</v>
      </c>
      <c r="AE104" s="113">
        <v>-351170</v>
      </c>
      <c r="AF104" s="113">
        <v>-316272</v>
      </c>
      <c r="AG104" s="113">
        <v>-1538048</v>
      </c>
      <c r="AH104" s="113">
        <v>-543183</v>
      </c>
      <c r="AI104" s="113">
        <v>-680627</v>
      </c>
      <c r="AJ104" s="113">
        <v>-825112</v>
      </c>
      <c r="AK104" s="113">
        <v>-1044741</v>
      </c>
    </row>
    <row r="105" spans="2:37">
      <c r="B105" s="35" t="s">
        <v>147</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row>
    <row r="106" spans="2:37">
      <c r="B106" s="28" t="s">
        <v>154</v>
      </c>
      <c r="C106" s="113">
        <v>2397177</v>
      </c>
      <c r="D106" s="113">
        <v>2965041</v>
      </c>
      <c r="E106" s="113">
        <v>3526384</v>
      </c>
      <c r="F106" s="113">
        <v>3545105</v>
      </c>
      <c r="G106" s="113">
        <v>3791715</v>
      </c>
      <c r="H106" s="113">
        <v>4216453</v>
      </c>
      <c r="I106" s="113">
        <v>4452984</v>
      </c>
      <c r="J106" s="113">
        <v>4763315</v>
      </c>
      <c r="K106" s="113">
        <v>4766397</v>
      </c>
      <c r="L106" s="113">
        <v>5025880</v>
      </c>
      <c r="M106" s="113">
        <v>5216117</v>
      </c>
      <c r="N106" s="113">
        <v>5628839</v>
      </c>
      <c r="O106" s="113">
        <v>5665945</v>
      </c>
      <c r="P106" s="113">
        <v>5835235</v>
      </c>
      <c r="Q106" s="113">
        <v>6256343</v>
      </c>
      <c r="R106" s="113">
        <v>6539571</v>
      </c>
      <c r="S106" s="113">
        <v>6889245</v>
      </c>
      <c r="T106" s="113">
        <v>7421497</v>
      </c>
      <c r="U106" s="113">
        <v>7545778</v>
      </c>
      <c r="V106" s="113">
        <v>7707741</v>
      </c>
      <c r="W106" s="113">
        <v>8048617</v>
      </c>
      <c r="X106" s="113">
        <v>8763502</v>
      </c>
      <c r="Y106" s="113">
        <v>8950133</v>
      </c>
      <c r="Z106" s="113">
        <v>8984711</v>
      </c>
      <c r="AA106" s="113">
        <v>9784837</v>
      </c>
      <c r="AB106" s="113">
        <v>10146019</v>
      </c>
      <c r="AC106" s="113">
        <v>10876566</v>
      </c>
      <c r="AD106" s="113">
        <v>11571235</v>
      </c>
      <c r="AE106" s="113">
        <v>12151238</v>
      </c>
      <c r="AF106" s="113">
        <v>13029261</v>
      </c>
      <c r="AG106" s="113">
        <v>13003045</v>
      </c>
      <c r="AH106" s="113">
        <v>13736809</v>
      </c>
      <c r="AI106" s="113">
        <v>14528272</v>
      </c>
      <c r="AJ106" s="113">
        <v>14986016</v>
      </c>
      <c r="AK106" s="113">
        <v>15797878</v>
      </c>
    </row>
    <row r="107" spans="2:37">
      <c r="B107" s="28" t="s">
        <v>155</v>
      </c>
      <c r="C107" s="113">
        <v>7645897</v>
      </c>
      <c r="D107" s="113">
        <v>9553943</v>
      </c>
      <c r="E107" s="113">
        <v>11169231</v>
      </c>
      <c r="F107" s="113">
        <v>12324757</v>
      </c>
      <c r="G107" s="113">
        <v>13065149</v>
      </c>
      <c r="H107" s="113">
        <v>13592014</v>
      </c>
      <c r="I107" s="113">
        <v>14420531</v>
      </c>
      <c r="J107" s="113">
        <v>15401971</v>
      </c>
      <c r="K107" s="113">
        <v>16008899</v>
      </c>
      <c r="L107" s="113">
        <v>16790033</v>
      </c>
      <c r="M107" s="113">
        <v>18393306</v>
      </c>
      <c r="N107" s="113">
        <v>19848915</v>
      </c>
      <c r="O107" s="113">
        <v>21262131</v>
      </c>
      <c r="P107" s="113">
        <v>20768931</v>
      </c>
      <c r="Q107" s="113">
        <v>23698901</v>
      </c>
      <c r="R107" s="113">
        <v>25201766</v>
      </c>
      <c r="S107" s="113">
        <v>25323736</v>
      </c>
      <c r="T107" s="113">
        <v>25812684</v>
      </c>
      <c r="U107" s="113">
        <v>26864908</v>
      </c>
      <c r="V107" s="113">
        <v>27784263</v>
      </c>
      <c r="W107" s="113">
        <v>30966391</v>
      </c>
      <c r="X107" s="113">
        <v>32155514</v>
      </c>
      <c r="Y107" s="113">
        <v>36524075</v>
      </c>
      <c r="Z107" s="113">
        <v>40555173</v>
      </c>
      <c r="AA107" s="113">
        <v>43052408</v>
      </c>
      <c r="AB107" s="113">
        <v>42735995</v>
      </c>
      <c r="AC107" s="113">
        <v>44602870</v>
      </c>
      <c r="AD107" s="113">
        <v>46432534</v>
      </c>
      <c r="AE107" s="113">
        <v>50066205</v>
      </c>
      <c r="AF107" s="113">
        <v>56743987</v>
      </c>
      <c r="AG107" s="113">
        <v>58002127</v>
      </c>
      <c r="AH107" s="113">
        <v>58370701</v>
      </c>
      <c r="AI107" s="113">
        <v>60563396</v>
      </c>
      <c r="AJ107" s="113">
        <v>62639426</v>
      </c>
      <c r="AK107" s="113">
        <v>66926507</v>
      </c>
    </row>
    <row r="108" spans="2:37">
      <c r="B108" s="28" t="s">
        <v>156</v>
      </c>
      <c r="C108" s="113">
        <v>5248720</v>
      </c>
      <c r="D108" s="113">
        <v>6588902</v>
      </c>
      <c r="E108" s="113">
        <v>7642847</v>
      </c>
      <c r="F108" s="113">
        <v>8779652</v>
      </c>
      <c r="G108" s="113">
        <v>9273434</v>
      </c>
      <c r="H108" s="113">
        <v>9375561</v>
      </c>
      <c r="I108" s="113">
        <v>9967547</v>
      </c>
      <c r="J108" s="113">
        <v>10638656</v>
      </c>
      <c r="K108" s="113">
        <v>11242502</v>
      </c>
      <c r="L108" s="113">
        <v>11764153</v>
      </c>
      <c r="M108" s="113">
        <v>13177189</v>
      </c>
      <c r="N108" s="113">
        <v>14220076</v>
      </c>
      <c r="O108" s="113">
        <v>15596186</v>
      </c>
      <c r="P108" s="113">
        <v>14933696</v>
      </c>
      <c r="Q108" s="113">
        <v>17442558</v>
      </c>
      <c r="R108" s="113">
        <v>18662195</v>
      </c>
      <c r="S108" s="113">
        <v>18434491</v>
      </c>
      <c r="T108" s="113">
        <v>18391187</v>
      </c>
      <c r="U108" s="113">
        <v>19319130</v>
      </c>
      <c r="V108" s="113">
        <v>20076522</v>
      </c>
      <c r="W108" s="113">
        <v>22917774</v>
      </c>
      <c r="X108" s="113">
        <v>23392012</v>
      </c>
      <c r="Y108" s="113">
        <v>27573942</v>
      </c>
      <c r="Z108" s="113">
        <v>31570462</v>
      </c>
      <c r="AA108" s="113">
        <v>33267571</v>
      </c>
      <c r="AB108" s="113">
        <v>32589976</v>
      </c>
      <c r="AC108" s="113">
        <v>33726304</v>
      </c>
      <c r="AD108" s="113">
        <v>34861299</v>
      </c>
      <c r="AE108" s="113">
        <v>37914967</v>
      </c>
      <c r="AF108" s="113">
        <v>43714726</v>
      </c>
      <c r="AG108" s="113">
        <v>44999082</v>
      </c>
      <c r="AH108" s="113">
        <v>44633892</v>
      </c>
      <c r="AI108" s="113">
        <v>46035124</v>
      </c>
      <c r="AJ108" s="113">
        <v>47653410</v>
      </c>
      <c r="AK108" s="113">
        <v>51128629</v>
      </c>
    </row>
    <row r="109" spans="2:37">
      <c r="B109" s="35" t="s">
        <v>148</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row>
    <row r="110" spans="2:37">
      <c r="B110" s="28" t="s">
        <v>154</v>
      </c>
      <c r="C110" s="113">
        <v>820883</v>
      </c>
      <c r="D110" s="113">
        <v>903850</v>
      </c>
      <c r="E110" s="113">
        <v>965532</v>
      </c>
      <c r="F110" s="113">
        <v>986410</v>
      </c>
      <c r="G110" s="113">
        <v>1072896</v>
      </c>
      <c r="H110" s="113">
        <v>1141679</v>
      </c>
      <c r="I110" s="113">
        <v>1229927</v>
      </c>
      <c r="J110" s="113">
        <v>1312318</v>
      </c>
      <c r="K110" s="113">
        <v>1413845</v>
      </c>
      <c r="L110" s="113">
        <v>1415686</v>
      </c>
      <c r="M110" s="113">
        <v>1487613</v>
      </c>
      <c r="N110" s="113">
        <v>1534803</v>
      </c>
      <c r="O110" s="113">
        <v>1630605</v>
      </c>
      <c r="P110" s="113">
        <v>1738683</v>
      </c>
      <c r="Q110" s="113">
        <v>1785191</v>
      </c>
      <c r="R110" s="113">
        <v>1923232</v>
      </c>
      <c r="S110" s="113">
        <v>2131166</v>
      </c>
      <c r="T110" s="113">
        <v>2099257</v>
      </c>
      <c r="U110" s="113">
        <v>2239313</v>
      </c>
      <c r="V110" s="113">
        <v>2355006</v>
      </c>
      <c r="W110" s="113">
        <v>2506691</v>
      </c>
      <c r="X110" s="113">
        <v>2707305</v>
      </c>
      <c r="Y110" s="113">
        <v>2685135</v>
      </c>
      <c r="Z110" s="113">
        <v>2930095</v>
      </c>
      <c r="AA110" s="113">
        <v>3106806</v>
      </c>
      <c r="AB110" s="113">
        <v>3393968</v>
      </c>
      <c r="AC110" s="113">
        <v>3698023</v>
      </c>
      <c r="AD110" s="113">
        <v>3864136</v>
      </c>
      <c r="AE110" s="113">
        <v>4133206</v>
      </c>
      <c r="AF110" s="113">
        <v>4018750</v>
      </c>
      <c r="AG110" s="113">
        <v>3880871</v>
      </c>
      <c r="AH110" s="113">
        <v>4160159</v>
      </c>
      <c r="AI110" s="113">
        <v>4407269</v>
      </c>
      <c r="AJ110" s="113">
        <v>4507905</v>
      </c>
      <c r="AK110" s="113">
        <v>4738955</v>
      </c>
    </row>
    <row r="111" spans="2:37">
      <c r="B111" s="28" t="s">
        <v>155</v>
      </c>
      <c r="C111" s="113">
        <v>1168418</v>
      </c>
      <c r="D111" s="113">
        <v>1508252</v>
      </c>
      <c r="E111" s="113">
        <v>1373013</v>
      </c>
      <c r="F111" s="113">
        <v>1457991</v>
      </c>
      <c r="G111" s="113">
        <v>1329338</v>
      </c>
      <c r="H111" s="113">
        <v>1493160</v>
      </c>
      <c r="I111" s="113">
        <v>1725447</v>
      </c>
      <c r="J111" s="113">
        <v>1751110</v>
      </c>
      <c r="K111" s="113">
        <v>1841771</v>
      </c>
      <c r="L111" s="113">
        <v>1922867</v>
      </c>
      <c r="M111" s="113">
        <v>1968378</v>
      </c>
      <c r="N111" s="113">
        <v>2048664</v>
      </c>
      <c r="O111" s="113">
        <v>1898435</v>
      </c>
      <c r="P111" s="113">
        <v>2168233</v>
      </c>
      <c r="Q111" s="113">
        <v>2628350</v>
      </c>
      <c r="R111" s="113">
        <v>2309348</v>
      </c>
      <c r="S111" s="113">
        <v>2577557</v>
      </c>
      <c r="T111" s="113">
        <v>2809308</v>
      </c>
      <c r="U111" s="113">
        <v>2784798</v>
      </c>
      <c r="V111" s="113">
        <v>3070378</v>
      </c>
      <c r="W111" s="113">
        <v>3140533</v>
      </c>
      <c r="X111" s="113">
        <v>5994663</v>
      </c>
      <c r="Y111" s="113">
        <v>3571052</v>
      </c>
      <c r="Z111" s="113">
        <v>2564416</v>
      </c>
      <c r="AA111" s="113">
        <v>4046647</v>
      </c>
      <c r="AB111" s="113">
        <v>3896269</v>
      </c>
      <c r="AC111" s="113">
        <v>4276448</v>
      </c>
      <c r="AD111" s="113">
        <v>4758338</v>
      </c>
      <c r="AE111" s="113">
        <v>4913837</v>
      </c>
      <c r="AF111" s="113">
        <v>5350489</v>
      </c>
      <c r="AG111" s="113">
        <v>5263324</v>
      </c>
      <c r="AH111" s="113">
        <v>5066902</v>
      </c>
      <c r="AI111" s="113">
        <v>5278872</v>
      </c>
      <c r="AJ111" s="113">
        <v>5316956</v>
      </c>
      <c r="AK111" s="113">
        <v>6010083</v>
      </c>
    </row>
    <row r="112" spans="2:37">
      <c r="B112" s="28" t="s">
        <v>156</v>
      </c>
      <c r="C112" s="113">
        <v>347535</v>
      </c>
      <c r="D112" s="113">
        <v>604402</v>
      </c>
      <c r="E112" s="113">
        <v>407481</v>
      </c>
      <c r="F112" s="113">
        <v>471581</v>
      </c>
      <c r="G112" s="113">
        <v>256442</v>
      </c>
      <c r="H112" s="113">
        <v>351481</v>
      </c>
      <c r="I112" s="113">
        <v>495520</v>
      </c>
      <c r="J112" s="113">
        <v>438792</v>
      </c>
      <c r="K112" s="113">
        <v>427926</v>
      </c>
      <c r="L112" s="113">
        <v>507181</v>
      </c>
      <c r="M112" s="113">
        <v>480765</v>
      </c>
      <c r="N112" s="113">
        <v>513861</v>
      </c>
      <c r="O112" s="113">
        <v>267830</v>
      </c>
      <c r="P112" s="113">
        <v>429550</v>
      </c>
      <c r="Q112" s="113">
        <v>843159</v>
      </c>
      <c r="R112" s="113">
        <v>386116</v>
      </c>
      <c r="S112" s="113">
        <v>446391</v>
      </c>
      <c r="T112" s="113">
        <v>710051</v>
      </c>
      <c r="U112" s="113">
        <v>545485</v>
      </c>
      <c r="V112" s="113">
        <v>715372</v>
      </c>
      <c r="W112" s="113">
        <v>633842</v>
      </c>
      <c r="X112" s="113">
        <v>3287358</v>
      </c>
      <c r="Y112" s="113">
        <v>885917</v>
      </c>
      <c r="Z112" s="113">
        <v>-365679</v>
      </c>
      <c r="AA112" s="113">
        <v>939841</v>
      </c>
      <c r="AB112" s="113">
        <v>502301</v>
      </c>
      <c r="AC112" s="113">
        <v>578425</v>
      </c>
      <c r="AD112" s="113">
        <v>894202</v>
      </c>
      <c r="AE112" s="113">
        <v>780631</v>
      </c>
      <c r="AF112" s="113">
        <v>1331739</v>
      </c>
      <c r="AG112" s="113">
        <v>1382453</v>
      </c>
      <c r="AH112" s="113">
        <v>906743</v>
      </c>
      <c r="AI112" s="113">
        <v>871603</v>
      </c>
      <c r="AJ112" s="113">
        <v>809051</v>
      </c>
      <c r="AK112" s="113">
        <v>1271128</v>
      </c>
    </row>
    <row r="113" spans="2:37">
      <c r="B113" s="35" t="s">
        <v>149</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row>
    <row r="114" spans="2:37">
      <c r="B114" s="28" t="s">
        <v>154</v>
      </c>
      <c r="C114" s="113">
        <v>3200586</v>
      </c>
      <c r="D114" s="113">
        <v>3278491</v>
      </c>
      <c r="E114" s="113">
        <v>3342945</v>
      </c>
      <c r="F114" s="113">
        <v>3311096</v>
      </c>
      <c r="G114" s="113">
        <v>3239685</v>
      </c>
      <c r="H114" s="113">
        <v>3235492</v>
      </c>
      <c r="I114" s="113">
        <v>3312571</v>
      </c>
      <c r="J114" s="113">
        <v>3358367</v>
      </c>
      <c r="K114" s="113">
        <v>3290163</v>
      </c>
      <c r="L114" s="113">
        <v>3315189</v>
      </c>
      <c r="M114" s="113">
        <v>3440572</v>
      </c>
      <c r="N114" s="113">
        <v>3571165</v>
      </c>
      <c r="O114" s="113">
        <v>3631806</v>
      </c>
      <c r="P114" s="113">
        <v>3641321</v>
      </c>
      <c r="Q114" s="113">
        <v>3606516</v>
      </c>
      <c r="R114" s="113">
        <v>3637179</v>
      </c>
      <c r="S114" s="113">
        <v>3732273</v>
      </c>
      <c r="T114" s="113">
        <v>3894801</v>
      </c>
      <c r="U114" s="113">
        <v>4107326</v>
      </c>
      <c r="V114" s="113">
        <v>4244671</v>
      </c>
      <c r="W114" s="113">
        <v>4591830</v>
      </c>
      <c r="X114" s="113">
        <v>4854250</v>
      </c>
      <c r="Y114" s="113">
        <v>5065107</v>
      </c>
      <c r="Z114" s="113">
        <v>5338191</v>
      </c>
      <c r="AA114" s="113">
        <v>5772609</v>
      </c>
      <c r="AB114" s="113">
        <v>5990305</v>
      </c>
      <c r="AC114" s="113">
        <v>6422563</v>
      </c>
      <c r="AD114" s="113">
        <v>6823097</v>
      </c>
      <c r="AE114" s="113">
        <v>7242295</v>
      </c>
      <c r="AF114" s="113">
        <v>7585294</v>
      </c>
      <c r="AG114" s="113">
        <v>7716382</v>
      </c>
      <c r="AH114" s="113">
        <v>7932837</v>
      </c>
      <c r="AI114" s="113">
        <v>8349602</v>
      </c>
      <c r="AJ114" s="113">
        <v>8141076</v>
      </c>
      <c r="AK114" s="113">
        <v>8502864</v>
      </c>
    </row>
    <row r="115" spans="2:37">
      <c r="B115" s="28" t="s">
        <v>155</v>
      </c>
      <c r="C115" s="113">
        <v>2591439</v>
      </c>
      <c r="D115" s="113">
        <v>2726226</v>
      </c>
      <c r="E115" s="113">
        <v>2841713</v>
      </c>
      <c r="F115" s="113">
        <v>2816400</v>
      </c>
      <c r="G115" s="113">
        <v>2740883</v>
      </c>
      <c r="H115" s="113">
        <v>2822956</v>
      </c>
      <c r="I115" s="113">
        <v>2866590</v>
      </c>
      <c r="J115" s="113">
        <v>2935701</v>
      </c>
      <c r="K115" s="113">
        <v>2837265</v>
      </c>
      <c r="L115" s="113">
        <v>2871520</v>
      </c>
      <c r="M115" s="113">
        <v>2925813</v>
      </c>
      <c r="N115" s="113">
        <v>3004703</v>
      </c>
      <c r="O115" s="113">
        <v>3089976</v>
      </c>
      <c r="P115" s="113">
        <v>3061545</v>
      </c>
      <c r="Q115" s="113">
        <v>2984596</v>
      </c>
      <c r="R115" s="113">
        <v>3020203</v>
      </c>
      <c r="S115" s="113">
        <v>3098753</v>
      </c>
      <c r="T115" s="113">
        <v>3235667</v>
      </c>
      <c r="U115" s="113">
        <v>3346004</v>
      </c>
      <c r="V115" s="113">
        <v>3546529</v>
      </c>
      <c r="W115" s="113">
        <v>3800848</v>
      </c>
      <c r="X115" s="113">
        <v>3968078</v>
      </c>
      <c r="Y115" s="113">
        <v>4182822</v>
      </c>
      <c r="Z115" s="113">
        <v>4401936</v>
      </c>
      <c r="AA115" s="113">
        <v>4672904</v>
      </c>
      <c r="AB115" s="113">
        <v>4885238</v>
      </c>
      <c r="AC115" s="113">
        <v>5209397</v>
      </c>
      <c r="AD115" s="113">
        <v>5602669</v>
      </c>
      <c r="AE115" s="113">
        <v>5930618</v>
      </c>
      <c r="AF115" s="113">
        <v>6286368</v>
      </c>
      <c r="AG115" s="113">
        <v>6358744</v>
      </c>
      <c r="AH115" s="113">
        <v>6556628</v>
      </c>
      <c r="AI115" s="113">
        <v>6698798</v>
      </c>
      <c r="AJ115" s="113">
        <v>6298214</v>
      </c>
      <c r="AK115" s="113">
        <v>6883862</v>
      </c>
    </row>
    <row r="116" spans="2:37">
      <c r="B116" s="28" t="s">
        <v>156</v>
      </c>
      <c r="C116" s="113">
        <v>-609147</v>
      </c>
      <c r="D116" s="113">
        <v>-552265</v>
      </c>
      <c r="E116" s="113">
        <v>-501232</v>
      </c>
      <c r="F116" s="113">
        <v>-494696</v>
      </c>
      <c r="G116" s="113">
        <v>-498802</v>
      </c>
      <c r="H116" s="113">
        <v>-412536</v>
      </c>
      <c r="I116" s="113">
        <v>-445981</v>
      </c>
      <c r="J116" s="113">
        <v>-422666</v>
      </c>
      <c r="K116" s="113">
        <v>-452898</v>
      </c>
      <c r="L116" s="113">
        <v>-443669</v>
      </c>
      <c r="M116" s="113">
        <v>-514759</v>
      </c>
      <c r="N116" s="113">
        <v>-566462</v>
      </c>
      <c r="O116" s="113">
        <v>-541830</v>
      </c>
      <c r="P116" s="113">
        <v>-579776</v>
      </c>
      <c r="Q116" s="113">
        <v>-621920</v>
      </c>
      <c r="R116" s="113">
        <v>-616976</v>
      </c>
      <c r="S116" s="113">
        <v>-633520</v>
      </c>
      <c r="T116" s="113">
        <v>-659134</v>
      </c>
      <c r="U116" s="113">
        <v>-761322</v>
      </c>
      <c r="V116" s="113">
        <v>-698142</v>
      </c>
      <c r="W116" s="113">
        <v>-790982</v>
      </c>
      <c r="X116" s="113">
        <v>-886172</v>
      </c>
      <c r="Y116" s="113">
        <v>-882285</v>
      </c>
      <c r="Z116" s="113">
        <v>-936255</v>
      </c>
      <c r="AA116" s="113">
        <v>-1099705</v>
      </c>
      <c r="AB116" s="113">
        <v>-1105067</v>
      </c>
      <c r="AC116" s="113">
        <v>-1213166</v>
      </c>
      <c r="AD116" s="113">
        <v>-1220428</v>
      </c>
      <c r="AE116" s="113">
        <v>-1311677</v>
      </c>
      <c r="AF116" s="113">
        <v>-1298926</v>
      </c>
      <c r="AG116" s="113">
        <v>-1357638</v>
      </c>
      <c r="AH116" s="113">
        <v>-1376209</v>
      </c>
      <c r="AI116" s="113">
        <v>-1650804</v>
      </c>
      <c r="AJ116" s="113">
        <v>-1842862</v>
      </c>
      <c r="AK116" s="113">
        <v>-1619002</v>
      </c>
    </row>
    <row r="117" spans="2:37">
      <c r="B117" s="35" t="s">
        <v>150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row>
    <row r="118" spans="2:37">
      <c r="B118" s="28" t="s">
        <v>154</v>
      </c>
      <c r="C118" s="113">
        <v>1160083</v>
      </c>
      <c r="D118" s="113">
        <v>1349286</v>
      </c>
      <c r="E118" s="113">
        <v>1794036</v>
      </c>
      <c r="F118" s="113">
        <v>2282040</v>
      </c>
      <c r="G118" s="113">
        <v>2968745</v>
      </c>
      <c r="H118" s="113">
        <v>3886934</v>
      </c>
      <c r="I118" s="113">
        <v>5247110</v>
      </c>
      <c r="J118" s="113">
        <v>5506682</v>
      </c>
      <c r="K118" s="113">
        <v>6507905</v>
      </c>
      <c r="L118" s="113">
        <v>8039681</v>
      </c>
      <c r="M118" s="113">
        <v>8605902</v>
      </c>
      <c r="N118" s="113">
        <v>8838402</v>
      </c>
      <c r="O118" s="113">
        <v>9048833</v>
      </c>
      <c r="P118" s="113">
        <v>10246584</v>
      </c>
      <c r="Q118" s="113">
        <v>11353234</v>
      </c>
      <c r="R118" s="113">
        <v>12522169</v>
      </c>
      <c r="S118" s="113">
        <v>13607990</v>
      </c>
      <c r="T118" s="113">
        <v>14002940</v>
      </c>
      <c r="U118" s="113">
        <v>14048731</v>
      </c>
      <c r="V118" s="113">
        <v>14359583</v>
      </c>
      <c r="W118" s="113">
        <v>14415425</v>
      </c>
      <c r="X118" s="113">
        <v>14380535</v>
      </c>
      <c r="Y118" s="113">
        <v>15853923</v>
      </c>
      <c r="Z118" s="113">
        <v>16643889</v>
      </c>
      <c r="AA118" s="113">
        <v>17250038</v>
      </c>
      <c r="AB118" s="113">
        <v>17795292</v>
      </c>
      <c r="AC118" s="113">
        <v>19234179</v>
      </c>
      <c r="AD118" s="113">
        <v>20078057</v>
      </c>
      <c r="AE118" s="113">
        <v>20676630</v>
      </c>
      <c r="AF118" s="113">
        <v>20218087</v>
      </c>
      <c r="AG118" s="113">
        <v>20409051</v>
      </c>
      <c r="AH118" s="113">
        <v>20902157</v>
      </c>
      <c r="AI118" s="113">
        <v>22540766</v>
      </c>
      <c r="AJ118" s="113">
        <v>23670241</v>
      </c>
      <c r="AK118" s="113">
        <v>24098843</v>
      </c>
    </row>
    <row r="119" spans="2:37">
      <c r="B119" s="28" t="s">
        <v>155</v>
      </c>
      <c r="C119" s="113">
        <v>130287</v>
      </c>
      <c r="D119" s="113">
        <v>132524</v>
      </c>
      <c r="E119" s="113">
        <v>163706</v>
      </c>
      <c r="F119" s="113">
        <v>254901</v>
      </c>
      <c r="G119" s="113">
        <v>284223</v>
      </c>
      <c r="H119" s="113">
        <v>363523</v>
      </c>
      <c r="I119" s="113">
        <v>556486</v>
      </c>
      <c r="J119" s="113">
        <v>663892</v>
      </c>
      <c r="K119" s="113">
        <v>853553</v>
      </c>
      <c r="L119" s="113">
        <v>980416</v>
      </c>
      <c r="M119" s="113">
        <v>1120594</v>
      </c>
      <c r="N119" s="113">
        <v>1173522</v>
      </c>
      <c r="O119" s="113">
        <v>1204672</v>
      </c>
      <c r="P119" s="113">
        <v>1420061</v>
      </c>
      <c r="Q119" s="113">
        <v>1558941</v>
      </c>
      <c r="R119" s="113">
        <v>1712198</v>
      </c>
      <c r="S119" s="113">
        <v>1796440</v>
      </c>
      <c r="T119" s="113">
        <v>1902721</v>
      </c>
      <c r="U119" s="113">
        <v>1953154</v>
      </c>
      <c r="V119" s="113">
        <v>2034795</v>
      </c>
      <c r="W119" s="113">
        <v>2258839</v>
      </c>
      <c r="X119" s="113">
        <v>2358372</v>
      </c>
      <c r="Y119" s="113">
        <v>2590663</v>
      </c>
      <c r="Z119" s="113">
        <v>2789985</v>
      </c>
      <c r="AA119" s="113">
        <v>2150776</v>
      </c>
      <c r="AB119" s="113">
        <v>2119805</v>
      </c>
      <c r="AC119" s="113">
        <v>2239090</v>
      </c>
      <c r="AD119" s="113">
        <v>2328306</v>
      </c>
      <c r="AE119" s="113">
        <v>2423660</v>
      </c>
      <c r="AF119" s="113">
        <v>2476927</v>
      </c>
      <c r="AG119" s="113">
        <v>2593667</v>
      </c>
      <c r="AH119" s="113">
        <v>2674778</v>
      </c>
      <c r="AI119" s="113">
        <v>2803903</v>
      </c>
      <c r="AJ119" s="113">
        <v>3251903</v>
      </c>
      <c r="AK119" s="113">
        <v>3111477</v>
      </c>
    </row>
    <row r="120" spans="2:37">
      <c r="B120" s="28" t="s">
        <v>156</v>
      </c>
      <c r="C120" s="113">
        <v>-1029796</v>
      </c>
      <c r="D120" s="113">
        <v>-1216762</v>
      </c>
      <c r="E120" s="113">
        <v>-1630330</v>
      </c>
      <c r="F120" s="113">
        <v>-2027139</v>
      </c>
      <c r="G120" s="113">
        <v>-2684522</v>
      </c>
      <c r="H120" s="113">
        <v>-3523411</v>
      </c>
      <c r="I120" s="113">
        <v>-4690624</v>
      </c>
      <c r="J120" s="113">
        <v>-4842790</v>
      </c>
      <c r="K120" s="113">
        <v>-5654352</v>
      </c>
      <c r="L120" s="113">
        <v>-7059265</v>
      </c>
      <c r="M120" s="113">
        <v>-7485308</v>
      </c>
      <c r="N120" s="113">
        <v>-7664880</v>
      </c>
      <c r="O120" s="113">
        <v>-7844161</v>
      </c>
      <c r="P120" s="113">
        <v>-8826523</v>
      </c>
      <c r="Q120" s="113">
        <v>-9794293</v>
      </c>
      <c r="R120" s="113">
        <v>-10809971</v>
      </c>
      <c r="S120" s="113">
        <v>-11811550</v>
      </c>
      <c r="T120" s="113">
        <v>-12100219</v>
      </c>
      <c r="U120" s="113">
        <v>-12095577</v>
      </c>
      <c r="V120" s="113">
        <v>-12324788</v>
      </c>
      <c r="W120" s="113">
        <v>-12156586</v>
      </c>
      <c r="X120" s="113">
        <v>-12022163</v>
      </c>
      <c r="Y120" s="113">
        <v>-13263260</v>
      </c>
      <c r="Z120" s="113">
        <v>-13853904</v>
      </c>
      <c r="AA120" s="113">
        <v>-15099262</v>
      </c>
      <c r="AB120" s="113">
        <v>-15675487</v>
      </c>
      <c r="AC120" s="113">
        <v>-16995089</v>
      </c>
      <c r="AD120" s="113">
        <v>-17749751</v>
      </c>
      <c r="AE120" s="113">
        <v>-18252970</v>
      </c>
      <c r="AF120" s="113">
        <v>-17741160</v>
      </c>
      <c r="AG120" s="113">
        <v>-17815384</v>
      </c>
      <c r="AH120" s="113">
        <v>-18227379</v>
      </c>
      <c r="AI120" s="113">
        <v>-19736863</v>
      </c>
      <c r="AJ120" s="113">
        <v>-20418338</v>
      </c>
      <c r="AK120" s="113">
        <v>-20987366</v>
      </c>
    </row>
    <row r="121" spans="2:37">
      <c r="B121" s="35" t="s">
        <v>146</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row>
    <row r="122" spans="2:37">
      <c r="B122" s="28" t="s">
        <v>154</v>
      </c>
      <c r="C122" s="113">
        <v>12732887</v>
      </c>
      <c r="D122" s="113">
        <v>14759904</v>
      </c>
      <c r="E122" s="113">
        <v>17372088</v>
      </c>
      <c r="F122" s="113">
        <v>19243593</v>
      </c>
      <c r="G122" s="113">
        <v>20553735</v>
      </c>
      <c r="H122" s="113">
        <v>21496444</v>
      </c>
      <c r="I122" s="113">
        <v>22829942</v>
      </c>
      <c r="J122" s="113">
        <v>24155753</v>
      </c>
      <c r="K122" s="113">
        <v>26128715</v>
      </c>
      <c r="L122" s="113">
        <v>28744864</v>
      </c>
      <c r="M122" s="113">
        <v>31113880</v>
      </c>
      <c r="N122" s="113">
        <v>33712542</v>
      </c>
      <c r="O122" s="113">
        <v>38092820</v>
      </c>
      <c r="P122" s="113">
        <v>41141163</v>
      </c>
      <c r="Q122" s="113">
        <v>44210613</v>
      </c>
      <c r="R122" s="113">
        <v>46969622</v>
      </c>
      <c r="S122" s="113">
        <v>50544099</v>
      </c>
      <c r="T122" s="113">
        <v>49564848</v>
      </c>
      <c r="U122" s="113">
        <v>50651782</v>
      </c>
      <c r="V122" s="113">
        <v>51610383</v>
      </c>
      <c r="W122" s="113">
        <v>54619355</v>
      </c>
      <c r="X122" s="113">
        <v>59518395</v>
      </c>
      <c r="Y122" s="113">
        <v>65404087</v>
      </c>
      <c r="Z122" s="113">
        <v>68926691</v>
      </c>
      <c r="AA122" s="113">
        <v>73273341</v>
      </c>
      <c r="AB122" s="113">
        <v>79022342</v>
      </c>
      <c r="AC122" s="113">
        <v>83932749</v>
      </c>
      <c r="AD122" s="113">
        <v>91928359</v>
      </c>
      <c r="AE122" s="113">
        <v>97983048</v>
      </c>
      <c r="AF122" s="113">
        <v>107225828</v>
      </c>
      <c r="AG122" s="113">
        <v>113338901</v>
      </c>
      <c r="AH122" s="113">
        <v>118735447</v>
      </c>
      <c r="AI122" s="113">
        <v>122969125</v>
      </c>
      <c r="AJ122" s="113">
        <v>128461757</v>
      </c>
      <c r="AK122" s="113">
        <v>133385006</v>
      </c>
    </row>
    <row r="123" spans="2:37">
      <c r="B123" s="28" t="s">
        <v>155</v>
      </c>
      <c r="C123" s="113">
        <v>18084640</v>
      </c>
      <c r="D123" s="113">
        <v>19367250</v>
      </c>
      <c r="E123" s="113">
        <v>22946306</v>
      </c>
      <c r="F123" s="113">
        <v>26004685</v>
      </c>
      <c r="G123" s="113">
        <v>27117602</v>
      </c>
      <c r="H123" s="113">
        <v>28900318</v>
      </c>
      <c r="I123" s="113">
        <v>30338651</v>
      </c>
      <c r="J123" s="113">
        <v>31772385</v>
      </c>
      <c r="K123" s="113">
        <v>35298832</v>
      </c>
      <c r="L123" s="113">
        <v>38049411</v>
      </c>
      <c r="M123" s="113">
        <v>40462542</v>
      </c>
      <c r="N123" s="113">
        <v>43029581</v>
      </c>
      <c r="O123" s="113">
        <v>43289986</v>
      </c>
      <c r="P123" s="113">
        <v>46287189</v>
      </c>
      <c r="Q123" s="113">
        <v>47086745</v>
      </c>
      <c r="R123" s="113">
        <v>49507085</v>
      </c>
      <c r="S123" s="113">
        <v>52373352</v>
      </c>
      <c r="T123" s="113">
        <v>49754287</v>
      </c>
      <c r="U123" s="113">
        <v>52424926</v>
      </c>
      <c r="V123" s="113">
        <v>53828418</v>
      </c>
      <c r="W123" s="113">
        <v>58572233</v>
      </c>
      <c r="X123" s="113">
        <v>62163331</v>
      </c>
      <c r="Y123" s="113">
        <v>68310431</v>
      </c>
      <c r="Z123" s="113">
        <v>72526495</v>
      </c>
      <c r="AA123" s="113">
        <v>77340762</v>
      </c>
      <c r="AB123" s="113">
        <v>83298943</v>
      </c>
      <c r="AC123" s="113">
        <v>89857678</v>
      </c>
      <c r="AD123" s="113">
        <v>99921800</v>
      </c>
      <c r="AE123" s="113">
        <v>112017893</v>
      </c>
      <c r="AF123" s="113">
        <v>122667396</v>
      </c>
      <c r="AG123" s="113">
        <v>127058039</v>
      </c>
      <c r="AH123" s="113">
        <v>133332823</v>
      </c>
      <c r="AI123" s="113">
        <v>137131721</v>
      </c>
      <c r="AJ123" s="113">
        <v>139093657</v>
      </c>
      <c r="AK123" s="113">
        <v>145890430</v>
      </c>
    </row>
    <row r="124" spans="2:37">
      <c r="B124" s="28" t="s">
        <v>156</v>
      </c>
      <c r="C124" s="113">
        <v>5351753</v>
      </c>
      <c r="D124" s="113">
        <v>4607346</v>
      </c>
      <c r="E124" s="113">
        <v>5574218</v>
      </c>
      <c r="F124" s="113">
        <v>6761092</v>
      </c>
      <c r="G124" s="113">
        <v>6563867</v>
      </c>
      <c r="H124" s="113">
        <v>7403874</v>
      </c>
      <c r="I124" s="113">
        <v>7508709</v>
      </c>
      <c r="J124" s="113">
        <v>7616632</v>
      </c>
      <c r="K124" s="113">
        <v>9170117</v>
      </c>
      <c r="L124" s="113">
        <v>9304547</v>
      </c>
      <c r="M124" s="113">
        <v>9348662</v>
      </c>
      <c r="N124" s="113">
        <v>9317039</v>
      </c>
      <c r="O124" s="113">
        <v>5197166</v>
      </c>
      <c r="P124" s="113">
        <v>5146026</v>
      </c>
      <c r="Q124" s="113">
        <v>2876132</v>
      </c>
      <c r="R124" s="113">
        <v>2537463</v>
      </c>
      <c r="S124" s="113">
        <v>1829253</v>
      </c>
      <c r="T124" s="113">
        <v>189439</v>
      </c>
      <c r="U124" s="113">
        <v>1773144</v>
      </c>
      <c r="V124" s="113">
        <v>2218035</v>
      </c>
      <c r="W124" s="113">
        <v>3952878</v>
      </c>
      <c r="X124" s="113">
        <v>2644936</v>
      </c>
      <c r="Y124" s="113">
        <v>2906344</v>
      </c>
      <c r="Z124" s="113">
        <v>3599804</v>
      </c>
      <c r="AA124" s="113">
        <v>4067421</v>
      </c>
      <c r="AB124" s="113">
        <v>4276601</v>
      </c>
      <c r="AC124" s="113">
        <v>5924929</v>
      </c>
      <c r="AD124" s="113">
        <v>7993441</v>
      </c>
      <c r="AE124" s="113">
        <v>14034845</v>
      </c>
      <c r="AF124" s="113">
        <v>15441568</v>
      </c>
      <c r="AG124" s="113">
        <v>13719138</v>
      </c>
      <c r="AH124" s="113">
        <v>14597376</v>
      </c>
      <c r="AI124" s="113">
        <v>14162596</v>
      </c>
      <c r="AJ124" s="113">
        <v>10631900</v>
      </c>
      <c r="AK124" s="113">
        <v>12505424</v>
      </c>
    </row>
    <row r="125" spans="2:37">
      <c r="B125" s="35" t="s">
        <v>151</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row>
    <row r="126" spans="2:37">
      <c r="B126" s="28" t="s">
        <v>154</v>
      </c>
      <c r="C126" s="113">
        <v>13195932</v>
      </c>
      <c r="D126" s="113">
        <v>15934472</v>
      </c>
      <c r="E126" s="113">
        <v>18698221</v>
      </c>
      <c r="F126" s="113">
        <v>20869790</v>
      </c>
      <c r="G126" s="113">
        <v>23115202</v>
      </c>
      <c r="H126" s="113">
        <v>25340378</v>
      </c>
      <c r="I126" s="113">
        <v>26136995</v>
      </c>
      <c r="J126" s="113">
        <v>27643301</v>
      </c>
      <c r="K126" s="113">
        <v>29144706</v>
      </c>
      <c r="L126" s="113">
        <v>31116488</v>
      </c>
      <c r="M126" s="113">
        <v>32311610</v>
      </c>
      <c r="N126" s="113">
        <v>33502125</v>
      </c>
      <c r="O126" s="113">
        <v>34397503</v>
      </c>
      <c r="P126" s="113">
        <v>35318875</v>
      </c>
      <c r="Q126" s="113">
        <v>37520134</v>
      </c>
      <c r="R126" s="113">
        <v>38215064</v>
      </c>
      <c r="S126" s="113">
        <v>39271287</v>
      </c>
      <c r="T126" s="113">
        <v>40005844</v>
      </c>
      <c r="U126" s="113">
        <v>42000582</v>
      </c>
      <c r="V126" s="113">
        <v>45133608</v>
      </c>
      <c r="W126" s="113">
        <v>46390080</v>
      </c>
      <c r="X126" s="113">
        <v>56048022</v>
      </c>
      <c r="Y126" s="113">
        <v>60165554</v>
      </c>
      <c r="Z126" s="113">
        <v>59329069</v>
      </c>
      <c r="AA126" s="113">
        <v>63286229</v>
      </c>
      <c r="AB126" s="113">
        <v>66093482</v>
      </c>
      <c r="AC126" s="113">
        <v>74300077</v>
      </c>
      <c r="AD126" s="113">
        <v>78960159</v>
      </c>
      <c r="AE126" s="113">
        <v>81550599</v>
      </c>
      <c r="AF126" s="113">
        <v>87639065</v>
      </c>
      <c r="AG126" s="113">
        <v>84711175</v>
      </c>
      <c r="AH126" s="113">
        <v>84805482</v>
      </c>
      <c r="AI126" s="113">
        <v>82902578</v>
      </c>
      <c r="AJ126" s="113">
        <v>82184296</v>
      </c>
      <c r="AK126" s="113">
        <v>85410721</v>
      </c>
    </row>
    <row r="127" spans="2:37">
      <c r="B127" s="28" t="s">
        <v>155</v>
      </c>
      <c r="C127" s="113">
        <v>15179898</v>
      </c>
      <c r="D127" s="113">
        <v>18150836</v>
      </c>
      <c r="E127" s="113">
        <v>20406702</v>
      </c>
      <c r="F127" s="113">
        <v>21991941</v>
      </c>
      <c r="G127" s="113">
        <v>22939436</v>
      </c>
      <c r="H127" s="113">
        <v>24736745</v>
      </c>
      <c r="I127" s="113">
        <v>26766490</v>
      </c>
      <c r="J127" s="113">
        <v>26416311</v>
      </c>
      <c r="K127" s="113">
        <v>26569365</v>
      </c>
      <c r="L127" s="113">
        <v>27577734</v>
      </c>
      <c r="M127" s="113">
        <v>28479073</v>
      </c>
      <c r="N127" s="113">
        <v>28737511</v>
      </c>
      <c r="O127" s="113">
        <v>30134672</v>
      </c>
      <c r="P127" s="113">
        <v>30272872</v>
      </c>
      <c r="Q127" s="113">
        <v>32330681</v>
      </c>
      <c r="R127" s="113">
        <v>32460106</v>
      </c>
      <c r="S127" s="113">
        <v>32618750</v>
      </c>
      <c r="T127" s="113">
        <v>33603962</v>
      </c>
      <c r="U127" s="113">
        <v>35284838</v>
      </c>
      <c r="V127" s="113">
        <v>37508437</v>
      </c>
      <c r="W127" s="113">
        <v>38755683</v>
      </c>
      <c r="X127" s="113">
        <v>55405654</v>
      </c>
      <c r="Y127" s="113">
        <v>56619417</v>
      </c>
      <c r="Z127" s="113">
        <v>54729875</v>
      </c>
      <c r="AA127" s="113">
        <v>61915157</v>
      </c>
      <c r="AB127" s="113">
        <v>61167632</v>
      </c>
      <c r="AC127" s="113">
        <v>70537896</v>
      </c>
      <c r="AD127" s="113">
        <v>76675437</v>
      </c>
      <c r="AE127" s="113">
        <v>80277198</v>
      </c>
      <c r="AF127" s="113">
        <v>85417520</v>
      </c>
      <c r="AG127" s="113">
        <v>81226001</v>
      </c>
      <c r="AH127" s="113">
        <v>81055016</v>
      </c>
      <c r="AI127" s="113">
        <v>77754316</v>
      </c>
      <c r="AJ127" s="113">
        <v>76992687</v>
      </c>
      <c r="AK127" s="113">
        <v>78728456</v>
      </c>
    </row>
    <row r="128" spans="2:37">
      <c r="B128" s="28" t="s">
        <v>156</v>
      </c>
      <c r="C128" s="113">
        <v>1983966</v>
      </c>
      <c r="D128" s="113">
        <v>2216364</v>
      </c>
      <c r="E128" s="113">
        <v>1708481</v>
      </c>
      <c r="F128" s="113">
        <v>1122151</v>
      </c>
      <c r="G128" s="113">
        <v>-175766</v>
      </c>
      <c r="H128" s="113">
        <v>-603633</v>
      </c>
      <c r="I128" s="113">
        <v>629495</v>
      </c>
      <c r="J128" s="113">
        <v>-1226990</v>
      </c>
      <c r="K128" s="113">
        <v>-2575341</v>
      </c>
      <c r="L128" s="113">
        <v>-3538754</v>
      </c>
      <c r="M128" s="113">
        <v>-3832537</v>
      </c>
      <c r="N128" s="113">
        <v>-4764614</v>
      </c>
      <c r="O128" s="113">
        <v>-4262831</v>
      </c>
      <c r="P128" s="113">
        <v>-5046003</v>
      </c>
      <c r="Q128" s="113">
        <v>-5189453</v>
      </c>
      <c r="R128" s="113">
        <v>-5754958</v>
      </c>
      <c r="S128" s="113">
        <v>-6652537</v>
      </c>
      <c r="T128" s="113">
        <v>-6401882</v>
      </c>
      <c r="U128" s="113">
        <v>-6715744</v>
      </c>
      <c r="V128" s="113">
        <v>-7625171</v>
      </c>
      <c r="W128" s="113">
        <v>-7634397</v>
      </c>
      <c r="X128" s="113">
        <v>-642368</v>
      </c>
      <c r="Y128" s="113">
        <v>-3546137</v>
      </c>
      <c r="Z128" s="113">
        <v>-4599194</v>
      </c>
      <c r="AA128" s="113">
        <v>-1371072</v>
      </c>
      <c r="AB128" s="113">
        <v>-4925850</v>
      </c>
      <c r="AC128" s="113">
        <v>-3762181</v>
      </c>
      <c r="AD128" s="113">
        <v>-2284722</v>
      </c>
      <c r="AE128" s="113">
        <v>-1273401</v>
      </c>
      <c r="AF128" s="113">
        <v>-2221545</v>
      </c>
      <c r="AG128" s="113">
        <v>-3485174</v>
      </c>
      <c r="AH128" s="113">
        <v>-3750466</v>
      </c>
      <c r="AI128" s="113">
        <v>-5148262</v>
      </c>
      <c r="AJ128" s="113">
        <v>-5191609</v>
      </c>
      <c r="AK128" s="113">
        <v>-6682265</v>
      </c>
    </row>
    <row r="129" spans="2:37">
      <c r="B129" s="35" t="s">
        <v>130</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row>
    <row r="130" spans="2:37">
      <c r="B130" s="28" t="s">
        <v>154</v>
      </c>
      <c r="C130" s="113">
        <v>4873128</v>
      </c>
      <c r="D130" s="113">
        <v>5702259</v>
      </c>
      <c r="E130" s="113">
        <v>6379916</v>
      </c>
      <c r="F130" s="113">
        <v>7460173</v>
      </c>
      <c r="G130" s="113">
        <v>8582616</v>
      </c>
      <c r="H130" s="113">
        <v>9573170</v>
      </c>
      <c r="I130" s="113">
        <v>10808525</v>
      </c>
      <c r="J130" s="113">
        <v>12152043</v>
      </c>
      <c r="K130" s="113">
        <v>13482319</v>
      </c>
      <c r="L130" s="113">
        <v>15162242</v>
      </c>
      <c r="M130" s="113">
        <v>17647179</v>
      </c>
      <c r="N130" s="113">
        <v>19603637</v>
      </c>
      <c r="O130" s="113">
        <v>22138875</v>
      </c>
      <c r="P130" s="113">
        <v>23302495</v>
      </c>
      <c r="Q130" s="113">
        <v>26510023</v>
      </c>
      <c r="R130" s="113">
        <v>28359168</v>
      </c>
      <c r="S130" s="113">
        <v>30086323</v>
      </c>
      <c r="T130" s="113">
        <v>31450879</v>
      </c>
      <c r="U130" s="113">
        <v>32334199</v>
      </c>
      <c r="V130" s="113">
        <v>33634500</v>
      </c>
      <c r="W130" s="113">
        <v>34536130</v>
      </c>
      <c r="X130" s="113">
        <v>36795705</v>
      </c>
      <c r="Y130" s="113">
        <v>38304453</v>
      </c>
      <c r="Z130" s="113">
        <v>39796335</v>
      </c>
      <c r="AA130" s="113">
        <v>41894713</v>
      </c>
      <c r="AB130" s="113">
        <v>44480065</v>
      </c>
      <c r="AC130" s="113">
        <v>47638107</v>
      </c>
      <c r="AD130" s="113">
        <v>50628073</v>
      </c>
      <c r="AE130" s="113">
        <v>53385630</v>
      </c>
      <c r="AF130" s="113">
        <v>57165935</v>
      </c>
      <c r="AG130" s="113">
        <v>59209331</v>
      </c>
      <c r="AH130" s="113">
        <v>61739244</v>
      </c>
      <c r="AI130" s="113">
        <v>64121075</v>
      </c>
      <c r="AJ130" s="113">
        <v>65810825</v>
      </c>
      <c r="AK130" s="113">
        <v>68641825</v>
      </c>
    </row>
    <row r="131" spans="2:37">
      <c r="B131" s="28" t="s">
        <v>155</v>
      </c>
      <c r="C131" s="113">
        <v>13214358</v>
      </c>
      <c r="D131" s="113">
        <v>14898220</v>
      </c>
      <c r="E131" s="113">
        <v>14940214</v>
      </c>
      <c r="F131" s="113">
        <v>15603463</v>
      </c>
      <c r="G131" s="113">
        <v>16225085</v>
      </c>
      <c r="H131" s="113">
        <v>17397964</v>
      </c>
      <c r="I131" s="113">
        <v>19141856</v>
      </c>
      <c r="J131" s="113">
        <v>21647340</v>
      </c>
      <c r="K131" s="113">
        <v>23678593</v>
      </c>
      <c r="L131" s="113">
        <v>25772606</v>
      </c>
      <c r="M131" s="113">
        <v>28452664</v>
      </c>
      <c r="N131" s="113">
        <v>31013616</v>
      </c>
      <c r="O131" s="113">
        <v>33388119</v>
      </c>
      <c r="P131" s="113">
        <v>35613540</v>
      </c>
      <c r="Q131" s="113">
        <v>35664649</v>
      </c>
      <c r="R131" s="113">
        <v>38572902</v>
      </c>
      <c r="S131" s="113">
        <v>39364749</v>
      </c>
      <c r="T131" s="113">
        <v>41549323</v>
      </c>
      <c r="U131" s="113">
        <v>41764729</v>
      </c>
      <c r="V131" s="113">
        <v>43046839</v>
      </c>
      <c r="W131" s="113">
        <v>45260843</v>
      </c>
      <c r="X131" s="113">
        <v>46718325</v>
      </c>
      <c r="Y131" s="113">
        <v>50308556</v>
      </c>
      <c r="Z131" s="113">
        <v>51723060</v>
      </c>
      <c r="AA131" s="113">
        <v>55291855</v>
      </c>
      <c r="AB131" s="113">
        <v>57939734</v>
      </c>
      <c r="AC131" s="113">
        <v>62083202</v>
      </c>
      <c r="AD131" s="113">
        <v>66871629</v>
      </c>
      <c r="AE131" s="113">
        <v>70377610</v>
      </c>
      <c r="AF131" s="113">
        <v>75151545</v>
      </c>
      <c r="AG131" s="113">
        <v>75619770</v>
      </c>
      <c r="AH131" s="113">
        <v>77154329</v>
      </c>
      <c r="AI131" s="113">
        <v>76101302</v>
      </c>
      <c r="AJ131" s="113">
        <v>74774983</v>
      </c>
      <c r="AK131" s="113">
        <v>74500972</v>
      </c>
    </row>
    <row r="132" spans="2:37">
      <c r="B132" s="28" t="s">
        <v>156</v>
      </c>
      <c r="C132" s="113">
        <v>8341230</v>
      </c>
      <c r="D132" s="113">
        <v>9195961</v>
      </c>
      <c r="E132" s="113">
        <v>8560298</v>
      </c>
      <c r="F132" s="113">
        <v>8143290</v>
      </c>
      <c r="G132" s="113">
        <v>7642469</v>
      </c>
      <c r="H132" s="113">
        <v>7824794</v>
      </c>
      <c r="I132" s="113">
        <v>8333331</v>
      </c>
      <c r="J132" s="113">
        <v>9495297</v>
      </c>
      <c r="K132" s="113">
        <v>10196274</v>
      </c>
      <c r="L132" s="113">
        <v>10610364</v>
      </c>
      <c r="M132" s="113">
        <v>10805485</v>
      </c>
      <c r="N132" s="113">
        <v>11409979</v>
      </c>
      <c r="O132" s="113">
        <v>11249244</v>
      </c>
      <c r="P132" s="113">
        <v>12311045</v>
      </c>
      <c r="Q132" s="113">
        <v>9154626</v>
      </c>
      <c r="R132" s="113">
        <v>10213734</v>
      </c>
      <c r="S132" s="113">
        <v>9278426</v>
      </c>
      <c r="T132" s="113">
        <v>10098444</v>
      </c>
      <c r="U132" s="113">
        <v>9430530</v>
      </c>
      <c r="V132" s="113">
        <v>9412339</v>
      </c>
      <c r="W132" s="113">
        <v>10724713</v>
      </c>
      <c r="X132" s="113">
        <v>9922620</v>
      </c>
      <c r="Y132" s="113">
        <v>12004103</v>
      </c>
      <c r="Z132" s="113">
        <v>11926725</v>
      </c>
      <c r="AA132" s="113">
        <v>13397142</v>
      </c>
      <c r="AB132" s="113">
        <v>13459669</v>
      </c>
      <c r="AC132" s="113">
        <v>14445095</v>
      </c>
      <c r="AD132" s="113">
        <v>16243556</v>
      </c>
      <c r="AE132" s="113">
        <v>16991980</v>
      </c>
      <c r="AF132" s="113">
        <v>17985610</v>
      </c>
      <c r="AG132" s="113">
        <v>16410439</v>
      </c>
      <c r="AH132" s="113">
        <v>15415085</v>
      </c>
      <c r="AI132" s="113">
        <v>11980227</v>
      </c>
      <c r="AJ132" s="113">
        <v>8964158</v>
      </c>
      <c r="AK132" s="113">
        <v>5859147</v>
      </c>
    </row>
    <row r="133" spans="2:37">
      <c r="B133" s="35" t="s">
        <v>152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row>
    <row r="134" spans="2:37">
      <c r="B134" s="28" t="s">
        <v>154</v>
      </c>
      <c r="C134" s="113">
        <v>6765752</v>
      </c>
      <c r="D134" s="113">
        <v>7717612</v>
      </c>
      <c r="E134" s="113">
        <v>8472461</v>
      </c>
      <c r="F134" s="113">
        <v>9528164</v>
      </c>
      <c r="G134" s="113">
        <v>10466984</v>
      </c>
      <c r="H134" s="113">
        <v>11979703</v>
      </c>
      <c r="I134" s="113">
        <v>13260170</v>
      </c>
      <c r="J134" s="113">
        <v>14402746</v>
      </c>
      <c r="K134" s="113">
        <v>15314515</v>
      </c>
      <c r="L134" s="113">
        <v>16767400</v>
      </c>
      <c r="M134" s="113">
        <v>17674155</v>
      </c>
      <c r="N134" s="113">
        <v>18034149</v>
      </c>
      <c r="O134" s="113">
        <v>19447322</v>
      </c>
      <c r="P134" s="113">
        <v>20450540</v>
      </c>
      <c r="Q134" s="113">
        <v>22692069</v>
      </c>
      <c r="R134" s="113">
        <v>23879068</v>
      </c>
      <c r="S134" s="113">
        <v>25432942</v>
      </c>
      <c r="T134" s="113">
        <v>26896969</v>
      </c>
      <c r="U134" s="113">
        <v>27472820</v>
      </c>
      <c r="V134" s="113">
        <v>29038740</v>
      </c>
      <c r="W134" s="113">
        <v>30515060</v>
      </c>
      <c r="X134" s="113">
        <v>30794102</v>
      </c>
      <c r="Y134" s="113">
        <v>33236410</v>
      </c>
      <c r="Z134" s="113">
        <v>34736304</v>
      </c>
      <c r="AA134" s="113">
        <v>36087197</v>
      </c>
      <c r="AB134" s="113">
        <v>37378226</v>
      </c>
      <c r="AC134" s="113">
        <v>40036690</v>
      </c>
      <c r="AD134" s="113">
        <v>43401415</v>
      </c>
      <c r="AE134" s="113">
        <v>44900000</v>
      </c>
      <c r="AF134" s="113">
        <v>47306441</v>
      </c>
      <c r="AG134" s="113">
        <v>49326963</v>
      </c>
      <c r="AH134" s="113">
        <v>51554316</v>
      </c>
      <c r="AI134" s="113">
        <v>54526606</v>
      </c>
      <c r="AJ134" s="113">
        <v>57483572</v>
      </c>
      <c r="AK134" s="113">
        <v>59377863</v>
      </c>
    </row>
    <row r="135" spans="2:37">
      <c r="B135" s="28" t="s">
        <v>155</v>
      </c>
      <c r="C135" s="113">
        <v>8206580</v>
      </c>
      <c r="D135" s="113">
        <v>9439775</v>
      </c>
      <c r="E135" s="113">
        <v>10133191</v>
      </c>
      <c r="F135" s="113">
        <v>10956444</v>
      </c>
      <c r="G135" s="113">
        <v>10914115</v>
      </c>
      <c r="H135" s="113">
        <v>12487756</v>
      </c>
      <c r="I135" s="113">
        <v>14212755</v>
      </c>
      <c r="J135" s="113">
        <v>16099688</v>
      </c>
      <c r="K135" s="113">
        <v>16410580</v>
      </c>
      <c r="L135" s="113">
        <v>17786980</v>
      </c>
      <c r="M135" s="113">
        <v>19197064</v>
      </c>
      <c r="N135" s="113">
        <v>20489772</v>
      </c>
      <c r="O135" s="113">
        <v>21536706</v>
      </c>
      <c r="P135" s="113">
        <v>21028801</v>
      </c>
      <c r="Q135" s="113">
        <v>22987778</v>
      </c>
      <c r="R135" s="113">
        <v>24422178</v>
      </c>
      <c r="S135" s="113">
        <v>25036269</v>
      </c>
      <c r="T135" s="113">
        <v>27120711</v>
      </c>
      <c r="U135" s="113">
        <v>27811535</v>
      </c>
      <c r="V135" s="113">
        <v>29820782</v>
      </c>
      <c r="W135" s="113">
        <v>31140136</v>
      </c>
      <c r="X135" s="113">
        <v>32052465</v>
      </c>
      <c r="Y135" s="113">
        <v>35532574</v>
      </c>
      <c r="Z135" s="113">
        <v>38089087</v>
      </c>
      <c r="AA135" s="113">
        <v>39193095</v>
      </c>
      <c r="AB135" s="113">
        <v>40944609</v>
      </c>
      <c r="AC135" s="113">
        <v>42704248</v>
      </c>
      <c r="AD135" s="113">
        <v>48392037</v>
      </c>
      <c r="AE135" s="113">
        <v>49162671</v>
      </c>
      <c r="AF135" s="113">
        <v>53879091</v>
      </c>
      <c r="AG135" s="113">
        <v>54102854</v>
      </c>
      <c r="AH135" s="113">
        <v>53696340</v>
      </c>
      <c r="AI135" s="113">
        <v>54055246</v>
      </c>
      <c r="AJ135" s="113">
        <v>55595915</v>
      </c>
      <c r="AK135" s="113">
        <v>57541944</v>
      </c>
    </row>
    <row r="136" spans="2:37">
      <c r="B136" s="28" t="s">
        <v>156</v>
      </c>
      <c r="C136" s="113">
        <v>1440828</v>
      </c>
      <c r="D136" s="113">
        <v>1722163</v>
      </c>
      <c r="E136" s="113">
        <v>1660730</v>
      </c>
      <c r="F136" s="113">
        <v>1428280</v>
      </c>
      <c r="G136" s="113">
        <v>447131</v>
      </c>
      <c r="H136" s="113">
        <v>508053</v>
      </c>
      <c r="I136" s="113">
        <v>952585</v>
      </c>
      <c r="J136" s="113">
        <v>1696942</v>
      </c>
      <c r="K136" s="113">
        <v>1096065</v>
      </c>
      <c r="L136" s="113">
        <v>1019580</v>
      </c>
      <c r="M136" s="113">
        <v>1522909</v>
      </c>
      <c r="N136" s="113">
        <v>2455623</v>
      </c>
      <c r="O136" s="113">
        <v>2089384</v>
      </c>
      <c r="P136" s="113">
        <v>578261</v>
      </c>
      <c r="Q136" s="113">
        <v>295709</v>
      </c>
      <c r="R136" s="113">
        <v>543110</v>
      </c>
      <c r="S136" s="113">
        <v>-396673</v>
      </c>
      <c r="T136" s="113">
        <v>223742</v>
      </c>
      <c r="U136" s="113">
        <v>338715</v>
      </c>
      <c r="V136" s="113">
        <v>782042</v>
      </c>
      <c r="W136" s="113">
        <v>625076</v>
      </c>
      <c r="X136" s="113">
        <v>1258363</v>
      </c>
      <c r="Y136" s="113">
        <v>2296164</v>
      </c>
      <c r="Z136" s="113">
        <v>3352783</v>
      </c>
      <c r="AA136" s="113">
        <v>3105898</v>
      </c>
      <c r="AB136" s="113">
        <v>3566383</v>
      </c>
      <c r="AC136" s="113">
        <v>2667558</v>
      </c>
      <c r="AD136" s="113">
        <v>4990622</v>
      </c>
      <c r="AE136" s="113">
        <v>4262671</v>
      </c>
      <c r="AF136" s="113">
        <v>6572650</v>
      </c>
      <c r="AG136" s="113">
        <v>4775891</v>
      </c>
      <c r="AH136" s="113">
        <v>2142024</v>
      </c>
      <c r="AI136" s="113">
        <v>-471360</v>
      </c>
      <c r="AJ136" s="113">
        <v>-1887657</v>
      </c>
      <c r="AK136" s="113">
        <v>-1835919</v>
      </c>
    </row>
    <row r="137" spans="2:37">
      <c r="B137" s="35" t="s">
        <v>237</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row>
    <row r="138" spans="2:37">
      <c r="B138" s="28" t="s">
        <v>154</v>
      </c>
      <c r="C138" s="113">
        <v>230098</v>
      </c>
      <c r="D138" s="113">
        <v>271092</v>
      </c>
      <c r="E138" s="113">
        <v>309177</v>
      </c>
      <c r="F138" s="113">
        <v>278206</v>
      </c>
      <c r="G138" s="113">
        <v>329375</v>
      </c>
      <c r="H138" s="113">
        <v>343051</v>
      </c>
      <c r="I138" s="113">
        <v>304713</v>
      </c>
      <c r="J138" s="113">
        <v>299153</v>
      </c>
      <c r="K138" s="113">
        <v>281805</v>
      </c>
      <c r="L138" s="113">
        <v>350574</v>
      </c>
      <c r="M138" s="113">
        <v>370848</v>
      </c>
      <c r="N138" s="113">
        <v>367457</v>
      </c>
      <c r="O138" s="113">
        <v>359371</v>
      </c>
      <c r="P138" s="113">
        <v>333619</v>
      </c>
      <c r="Q138" s="113">
        <v>328054</v>
      </c>
      <c r="R138" s="113">
        <v>335430</v>
      </c>
      <c r="S138" s="113">
        <v>377279</v>
      </c>
      <c r="T138" s="113">
        <v>409148</v>
      </c>
      <c r="U138" s="113">
        <v>400066</v>
      </c>
      <c r="V138" s="113">
        <v>395745</v>
      </c>
      <c r="W138" s="113">
        <v>377004</v>
      </c>
      <c r="X138" s="113">
        <v>401487</v>
      </c>
      <c r="Y138" s="113">
        <v>367076</v>
      </c>
      <c r="Z138" s="113">
        <v>856336</v>
      </c>
      <c r="AA138" s="113">
        <v>770769</v>
      </c>
      <c r="AB138" s="113">
        <v>3810234</v>
      </c>
      <c r="AC138" s="113">
        <v>4168985</v>
      </c>
      <c r="AD138" s="113">
        <v>6169253</v>
      </c>
      <c r="AE138" s="113">
        <v>9975688</v>
      </c>
      <c r="AF138" s="113">
        <v>9058627</v>
      </c>
      <c r="AG138" s="113">
        <v>8436497</v>
      </c>
      <c r="AH138" s="113">
        <v>8748930</v>
      </c>
      <c r="AI138" s="113">
        <v>6998360</v>
      </c>
      <c r="AJ138" s="113">
        <v>6661292</v>
      </c>
      <c r="AK138" s="113">
        <v>6656791</v>
      </c>
    </row>
    <row r="139" spans="2:37">
      <c r="B139" s="28" t="s">
        <v>155</v>
      </c>
      <c r="C139" s="113">
        <v>228786</v>
      </c>
      <c r="D139" s="113">
        <v>271575</v>
      </c>
      <c r="E139" s="113">
        <v>301484</v>
      </c>
      <c r="F139" s="113">
        <v>289556</v>
      </c>
      <c r="G139" s="113">
        <v>319679</v>
      </c>
      <c r="H139" s="113">
        <v>323770</v>
      </c>
      <c r="I139" s="113">
        <v>282486</v>
      </c>
      <c r="J139" s="113">
        <v>294538</v>
      </c>
      <c r="K139" s="113">
        <v>307611</v>
      </c>
      <c r="L139" s="113">
        <v>356676</v>
      </c>
      <c r="M139" s="113">
        <v>366794</v>
      </c>
      <c r="N139" s="113">
        <v>352958</v>
      </c>
      <c r="O139" s="113">
        <v>325006</v>
      </c>
      <c r="P139" s="113">
        <v>266584</v>
      </c>
      <c r="Q139" s="113">
        <v>315224</v>
      </c>
      <c r="R139" s="113">
        <v>293650</v>
      </c>
      <c r="S139" s="113">
        <v>352687</v>
      </c>
      <c r="T139" s="113">
        <v>339245</v>
      </c>
      <c r="U139" s="113">
        <v>342994</v>
      </c>
      <c r="V139" s="113">
        <v>340967</v>
      </c>
      <c r="W139" s="113">
        <v>389735</v>
      </c>
      <c r="X139" s="113">
        <v>443381</v>
      </c>
      <c r="Y139" s="113">
        <v>419421</v>
      </c>
      <c r="Z139" s="113">
        <v>364467</v>
      </c>
      <c r="AA139" s="113">
        <v>348652</v>
      </c>
      <c r="AB139" s="113">
        <v>6881883</v>
      </c>
      <c r="AC139" s="113">
        <v>7967400</v>
      </c>
      <c r="AD139" s="113">
        <v>4774257</v>
      </c>
      <c r="AE139" s="113">
        <v>7277617</v>
      </c>
      <c r="AF139" s="113">
        <v>7445716</v>
      </c>
      <c r="AG139" s="113">
        <v>6169795</v>
      </c>
      <c r="AH139" s="113">
        <v>6346155</v>
      </c>
      <c r="AI139" s="113">
        <v>5240669</v>
      </c>
      <c r="AJ139" s="113">
        <v>4847189</v>
      </c>
      <c r="AK139" s="113">
        <v>4853074</v>
      </c>
    </row>
    <row r="140" spans="2:37">
      <c r="B140" s="28" t="s">
        <v>156</v>
      </c>
      <c r="C140" s="113">
        <v>-1312</v>
      </c>
      <c r="D140" s="113">
        <v>483</v>
      </c>
      <c r="E140" s="113">
        <v>-7693</v>
      </c>
      <c r="F140" s="113">
        <v>11350</v>
      </c>
      <c r="G140" s="113">
        <v>-9696</v>
      </c>
      <c r="H140" s="113">
        <v>-19281</v>
      </c>
      <c r="I140" s="113">
        <v>-22227</v>
      </c>
      <c r="J140" s="113">
        <v>-4615</v>
      </c>
      <c r="K140" s="113">
        <v>25806</v>
      </c>
      <c r="L140" s="113">
        <v>6102</v>
      </c>
      <c r="M140" s="113">
        <v>-4054</v>
      </c>
      <c r="N140" s="113">
        <v>-14499</v>
      </c>
      <c r="O140" s="113">
        <v>-34365</v>
      </c>
      <c r="P140" s="113">
        <v>-67035</v>
      </c>
      <c r="Q140" s="113">
        <v>-12830</v>
      </c>
      <c r="R140" s="113">
        <v>-41780</v>
      </c>
      <c r="S140" s="113">
        <v>-24592</v>
      </c>
      <c r="T140" s="113">
        <v>-69903</v>
      </c>
      <c r="U140" s="113">
        <v>-57072</v>
      </c>
      <c r="V140" s="113">
        <v>-54778</v>
      </c>
      <c r="W140" s="113">
        <v>12731</v>
      </c>
      <c r="X140" s="113">
        <v>41894</v>
      </c>
      <c r="Y140" s="113">
        <v>52345</v>
      </c>
      <c r="Z140" s="113">
        <v>-491869</v>
      </c>
      <c r="AA140" s="113">
        <v>-422117</v>
      </c>
      <c r="AB140" s="113">
        <v>3071649</v>
      </c>
      <c r="AC140" s="113">
        <v>3798415</v>
      </c>
      <c r="AD140" s="113">
        <v>-1394996</v>
      </c>
      <c r="AE140" s="113">
        <v>-2698071</v>
      </c>
      <c r="AF140" s="113">
        <v>-1612911</v>
      </c>
      <c r="AG140" s="113">
        <v>-2266702</v>
      </c>
      <c r="AH140" s="113">
        <v>-2402775</v>
      </c>
      <c r="AI140" s="113">
        <v>-1757691</v>
      </c>
      <c r="AJ140" s="113">
        <v>-1814103</v>
      </c>
      <c r="AK140" s="113">
        <v>-1803717</v>
      </c>
    </row>
    <row r="141" spans="2:37">
      <c r="B141" s="35" t="s">
        <v>161</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row>
    <row r="142" spans="2:37">
      <c r="B142" s="28" t="s">
        <v>154</v>
      </c>
      <c r="C142" s="113">
        <v>48907723</v>
      </c>
      <c r="D142" s="113">
        <v>56843469</v>
      </c>
      <c r="E142" s="113">
        <v>65151138</v>
      </c>
      <c r="F142" s="113">
        <v>72226940</v>
      </c>
      <c r="G142" s="113">
        <v>79281870</v>
      </c>
      <c r="H142" s="113">
        <v>87001961</v>
      </c>
      <c r="I142" s="113">
        <v>93857543</v>
      </c>
      <c r="J142" s="113">
        <v>100469715</v>
      </c>
      <c r="K142" s="113">
        <v>107770617</v>
      </c>
      <c r="L142" s="113">
        <v>118226002</v>
      </c>
      <c r="M142" s="113">
        <v>126905502</v>
      </c>
      <c r="N142" s="113">
        <v>134768039</v>
      </c>
      <c r="O142" s="113">
        <v>144840731</v>
      </c>
      <c r="P142" s="113">
        <v>153269728</v>
      </c>
      <c r="Q142" s="113">
        <v>166211464</v>
      </c>
      <c r="R142" s="113">
        <v>175146228</v>
      </c>
      <c r="S142" s="113">
        <v>185513426</v>
      </c>
      <c r="T142" s="113">
        <v>190495167</v>
      </c>
      <c r="U142" s="113">
        <v>196300920</v>
      </c>
      <c r="V142" s="113">
        <v>205174291</v>
      </c>
      <c r="W142" s="113">
        <v>213950904</v>
      </c>
      <c r="X142" s="113">
        <v>233441597</v>
      </c>
      <c r="Y142" s="113">
        <v>249622433</v>
      </c>
      <c r="Z142" s="113">
        <v>257705797</v>
      </c>
      <c r="AA142" s="113">
        <v>272475944</v>
      </c>
      <c r="AB142" s="113">
        <v>292040936</v>
      </c>
      <c r="AC142" s="113">
        <v>321651817</v>
      </c>
      <c r="AD142" s="113">
        <v>340934477</v>
      </c>
      <c r="AE142" s="113">
        <v>360722988</v>
      </c>
      <c r="AF142" s="113">
        <v>382822314</v>
      </c>
      <c r="AG142" s="113">
        <v>390897863</v>
      </c>
      <c r="AH142" s="113">
        <v>404319900</v>
      </c>
      <c r="AI142" s="113">
        <v>415322914</v>
      </c>
      <c r="AJ142" s="113">
        <v>428362532</v>
      </c>
      <c r="AK142" s="113">
        <v>444715281</v>
      </c>
    </row>
    <row r="143" spans="2:37">
      <c r="B143" s="28" t="s">
        <v>155</v>
      </c>
      <c r="C143" s="113">
        <v>70362210</v>
      </c>
      <c r="D143" s="113">
        <v>80278616</v>
      </c>
      <c r="E143" s="113">
        <v>88651564</v>
      </c>
      <c r="F143" s="113">
        <v>96473084</v>
      </c>
      <c r="G143" s="113">
        <v>100382765</v>
      </c>
      <c r="H143" s="113">
        <v>107935254</v>
      </c>
      <c r="I143" s="113">
        <v>117080079</v>
      </c>
      <c r="J143" s="113">
        <v>124709117</v>
      </c>
      <c r="K143" s="113">
        <v>132442034</v>
      </c>
      <c r="L143" s="113">
        <v>141186686</v>
      </c>
      <c r="M143" s="113">
        <v>151259109</v>
      </c>
      <c r="N143" s="113">
        <v>160792005</v>
      </c>
      <c r="O143" s="113">
        <v>168610716</v>
      </c>
      <c r="P143" s="113">
        <v>174308685</v>
      </c>
      <c r="Q143" s="113">
        <v>183036887</v>
      </c>
      <c r="R143" s="113">
        <v>190369579</v>
      </c>
      <c r="S143" s="113">
        <v>196011313</v>
      </c>
      <c r="T143" s="113">
        <v>201172612</v>
      </c>
      <c r="U143" s="113">
        <v>207843068</v>
      </c>
      <c r="V143" s="113">
        <v>219567586</v>
      </c>
      <c r="W143" s="113">
        <v>234149183</v>
      </c>
      <c r="X143" s="113">
        <v>264330333</v>
      </c>
      <c r="Y143" s="113">
        <v>282721408</v>
      </c>
      <c r="Z143" s="113">
        <v>293884809</v>
      </c>
      <c r="AA143" s="113">
        <v>314944912</v>
      </c>
      <c r="AB143" s="113">
        <v>331110047</v>
      </c>
      <c r="AC143" s="113">
        <v>356571578</v>
      </c>
      <c r="AD143" s="113">
        <v>387299199</v>
      </c>
      <c r="AE143" s="113">
        <v>419156803</v>
      </c>
      <c r="AF143" s="113">
        <v>450803767</v>
      </c>
      <c r="AG143" s="113">
        <v>453425679</v>
      </c>
      <c r="AH143" s="113">
        <v>459250726</v>
      </c>
      <c r="AI143" s="113">
        <v>460785968</v>
      </c>
      <c r="AJ143" s="113">
        <v>464219484</v>
      </c>
      <c r="AK143" s="113">
        <v>480980807</v>
      </c>
    </row>
    <row r="144" spans="2:37">
      <c r="B144" s="28" t="s">
        <v>156</v>
      </c>
      <c r="C144" s="113">
        <v>21454487</v>
      </c>
      <c r="D144" s="113">
        <v>23435147</v>
      </c>
      <c r="E144" s="113">
        <v>23500426</v>
      </c>
      <c r="F144" s="113">
        <v>24246144</v>
      </c>
      <c r="G144" s="113">
        <v>21100895</v>
      </c>
      <c r="H144" s="113">
        <v>20933293</v>
      </c>
      <c r="I144" s="113">
        <v>23222536</v>
      </c>
      <c r="J144" s="113">
        <v>24239402</v>
      </c>
      <c r="K144" s="113">
        <v>24671417</v>
      </c>
      <c r="L144" s="113">
        <v>22960684</v>
      </c>
      <c r="M144" s="113">
        <v>24353607</v>
      </c>
      <c r="N144" s="113">
        <v>26023966</v>
      </c>
      <c r="O144" s="113">
        <v>23769985</v>
      </c>
      <c r="P144" s="113">
        <v>21038957</v>
      </c>
      <c r="Q144" s="113">
        <v>16825423</v>
      </c>
      <c r="R144" s="113">
        <v>15223351</v>
      </c>
      <c r="S144" s="113">
        <v>10497887</v>
      </c>
      <c r="T144" s="113">
        <v>10677445</v>
      </c>
      <c r="U144" s="113">
        <v>11542148</v>
      </c>
      <c r="V144" s="113">
        <v>14393295</v>
      </c>
      <c r="W144" s="113">
        <v>20198279</v>
      </c>
      <c r="X144" s="113">
        <v>30888736</v>
      </c>
      <c r="Y144" s="113">
        <v>33098975</v>
      </c>
      <c r="Z144" s="113">
        <v>36179012</v>
      </c>
      <c r="AA144" s="113">
        <v>42468968</v>
      </c>
      <c r="AB144" s="113">
        <v>39069111</v>
      </c>
      <c r="AC144" s="113">
        <v>34919761</v>
      </c>
      <c r="AD144" s="113">
        <v>46364722</v>
      </c>
      <c r="AE144" s="113">
        <v>58433815</v>
      </c>
      <c r="AF144" s="113">
        <v>67981453</v>
      </c>
      <c r="AG144" s="113">
        <v>62527816</v>
      </c>
      <c r="AH144" s="113">
        <v>54930826</v>
      </c>
      <c r="AI144" s="113">
        <v>45463054</v>
      </c>
      <c r="AJ144" s="113">
        <v>35856952</v>
      </c>
      <c r="AK144" s="113">
        <v>36265526</v>
      </c>
    </row>
    <row r="145" spans="2:37">
      <c r="B145" s="28"/>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row>
    <row r="146" spans="2:37">
      <c r="B146" s="30" t="s">
        <v>256</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row>
    <row r="147" spans="2:37">
      <c r="B147" s="28" t="s">
        <v>257</v>
      </c>
      <c r="C147" s="113">
        <v>6699210</v>
      </c>
      <c r="D147" s="113">
        <v>7582243</v>
      </c>
      <c r="E147" s="113">
        <v>8832142</v>
      </c>
      <c r="F147" s="113">
        <v>9810013</v>
      </c>
      <c r="G147" s="113">
        <v>10967778</v>
      </c>
      <c r="H147" s="113">
        <v>11815923</v>
      </c>
      <c r="I147" s="113">
        <v>12932084</v>
      </c>
      <c r="J147" s="113">
        <v>13841653</v>
      </c>
      <c r="K147" s="113">
        <v>15074460</v>
      </c>
      <c r="L147" s="113">
        <v>16969105</v>
      </c>
      <c r="M147" s="113">
        <v>18661617</v>
      </c>
      <c r="N147" s="113">
        <v>20685864</v>
      </c>
      <c r="O147" s="113">
        <v>23315168</v>
      </c>
      <c r="P147" s="113">
        <v>25902074</v>
      </c>
      <c r="Q147" s="113">
        <v>27423205</v>
      </c>
      <c r="R147" s="113">
        <v>29550540</v>
      </c>
      <c r="S147" s="113">
        <v>30918224</v>
      </c>
      <c r="T147" s="113">
        <v>32950945</v>
      </c>
      <c r="U147" s="113">
        <v>35471631</v>
      </c>
      <c r="V147" s="113">
        <v>37956855</v>
      </c>
      <c r="W147" s="113">
        <v>41237025</v>
      </c>
      <c r="X147" s="113">
        <v>44367701</v>
      </c>
      <c r="Y147" s="113">
        <v>46992990</v>
      </c>
      <c r="Z147" s="113">
        <v>51649974</v>
      </c>
      <c r="AA147" s="113">
        <v>55200821</v>
      </c>
      <c r="AB147" s="113">
        <v>58724930</v>
      </c>
      <c r="AC147" s="113">
        <v>63126678</v>
      </c>
      <c r="AD147" s="113">
        <v>66156119</v>
      </c>
      <c r="AE147" s="113">
        <v>71087637</v>
      </c>
      <c r="AF147" s="113">
        <v>76377684</v>
      </c>
      <c r="AG147" s="113">
        <v>81186415</v>
      </c>
      <c r="AH147" s="113">
        <v>88366021</v>
      </c>
      <c r="AI147" s="113">
        <v>74090868</v>
      </c>
      <c r="AJ147" s="113">
        <v>77253735</v>
      </c>
      <c r="AK147" s="113">
        <v>79558140</v>
      </c>
    </row>
    <row r="148" spans="2:37">
      <c r="B148" s="28" t="s">
        <v>258</v>
      </c>
      <c r="C148" s="113">
        <v>3709393</v>
      </c>
      <c r="D148" s="113">
        <v>4220758</v>
      </c>
      <c r="E148" s="113">
        <v>4692428</v>
      </c>
      <c r="F148" s="113">
        <v>4998177</v>
      </c>
      <c r="G148" s="113">
        <v>5394329</v>
      </c>
      <c r="H148" s="113">
        <v>5717750</v>
      </c>
      <c r="I148" s="113">
        <v>6128188</v>
      </c>
      <c r="J148" s="113">
        <v>6401602</v>
      </c>
      <c r="K148" s="113">
        <v>6589453</v>
      </c>
      <c r="L148" s="113">
        <v>7080267</v>
      </c>
      <c r="M148" s="113">
        <v>7677795</v>
      </c>
      <c r="N148" s="113">
        <v>8164950</v>
      </c>
      <c r="O148" s="113">
        <v>8703233</v>
      </c>
      <c r="P148" s="113">
        <v>9052947</v>
      </c>
      <c r="Q148" s="113">
        <v>9636020</v>
      </c>
      <c r="R148" s="113">
        <v>10200231</v>
      </c>
      <c r="S148" s="113">
        <v>10627289</v>
      </c>
      <c r="T148" s="113">
        <v>11280145</v>
      </c>
      <c r="U148" s="113">
        <v>12032160</v>
      </c>
      <c r="V148" s="113">
        <v>12709551</v>
      </c>
      <c r="W148" s="113">
        <v>14055464</v>
      </c>
      <c r="X148" s="113">
        <v>14768182</v>
      </c>
      <c r="Y148" s="113">
        <v>14325238</v>
      </c>
      <c r="Z148" s="113">
        <v>15181388</v>
      </c>
      <c r="AA148" s="113">
        <v>15505997</v>
      </c>
      <c r="AB148" s="113">
        <v>17871607</v>
      </c>
      <c r="AC148" s="113">
        <v>18900491</v>
      </c>
      <c r="AD148" s="113">
        <v>20471200</v>
      </c>
      <c r="AE148" s="113">
        <v>21889574</v>
      </c>
      <c r="AF148" s="113">
        <v>23097833</v>
      </c>
      <c r="AG148" s="113">
        <v>24328655</v>
      </c>
      <c r="AH148" s="113">
        <v>25381628</v>
      </c>
      <c r="AI148" s="113">
        <v>24734604</v>
      </c>
      <c r="AJ148" s="113">
        <v>24646113</v>
      </c>
      <c r="AK148" s="113">
        <v>25309005</v>
      </c>
    </row>
    <row r="149" spans="2:37">
      <c r="B149" s="28" t="s">
        <v>259</v>
      </c>
      <c r="C149" s="113">
        <v>30288464</v>
      </c>
      <c r="D149" s="113">
        <v>34010610</v>
      </c>
      <c r="E149" s="113">
        <v>37095522</v>
      </c>
      <c r="F149" s="113">
        <v>39019473</v>
      </c>
      <c r="G149" s="113">
        <v>42374881</v>
      </c>
      <c r="H149" s="113">
        <v>46644511</v>
      </c>
      <c r="I149" s="113">
        <v>50345533</v>
      </c>
      <c r="J149" s="113">
        <v>53588805</v>
      </c>
      <c r="K149" s="113">
        <v>55566266</v>
      </c>
      <c r="L149" s="113">
        <v>60550035</v>
      </c>
      <c r="M149" s="113">
        <v>66029427</v>
      </c>
      <c r="N149" s="113">
        <v>70900408</v>
      </c>
      <c r="O149" s="113">
        <v>75045759</v>
      </c>
      <c r="P149" s="113">
        <v>79605638</v>
      </c>
      <c r="Q149" s="113">
        <v>81647535</v>
      </c>
      <c r="R149" s="113">
        <v>87336907</v>
      </c>
      <c r="S149" s="113">
        <v>90623682</v>
      </c>
      <c r="T149" s="113">
        <v>95313070</v>
      </c>
      <c r="U149" s="113">
        <v>101094489</v>
      </c>
      <c r="V149" s="113">
        <v>110364877</v>
      </c>
      <c r="W149" s="113">
        <v>119716535</v>
      </c>
      <c r="X149" s="113">
        <v>130091553</v>
      </c>
      <c r="Y149" s="113">
        <v>142488411</v>
      </c>
      <c r="Z149" s="113">
        <v>148495140</v>
      </c>
      <c r="AA149" s="113">
        <v>156821715</v>
      </c>
      <c r="AB149" s="113">
        <v>163560040</v>
      </c>
      <c r="AC149" s="113">
        <v>172107291</v>
      </c>
      <c r="AD149" s="113">
        <v>182898920</v>
      </c>
      <c r="AE149" s="113">
        <v>200278702</v>
      </c>
      <c r="AF149" s="113">
        <v>210124089</v>
      </c>
      <c r="AG149" s="113">
        <v>217124903</v>
      </c>
      <c r="AH149" s="113">
        <v>225442038</v>
      </c>
      <c r="AI149" s="113">
        <v>230158319</v>
      </c>
      <c r="AJ149" s="113">
        <v>231400692</v>
      </c>
      <c r="AK149" s="113">
        <v>239432510</v>
      </c>
    </row>
    <row r="150" spans="2:37">
      <c r="B150" s="28" t="s">
        <v>260</v>
      </c>
      <c r="C150" s="113">
        <v>3630795</v>
      </c>
      <c r="D150" s="113">
        <v>4103669</v>
      </c>
      <c r="E150" s="113">
        <v>4474397</v>
      </c>
      <c r="F150" s="113">
        <v>4800632</v>
      </c>
      <c r="G150" s="113">
        <v>5238021</v>
      </c>
      <c r="H150" s="113">
        <v>5671495</v>
      </c>
      <c r="I150" s="113">
        <v>6189575</v>
      </c>
      <c r="J150" s="113">
        <v>6483904</v>
      </c>
      <c r="K150" s="113">
        <v>7121423</v>
      </c>
      <c r="L150" s="113">
        <v>7000235</v>
      </c>
      <c r="M150" s="113">
        <v>7388857</v>
      </c>
      <c r="N150" s="113">
        <v>7848256</v>
      </c>
      <c r="O150" s="113">
        <v>9081819</v>
      </c>
      <c r="P150" s="113">
        <v>8502931</v>
      </c>
      <c r="Q150" s="113">
        <v>9223642</v>
      </c>
      <c r="R150" s="113">
        <v>9711574</v>
      </c>
      <c r="S150" s="113">
        <v>10111819</v>
      </c>
      <c r="T150" s="113">
        <v>10747931</v>
      </c>
      <c r="U150" s="113">
        <v>11779386</v>
      </c>
      <c r="V150" s="113">
        <v>12351492</v>
      </c>
      <c r="W150" s="113">
        <v>14635159</v>
      </c>
      <c r="X150" s="113">
        <v>16066301</v>
      </c>
      <c r="Y150" s="113">
        <v>14325442</v>
      </c>
      <c r="Z150" s="113">
        <v>15691792</v>
      </c>
      <c r="AA150" s="113">
        <v>15828602</v>
      </c>
      <c r="AB150" s="113">
        <v>18443210</v>
      </c>
      <c r="AC150" s="113">
        <v>19481985</v>
      </c>
      <c r="AD150" s="113">
        <v>21230085</v>
      </c>
      <c r="AE150" s="113">
        <v>22652956</v>
      </c>
      <c r="AF150" s="113">
        <v>24506669</v>
      </c>
      <c r="AG150" s="113">
        <v>26390039</v>
      </c>
      <c r="AH150" s="113">
        <v>27546831</v>
      </c>
      <c r="AI150" s="113">
        <v>29282414</v>
      </c>
      <c r="AJ150" s="113">
        <v>29485914</v>
      </c>
      <c r="AK150" s="113">
        <v>29544267</v>
      </c>
    </row>
    <row r="151" spans="2:37">
      <c r="B151" s="28" t="s">
        <v>261</v>
      </c>
      <c r="C151" s="113">
        <f>C149+C150-C147-C148</f>
        <v>23510656</v>
      </c>
      <c r="D151" s="113">
        <f t="shared" ref="D151:AK151" si="2">D149+D150-D147-D148</f>
        <v>26311278</v>
      </c>
      <c r="E151" s="113">
        <f t="shared" si="2"/>
        <v>28045349</v>
      </c>
      <c r="F151" s="113">
        <f t="shared" si="2"/>
        <v>29011915</v>
      </c>
      <c r="G151" s="113">
        <f t="shared" si="2"/>
        <v>31250795</v>
      </c>
      <c r="H151" s="113">
        <f t="shared" si="2"/>
        <v>34782333</v>
      </c>
      <c r="I151" s="113">
        <f t="shared" si="2"/>
        <v>37474836</v>
      </c>
      <c r="J151" s="113">
        <f t="shared" si="2"/>
        <v>39829454</v>
      </c>
      <c r="K151" s="113">
        <f t="shared" si="2"/>
        <v>41023776</v>
      </c>
      <c r="L151" s="113">
        <f t="shared" si="2"/>
        <v>43500898</v>
      </c>
      <c r="M151" s="113">
        <f t="shared" si="2"/>
        <v>47078872</v>
      </c>
      <c r="N151" s="113">
        <f t="shared" si="2"/>
        <v>49897850</v>
      </c>
      <c r="O151" s="113">
        <f t="shared" si="2"/>
        <v>52109177</v>
      </c>
      <c r="P151" s="113">
        <f t="shared" si="2"/>
        <v>53153548</v>
      </c>
      <c r="Q151" s="113">
        <f t="shared" si="2"/>
        <v>53811952</v>
      </c>
      <c r="R151" s="113">
        <f t="shared" si="2"/>
        <v>57297710</v>
      </c>
      <c r="S151" s="113">
        <f t="shared" si="2"/>
        <v>59189988</v>
      </c>
      <c r="T151" s="113">
        <f t="shared" si="2"/>
        <v>61829911</v>
      </c>
      <c r="U151" s="113">
        <f t="shared" si="2"/>
        <v>65370084</v>
      </c>
      <c r="V151" s="113">
        <f t="shared" si="2"/>
        <v>72049963</v>
      </c>
      <c r="W151" s="113">
        <f t="shared" si="2"/>
        <v>79059205</v>
      </c>
      <c r="X151" s="113">
        <f t="shared" si="2"/>
        <v>87021971</v>
      </c>
      <c r="Y151" s="113">
        <f t="shared" si="2"/>
        <v>95495625</v>
      </c>
      <c r="Z151" s="113">
        <f t="shared" si="2"/>
        <v>97355570</v>
      </c>
      <c r="AA151" s="113">
        <f t="shared" si="2"/>
        <v>101943499</v>
      </c>
      <c r="AB151" s="113">
        <f t="shared" si="2"/>
        <v>105406713</v>
      </c>
      <c r="AC151" s="113">
        <f t="shared" si="2"/>
        <v>109562107</v>
      </c>
      <c r="AD151" s="113">
        <f t="shared" si="2"/>
        <v>117501686</v>
      </c>
      <c r="AE151" s="113">
        <f t="shared" si="2"/>
        <v>129954447</v>
      </c>
      <c r="AF151" s="113">
        <f t="shared" si="2"/>
        <v>135155241</v>
      </c>
      <c r="AG151" s="113">
        <f t="shared" si="2"/>
        <v>137999872</v>
      </c>
      <c r="AH151" s="113">
        <f t="shared" si="2"/>
        <v>139241220</v>
      </c>
      <c r="AI151" s="113">
        <f t="shared" si="2"/>
        <v>160615261</v>
      </c>
      <c r="AJ151" s="113">
        <f t="shared" si="2"/>
        <v>158986758</v>
      </c>
      <c r="AK151" s="113">
        <f t="shared" si="2"/>
        <v>164109632</v>
      </c>
    </row>
    <row r="152" spans="2:37">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row>
    <row r="153" spans="2:37">
      <c r="B153" s="30" t="s">
        <v>141</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row>
    <row r="154" spans="2:37">
      <c r="B154" s="28"/>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row>
    <row r="155" spans="2:37">
      <c r="B155" s="27" t="s">
        <v>139</v>
      </c>
      <c r="C155" s="113">
        <v>34369350</v>
      </c>
      <c r="D155" s="113">
        <v>38318447</v>
      </c>
      <c r="E155" s="113">
        <v>42139862</v>
      </c>
      <c r="F155" s="113">
        <v>45690750</v>
      </c>
      <c r="G155" s="113">
        <v>49656035</v>
      </c>
      <c r="H155" s="113">
        <v>54355149</v>
      </c>
      <c r="I155" s="113">
        <v>58569490</v>
      </c>
      <c r="J155" s="113">
        <v>63899174</v>
      </c>
      <c r="K155" s="113">
        <v>71422923</v>
      </c>
      <c r="L155" s="113">
        <v>79050251</v>
      </c>
      <c r="M155" s="113">
        <v>90946539</v>
      </c>
      <c r="N155" s="113">
        <v>107452133</v>
      </c>
      <c r="O155" s="113">
        <v>144805389</v>
      </c>
      <c r="P155" s="113">
        <v>156995372</v>
      </c>
      <c r="Q155" s="113">
        <v>169007770</v>
      </c>
      <c r="R155" s="113">
        <v>180987182</v>
      </c>
      <c r="S155" s="113">
        <v>183765546</v>
      </c>
      <c r="T155" s="113">
        <v>190559028</v>
      </c>
      <c r="U155" s="113">
        <v>196340693</v>
      </c>
      <c r="V155" s="113">
        <v>207887426</v>
      </c>
      <c r="W155" s="113">
        <v>227722209</v>
      </c>
      <c r="X155" s="113">
        <v>249129191</v>
      </c>
      <c r="Y155" s="113">
        <v>274984941</v>
      </c>
      <c r="Z155" s="113">
        <v>300478190</v>
      </c>
      <c r="AA155" s="113">
        <v>330317793</v>
      </c>
      <c r="AB155" s="113">
        <v>357618857</v>
      </c>
      <c r="AC155" s="113">
        <v>363634777</v>
      </c>
      <c r="AD155" s="113">
        <v>378628374</v>
      </c>
      <c r="AE155" s="113">
        <v>404075129</v>
      </c>
      <c r="AF155" s="113">
        <v>428857925</v>
      </c>
      <c r="AG155" s="113">
        <v>451283402</v>
      </c>
      <c r="AH155" s="113">
        <v>485616391</v>
      </c>
      <c r="AI155" s="113">
        <v>492310970</v>
      </c>
      <c r="AJ155" s="113">
        <v>521140233</v>
      </c>
      <c r="AK155" s="113">
        <v>550066527</v>
      </c>
    </row>
  </sheetData>
  <mergeCells count="1">
    <mergeCell ref="C2:AK2"/>
  </mergeCells>
  <pageMargins left="0.7" right="0.7" top="0.75" bottom="0.75" header="0.3" footer="0.3"/>
  <pageSetup orientation="portrait"/>
  <ignoredErrors>
    <ignoredError sqref="C85:AK93 C65:AK83 C33:AK63 C5:AK29 D30:AK30 C145:AK146 C151:AK154" formulaRang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2"/>
  <sheetViews>
    <sheetView workbookViewId="0">
      <pane xSplit="1" ySplit="1" topLeftCell="B4" activePane="bottomRight" state="frozen"/>
      <selection pane="topRight" activeCell="B1" sqref="B1"/>
      <selection pane="bottomLeft" activeCell="A2" sqref="A2"/>
      <selection pane="bottomRight" activeCell="A29" sqref="A29"/>
    </sheetView>
  </sheetViews>
  <sheetFormatPr baseColWidth="10" defaultColWidth="8.83203125" defaultRowHeight="14" x14ac:dyDescent="0"/>
  <cols>
    <col min="1" max="1" width="72.6640625" customWidth="1"/>
    <col min="2" max="2" width="9.6640625" bestFit="1" customWidth="1"/>
    <col min="36" max="36" width="11.33203125" customWidth="1"/>
  </cols>
  <sheetData>
    <row r="1" spans="1:36">
      <c r="A1" s="12" t="s">
        <v>244</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row>
    <row r="3" spans="1:36">
      <c r="A3" s="1" t="s">
        <v>0</v>
      </c>
      <c r="B3">
        <f>'Federal P&amp;L'!B3+'State and Local P&amp;L'!B3-'State and Local P&amp;L'!B23</f>
        <v>770234475</v>
      </c>
      <c r="C3">
        <f>'Federal P&amp;L'!C3+'State and Local P&amp;L'!C3-'State and Local P&amp;L'!C23</f>
        <v>886091027</v>
      </c>
      <c r="D3">
        <f>'Federal P&amp;L'!D3+'State and Local P&amp;L'!D3-'State and Local P&amp;L'!D23</f>
        <v>928593522</v>
      </c>
      <c r="E3">
        <f>'Federal P&amp;L'!E3+'State and Local P&amp;L'!E3-'State and Local P&amp;L'!E23</f>
        <v>943487780</v>
      </c>
      <c r="F3">
        <f>'Federal P&amp;L'!F3+'State and Local P&amp;L'!F3-'State and Local P&amp;L'!F23</f>
        <v>1049722301</v>
      </c>
      <c r="G3">
        <f>'Federal P&amp;L'!G3+'State and Local P&amp;L'!G3-'State and Local P&amp;L'!G23</f>
        <v>1156591168</v>
      </c>
      <c r="H3">
        <f>'Federal P&amp;L'!H3+'State and Local P&amp;L'!H3-'State and Local P&amp;L'!H23</f>
        <v>1232437055</v>
      </c>
      <c r="I3">
        <f>'Federal P&amp;L'!I3+'State and Local P&amp;L'!I3-'State and Local P&amp;L'!I23</f>
        <v>1363313105</v>
      </c>
      <c r="J3">
        <f>'Federal P&amp;L'!J3+'State and Local P&amp;L'!J3-'State and Local P&amp;L'!J23</f>
        <v>1433268181</v>
      </c>
      <c r="K3">
        <f>'Federal P&amp;L'!K3+'State and Local P&amp;L'!K3-'State and Local P&amp;L'!K23</f>
        <v>1550889931</v>
      </c>
      <c r="L3">
        <f>'Federal P&amp;L'!L3+'State and Local P&amp;L'!L3-'State and Local P&amp;L'!L23</f>
        <v>1639391158</v>
      </c>
      <c r="M3">
        <f>'Federal P&amp;L'!M3+'State and Local P&amp;L'!M3-'State and Local P&amp;L'!M23</f>
        <v>1679769412</v>
      </c>
      <c r="N3">
        <f>'Federal P&amp;L'!N3+'State and Local P&amp;L'!N3-'State and Local P&amp;L'!N23</f>
        <v>1776447330</v>
      </c>
      <c r="O3">
        <f>'Federal P&amp;L'!O3+'State and Local P&amp;L'!O3-'State and Local P&amp;L'!O23</f>
        <v>1882619100</v>
      </c>
      <c r="P3">
        <f>'Federal P&amp;L'!P3+'State and Local P&amp;L'!P3-'State and Local P&amp;L'!P23</f>
        <v>2017584478</v>
      </c>
      <c r="Q3">
        <f>'Federal P&amp;L'!Q3+'State and Local P&amp;L'!Q3-'State and Local P&amp;L'!Q23</f>
        <v>2162181048</v>
      </c>
      <c r="R3">
        <f>'Federal P&amp;L'!R3+'State and Local P&amp;L'!R3-'State and Local P&amp;L'!R23</f>
        <v>2330558229</v>
      </c>
      <c r="S3">
        <f>'Federal P&amp;L'!S3+'State and Local P&amp;L'!S3-'State and Local P&amp;L'!S23</f>
        <v>2543821543</v>
      </c>
      <c r="T3">
        <f>'Federal P&amp;L'!T3+'State and Local P&amp;L'!T3-'State and Local P&amp;L'!T23</f>
        <v>2774177695</v>
      </c>
      <c r="U3">
        <f>'Federal P&amp;L'!U3+'State and Local P&amp;L'!U3-'State and Local P&amp;L'!U23</f>
        <v>2915303245</v>
      </c>
      <c r="V3">
        <f>'Federal P&amp;L'!V3+'State and Local P&amp;L'!V3-'State and Local P&amp;L'!V23</f>
        <v>3216311901</v>
      </c>
      <c r="W3">
        <f>'Federal P&amp;L'!W3+'State and Local P&amp;L'!W3-'State and Local P&amp;L'!W23</f>
        <v>3063051086</v>
      </c>
      <c r="X3">
        <f>'Federal P&amp;L'!X3+'State and Local P&amp;L'!X3-'State and Local P&amp;L'!X23</f>
        <v>2785577241</v>
      </c>
      <c r="Y3">
        <f>'Federal P&amp;L'!Y3+'State and Local P&amp;L'!Y3-'State and Local P&amp;L'!Y23</f>
        <v>2903951582</v>
      </c>
      <c r="Z3">
        <f>'Federal P&amp;L'!Z3+'State and Local P&amp;L'!Z3-'State and Local P&amp;L'!Z23</f>
        <v>3323158594</v>
      </c>
      <c r="AA3">
        <f>'Federal P&amp;L'!AA3+'State and Local P&amp;L'!AA3-'State and Local P&amp;L'!AA23</f>
        <v>3643024514</v>
      </c>
      <c r="AB3">
        <f>'Federal P&amp;L'!AB3+'State and Local P&amp;L'!AB3-'State and Local P&amp;L'!AB23</f>
        <v>4040386568</v>
      </c>
      <c r="AC3">
        <f>'Federal P&amp;L'!AC3+'State and Local P&amp;L'!AC3-'State and Local P&amp;L'!AC23</f>
        <v>4485053666</v>
      </c>
      <c r="AD3">
        <f>'Federal P&amp;L'!AD3+'State and Local P&amp;L'!AD3-'State and Local P&amp;L'!AD23</f>
        <v>3948796423</v>
      </c>
      <c r="AE3">
        <f>'Federal P&amp;L'!AE3+'State and Local P&amp;L'!AE3-'State and Local P&amp;L'!AE23</f>
        <v>2932360080</v>
      </c>
      <c r="AF3">
        <f>'Federal P&amp;L'!AF3+'State and Local P&amp;L'!AF3-'State and Local P&amp;L'!AF23</f>
        <v>3935840633</v>
      </c>
      <c r="AG3">
        <f>'Federal P&amp;L'!AG3+'State and Local P&amp;L'!AG3-'State and Local P&amp;L'!AG23</f>
        <v>4283234817</v>
      </c>
      <c r="AH3">
        <f>'Federal P&amp;L'!AH3+'State and Local P&amp;L'!AH3-'State and Local P&amp;L'!AH23</f>
        <v>4103225645</v>
      </c>
      <c r="AI3">
        <f>'Federal P&amp;L'!AI3+'State and Local P&amp;L'!AI3-'State and Local P&amp;L'!AI23</f>
        <v>4780262698</v>
      </c>
      <c r="AJ3">
        <f>'Federal P&amp;L'!AJ3+'State and Local P&amp;L'!AJ3-'State and Local P&amp;L'!AJ23</f>
        <v>5217217757</v>
      </c>
    </row>
    <row r="4" spans="1:36">
      <c r="A4" s="2" t="s">
        <v>1</v>
      </c>
      <c r="B4">
        <f>'Federal P&amp;L'!B4+'State and Local P&amp;L'!B4</f>
        <v>726848652</v>
      </c>
      <c r="C4">
        <f>'Federal P&amp;L'!C4+'State and Local P&amp;L'!C4</f>
        <v>829128064</v>
      </c>
      <c r="D4">
        <f>'Federal P&amp;L'!D4+'State and Local P&amp;L'!D4</f>
        <v>867460743</v>
      </c>
      <c r="E4">
        <f>'Federal P&amp;L'!E4+'State and Local P&amp;L'!E4</f>
        <v>869673489</v>
      </c>
      <c r="F4">
        <f>'Federal P&amp;L'!F4+'State and Local P&amp;L'!F4</f>
        <v>970680686</v>
      </c>
      <c r="G4">
        <f>'Federal P&amp;L'!G4+'State and Local P&amp;L'!G4</f>
        <v>1067850101</v>
      </c>
      <c r="H4">
        <f>'Federal P&amp;L'!H4+'State and Local P&amp;L'!H4</f>
        <v>1124741712</v>
      </c>
      <c r="I4">
        <f>'Federal P&amp;L'!I4+'State and Local P&amp;L'!I4</f>
        <v>1242995483</v>
      </c>
      <c r="J4">
        <f>'Federal P&amp;L'!J4+'State and Local P&amp;L'!J4</f>
        <v>1329261443</v>
      </c>
      <c r="K4">
        <f>'Federal P&amp;L'!K4+'State and Local P&amp;L'!K4</f>
        <v>1441799788</v>
      </c>
      <c r="L4">
        <f>'Federal P&amp;L'!L4+'State and Local P&amp;L'!L4</f>
        <v>1511709993</v>
      </c>
      <c r="M4">
        <f>'Federal P&amp;L'!M4+'State and Local P&amp;L'!M4</f>
        <v>1563333694</v>
      </c>
      <c r="N4">
        <f>'Federal P&amp;L'!N4+'State and Local P&amp;L'!N4</f>
        <v>1631203367</v>
      </c>
      <c r="O4">
        <f>'Federal P&amp;L'!O4+'State and Local P&amp;L'!O4</f>
        <v>1737426227</v>
      </c>
      <c r="P4">
        <f>'Federal P&amp;L'!P4+'State and Local P&amp;L'!P4</f>
        <v>1869571680</v>
      </c>
      <c r="Q4">
        <f>'Federal P&amp;L'!Q4+'State and Local P&amp;L'!Q4</f>
        <v>1992644648</v>
      </c>
      <c r="R4">
        <f>'Federal P&amp;L'!R4+'State and Local P&amp;L'!R4</f>
        <v>2125103760</v>
      </c>
      <c r="S4">
        <f>'Federal P&amp;L'!S4+'State and Local P&amp;L'!S4</f>
        <v>2291763005</v>
      </c>
      <c r="T4">
        <f>'Federal P&amp;L'!T4+'State and Local P&amp;L'!T4</f>
        <v>2475128747</v>
      </c>
      <c r="U4">
        <f>'Federal P&amp;L'!U4+'State and Local P&amp;L'!U4</f>
        <v>2620898139</v>
      </c>
      <c r="V4">
        <f>'Federal P&amp;L'!V4+'State and Local P&amp;L'!V4</f>
        <v>2869087568</v>
      </c>
      <c r="W4">
        <f>'Federal P&amp;L'!W4+'State and Local P&amp;L'!W4</f>
        <v>2883131885</v>
      </c>
      <c r="X4">
        <f>'Federal P&amp;L'!X4+'State and Local P&amp;L'!X4</f>
        <v>2742277241</v>
      </c>
      <c r="Y4">
        <f>'Federal P&amp;L'!Y4+'State and Local P&amp;L'!Y4</f>
        <v>2707023994</v>
      </c>
      <c r="Z4">
        <f>'Federal P&amp;L'!Z4+'State and Local P&amp;L'!Z4</f>
        <v>2880998625</v>
      </c>
      <c r="AA4">
        <f>'Federal P&amp;L'!AA4+'State and Local P&amp;L'!AA4</f>
        <v>3243612536</v>
      </c>
      <c r="AB4">
        <f>'Federal P&amp;L'!AB4+'State and Local P&amp;L'!AB4</f>
        <v>3594023134</v>
      </c>
      <c r="AC4">
        <f>'Federal P&amp;L'!AC4+'State and Local P&amp;L'!AC4</f>
        <v>3831156635</v>
      </c>
      <c r="AD4">
        <f>'Federal P&amp;L'!AD4+'State and Local P&amp;L'!AD4</f>
        <v>3832957599</v>
      </c>
      <c r="AE4">
        <f>'Federal P&amp;L'!AE4+'State and Local P&amp;L'!AE4</f>
        <v>3365355466</v>
      </c>
      <c r="AF4">
        <f>'Federal P&amp;L'!AF4+'State and Local P&amp;L'!AF4</f>
        <v>3376897717</v>
      </c>
      <c r="AG4">
        <f>'Federal P&amp;L'!AG4+'State and Local P&amp;L'!AG4</f>
        <v>3576988860</v>
      </c>
      <c r="AH4">
        <f>'Federal P&amp;L'!AH4+'State and Local P&amp;L'!AH4</f>
        <v>3765899821</v>
      </c>
      <c r="AI4">
        <f>'Federal P&amp;L'!AI4+'State and Local P&amp;L'!AI4</f>
        <v>4159230411</v>
      </c>
      <c r="AJ4">
        <f>'Federal P&amp;L'!AJ4+'State and Local P&amp;L'!AJ4</f>
        <v>4411212655</v>
      </c>
    </row>
    <row r="5" spans="1:36">
      <c r="A5" s="3" t="s">
        <v>3</v>
      </c>
      <c r="B5">
        <f>'Federal P&amp;L'!B5+'State and Local P&amp;L'!B5</f>
        <v>286148662</v>
      </c>
      <c r="C5">
        <f>'Federal P&amp;L'!C5+'State and Local P&amp;L'!C5</f>
        <v>332343526</v>
      </c>
      <c r="D5">
        <f>'Federal P&amp;L'!D5+'State and Local P&amp;L'!D5</f>
        <v>348482656</v>
      </c>
      <c r="E5">
        <f>'Federal P&amp;L'!E5+'State and Local P&amp;L'!E5</f>
        <v>344066741</v>
      </c>
      <c r="F5">
        <f>'Federal P&amp;L'!F5+'State and Local P&amp;L'!F5</f>
        <v>363286781</v>
      </c>
      <c r="G5">
        <f>'Federal P&amp;L'!G5+'State and Local P&amp;L'!G5</f>
        <v>404892421</v>
      </c>
      <c r="H5">
        <f>'Federal P&amp;L'!H5+'State and Local P&amp;L'!H5</f>
        <v>423324323</v>
      </c>
      <c r="I5">
        <f>'Federal P&amp;L'!I5+'State and Local P&amp;L'!I5</f>
        <v>476491743</v>
      </c>
      <c r="J5">
        <f>'Federal P&amp;L'!J5+'State and Local P&amp;L'!J5</f>
        <v>489530608</v>
      </c>
      <c r="K5">
        <f>'Federal P&amp;L'!K5+'State and Local P&amp;L'!K5</f>
        <v>543495979</v>
      </c>
      <c r="L5">
        <f>'Federal P&amp;L'!L5+'State and Local P&amp;L'!L5</f>
        <v>572524024</v>
      </c>
      <c r="M5">
        <f>'Federal P&amp;L'!M5+'State and Local P&amp;L'!M5</f>
        <v>577168275</v>
      </c>
      <c r="N5">
        <f>'Federal P&amp;L'!N5+'State and Local P&amp;L'!N5</f>
        <v>591528329</v>
      </c>
      <c r="O5">
        <f>'Federal P&amp;L'!O5+'State and Local P&amp;L'!O5</f>
        <v>632915522</v>
      </c>
      <c r="P5">
        <f>'Federal P&amp;L'!P5+'State and Local P&amp;L'!P5</f>
        <v>671864672</v>
      </c>
      <c r="Q5">
        <f>'Federal P&amp;L'!Q5+'State and Local P&amp;L'!Q5</f>
        <v>728174595</v>
      </c>
      <c r="R5">
        <f>'Federal P&amp;L'!R5+'State and Local P&amp;L'!R5</f>
        <v>803259248</v>
      </c>
      <c r="S5">
        <f>'Federal P&amp;L'!S5+'State and Local P&amp;L'!S5</f>
        <v>896535891</v>
      </c>
      <c r="T5">
        <f>'Federal P&amp;L'!T5+'State and Local P&amp;L'!T5</f>
        <v>1004216035</v>
      </c>
      <c r="U5">
        <f>'Federal P&amp;L'!U5+'State and Local P&amp;L'!U5</f>
        <v>1068788854</v>
      </c>
      <c r="V5">
        <f>'Federal P&amp;L'!V5+'State and Local P&amp;L'!V5</f>
        <v>1216122682</v>
      </c>
      <c r="W5">
        <f>'Federal P&amp;L'!W5+'State and Local P&amp;L'!W5</f>
        <v>1220672547</v>
      </c>
      <c r="X5">
        <f>'Federal P&amp;L'!X5+'State and Local P&amp;L'!X5</f>
        <v>1061177254</v>
      </c>
      <c r="Y5">
        <f>'Federal P&amp;L'!Y5+'State and Local P&amp;L'!Y5</f>
        <v>993106020</v>
      </c>
      <c r="Z5">
        <f>'Federal P&amp;L'!Z5+'State and Local P&amp;L'!Z5</f>
        <v>1024173769</v>
      </c>
      <c r="AA5">
        <f>'Federal P&amp;L'!AA5+'State and Local P&amp;L'!AA5</f>
        <v>1169495042</v>
      </c>
      <c r="AB5">
        <f>'Federal P&amp;L'!AB5+'State and Local P&amp;L'!AB5</f>
        <v>1312575132</v>
      </c>
      <c r="AC5">
        <f>'Federal P&amp;L'!AC5+'State and Local P&amp;L'!AC5</f>
        <v>1453750113</v>
      </c>
      <c r="AD5">
        <f>'Federal P&amp;L'!AD5+'State and Local P&amp;L'!AD5</f>
        <v>1450649076</v>
      </c>
      <c r="AE5">
        <f>'Federal P&amp;L'!AE5+'State and Local P&amp;L'!AE5</f>
        <v>1186249521</v>
      </c>
      <c r="AF5">
        <f>'Federal P&amp;L'!AF5+'State and Local P&amp;L'!AF5</f>
        <v>1160059473</v>
      </c>
      <c r="AG5">
        <f>'Federal P&amp;L'!AG5+'State and Local P&amp;L'!AG5</f>
        <v>1376766135</v>
      </c>
      <c r="AH5">
        <f>'Federal P&amp;L'!AH5+'State and Local P&amp;L'!AH5</f>
        <v>1439461616</v>
      </c>
      <c r="AI5">
        <f>'Federal P&amp;L'!AI5+'State and Local P&amp;L'!AI5</f>
        <v>1655114576</v>
      </c>
      <c r="AJ5">
        <f>'Federal P&amp;L'!AJ5+'State and Local P&amp;L'!AJ5</f>
        <v>1735703706</v>
      </c>
    </row>
    <row r="6" spans="1:36">
      <c r="A6" s="3" t="s">
        <v>6</v>
      </c>
      <c r="B6">
        <f>'Federal P&amp;L'!B7</f>
        <v>155537189</v>
      </c>
      <c r="C6">
        <f>'Federal P&amp;L'!C7</f>
        <v>180497726</v>
      </c>
      <c r="D6">
        <f>'Federal P&amp;L'!D7</f>
        <v>199365036</v>
      </c>
      <c r="E6">
        <f>'Federal P&amp;L'!E7</f>
        <v>207644920</v>
      </c>
      <c r="F6">
        <f>'Federal P&amp;L'!F7</f>
        <v>238314793</v>
      </c>
      <c r="G6">
        <f>'Federal P&amp;L'!G7</f>
        <v>264703685</v>
      </c>
      <c r="H6">
        <f>'Federal P&amp;L'!H7</f>
        <v>283912398</v>
      </c>
      <c r="I6">
        <f>'Federal P&amp;L'!I7</f>
        <v>303887951</v>
      </c>
      <c r="J6">
        <f>'Federal P&amp;L'!J7</f>
        <v>335768060</v>
      </c>
      <c r="K6">
        <f>'Federal P&amp;L'!K7</f>
        <v>361556549</v>
      </c>
      <c r="L6">
        <f>'Federal P&amp;L'!L7</f>
        <v>382955992</v>
      </c>
      <c r="M6">
        <f>'Federal P&amp;L'!M7</f>
        <v>399313772</v>
      </c>
      <c r="N6">
        <f>'Federal P&amp;L'!N7</f>
        <v>417621876</v>
      </c>
      <c r="O6">
        <f>'Federal P&amp;L'!O7</f>
        <v>432829147</v>
      </c>
      <c r="P6">
        <f>'Federal P&amp;L'!P7</f>
        <v>466012437</v>
      </c>
      <c r="Q6">
        <f>'Federal P&amp;L'!Q7</f>
        <v>489111000</v>
      </c>
      <c r="R6">
        <f>'Federal P&amp;L'!R7</f>
        <v>513821000</v>
      </c>
      <c r="S6">
        <f>'Federal P&amp;L'!S7</f>
        <v>544133000</v>
      </c>
      <c r="T6">
        <f>'Federal P&amp;L'!T7</f>
        <v>577208000</v>
      </c>
      <c r="U6">
        <f>'Federal P&amp;L'!U7</f>
        <v>617389000</v>
      </c>
      <c r="V6">
        <f>'Federal P&amp;L'!V7</f>
        <v>658744000</v>
      </c>
      <c r="W6">
        <f>'Federal P&amp;L'!W7</f>
        <v>700289000</v>
      </c>
      <c r="X6">
        <f>'Federal P&amp;L'!X7</f>
        <v>708405000</v>
      </c>
      <c r="Y6">
        <f>'Federal P&amp;L'!Y7</f>
        <v>721624000</v>
      </c>
      <c r="Z6">
        <f>'Federal P&amp;L'!Z7</f>
        <v>743408000</v>
      </c>
      <c r="AA6">
        <f>'Federal P&amp;L'!AA7</f>
        <v>804682000</v>
      </c>
      <c r="AB6">
        <f>'Federal P&amp;L'!AB7</f>
        <v>849320000</v>
      </c>
      <c r="AC6">
        <f>'Federal P&amp;L'!AC7</f>
        <v>881942000</v>
      </c>
      <c r="AD6">
        <f>'Federal P&amp;L'!AD7</f>
        <v>913555000</v>
      </c>
      <c r="AE6">
        <f>'Federal P&amp;L'!AE7</f>
        <v>906005000</v>
      </c>
      <c r="AF6">
        <f>'Federal P&amp;L'!AF7</f>
        <v>880923000</v>
      </c>
      <c r="AG6">
        <f>'Federal P&amp;L'!AG7</f>
        <v>835290000</v>
      </c>
      <c r="AH6">
        <f>'Federal P&amp;L'!AH7</f>
        <v>862646000</v>
      </c>
      <c r="AI6">
        <f>'Federal P&amp;L'!AI7</f>
        <v>965755000</v>
      </c>
      <c r="AJ6">
        <f>'Federal P&amp;L'!AJ7</f>
        <v>1040773000</v>
      </c>
    </row>
    <row r="7" spans="1:36">
      <c r="A7" s="4" t="s">
        <v>54</v>
      </c>
      <c r="B7">
        <f>'Federal P&amp;L'!B8</f>
        <v>114412955</v>
      </c>
      <c r="C7">
        <f>'Federal P&amp;L'!C8</f>
        <v>131605620</v>
      </c>
      <c r="D7">
        <f>'Federal P&amp;L'!D8</f>
        <v>145112894</v>
      </c>
      <c r="E7">
        <f>'Federal P&amp;L'!E8</f>
        <v>149098287</v>
      </c>
      <c r="F7">
        <f>'Federal P&amp;L'!F8</f>
        <v>168118948</v>
      </c>
      <c r="G7">
        <f>'Federal P&amp;L'!G8</f>
        <v>188679481</v>
      </c>
      <c r="H7">
        <f>'Federal P&amp;L'!H8</f>
        <v>203085310</v>
      </c>
      <c r="I7">
        <f>'Federal P&amp;L'!I8</f>
        <v>216701396</v>
      </c>
      <c r="J7">
        <f>'Federal P&amp;L'!J8</f>
        <v>245561890</v>
      </c>
      <c r="K7">
        <f>'Federal P&amp;L'!K8</f>
        <v>268188263</v>
      </c>
      <c r="L7">
        <f>'Federal P&amp;L'!L8</f>
        <v>286722389</v>
      </c>
      <c r="M7">
        <f>'Federal P&amp;L'!M8</f>
        <v>299295400</v>
      </c>
      <c r="N7">
        <f>'Federal P&amp;L'!N8</f>
        <v>308164762</v>
      </c>
      <c r="O7">
        <f>'Federal P&amp;L'!O8</f>
        <v>318009717</v>
      </c>
      <c r="P7">
        <f>'Federal P&amp;L'!P8</f>
        <v>341098090</v>
      </c>
      <c r="Q7">
        <f>'Federal P&amp;L'!Q8</f>
        <v>357219000</v>
      </c>
      <c r="R7">
        <f>'Federal P&amp;L'!R8</f>
        <v>373460000</v>
      </c>
      <c r="S7">
        <f>'Federal P&amp;L'!S8</f>
        <v>398173000</v>
      </c>
      <c r="T7">
        <f>'Federal P&amp;L'!T8</f>
        <v>422569000</v>
      </c>
      <c r="U7">
        <f>'Federal P&amp;L'!U8</f>
        <v>451589000</v>
      </c>
      <c r="V7">
        <f>'Federal P&amp;L'!V8</f>
        <v>488212000</v>
      </c>
      <c r="W7">
        <f>'Federal P&amp;L'!W8</f>
        <v>515420000</v>
      </c>
      <c r="X7">
        <f>'Federal P&amp;L'!X8</f>
        <v>524199000</v>
      </c>
      <c r="Y7">
        <f>'Federal P&amp;L'!Y8</f>
        <v>533444000</v>
      </c>
      <c r="Z7">
        <f>'Federal P&amp;L'!Z8</f>
        <v>545346000</v>
      </c>
      <c r="AA7">
        <f>'Federal P&amp;L'!AA8</f>
        <v>588417000</v>
      </c>
      <c r="AB7">
        <f>'Federal P&amp;L'!AB8</f>
        <v>620007000</v>
      </c>
      <c r="AC7">
        <f>'Federal P&amp;L'!AC8</f>
        <v>647388000</v>
      </c>
      <c r="AD7">
        <f>'Federal P&amp;L'!AD8</f>
        <v>671183000</v>
      </c>
      <c r="AE7">
        <f>'Federal P&amp;L'!AE8</f>
        <v>668235000</v>
      </c>
      <c r="AF7">
        <f>'Federal P&amp;L'!AF8</f>
        <v>646623000</v>
      </c>
      <c r="AG7">
        <f>'Federal P&amp;L'!AG8</f>
        <v>580887000</v>
      </c>
      <c r="AH7">
        <f>'Federal P&amp;L'!AH8</f>
        <v>585093000</v>
      </c>
      <c r="AI7">
        <f>'Federal P&amp;L'!AI8</f>
        <v>689442000</v>
      </c>
      <c r="AJ7">
        <f>'Federal P&amp;L'!AJ8</f>
        <v>751302000</v>
      </c>
    </row>
    <row r="8" spans="1:36">
      <c r="A8" s="5" t="s">
        <v>72</v>
      </c>
      <c r="B8">
        <f>'Federal P&amp;L'!B9</f>
        <v>97607697</v>
      </c>
      <c r="C8">
        <f>'Federal P&amp;L'!C9</f>
        <v>119016123</v>
      </c>
      <c r="D8">
        <f>'Federal P&amp;L'!D9</f>
        <v>124246445</v>
      </c>
      <c r="E8">
        <f>'Federal P&amp;L'!E9</f>
        <v>130506498</v>
      </c>
      <c r="F8">
        <f>'Federal P&amp;L'!F9</f>
        <v>152163541</v>
      </c>
      <c r="G8">
        <f>'Federal P&amp;L'!G9</f>
        <v>172110010</v>
      </c>
      <c r="H8">
        <f>'Federal P&amp;L'!H9</f>
        <v>185125526</v>
      </c>
      <c r="I8">
        <f>'Federal P&amp;L'!I9</f>
        <v>197552022</v>
      </c>
      <c r="J8">
        <f>'Federal P&amp;L'!J9</f>
        <v>224052691</v>
      </c>
      <c r="K8">
        <f>'Federal P&amp;L'!K9</f>
        <v>244721652</v>
      </c>
      <c r="L8">
        <f>'Federal P&amp;L'!L9</f>
        <v>259617763</v>
      </c>
      <c r="M8">
        <f>'Federal P&amp;L'!M9</f>
        <v>270388319</v>
      </c>
      <c r="N8">
        <f>'Federal P&amp;L'!N9</f>
        <v>278317434</v>
      </c>
      <c r="O8">
        <f>'Federal P&amp;L'!O9</f>
        <v>287224064</v>
      </c>
      <c r="P8">
        <f>'Federal P&amp;L'!P9</f>
        <v>308089951</v>
      </c>
      <c r="Q8">
        <f>'Federal P&amp;L'!Q9</f>
        <v>289300000</v>
      </c>
      <c r="R8">
        <f>'Federal P&amp;L'!R9</f>
        <v>316932000</v>
      </c>
      <c r="S8">
        <f>'Federal P&amp;L'!S9</f>
        <v>342044000</v>
      </c>
      <c r="T8">
        <f>'Federal P&amp;L'!T9</f>
        <v>364627000</v>
      </c>
      <c r="U8">
        <f>'Federal P&amp;L'!U9</f>
        <v>389705000</v>
      </c>
      <c r="V8">
        <f>'Federal P&amp;L'!V9</f>
        <v>418212000</v>
      </c>
      <c r="W8">
        <f>'Federal P&amp;L'!W9</f>
        <v>440811000</v>
      </c>
      <c r="X8">
        <f>'Federal P&amp;L'!X9</f>
        <v>448132000</v>
      </c>
      <c r="Y8">
        <f>'Federal P&amp;L'!Y9</f>
        <v>456013000</v>
      </c>
      <c r="Z8">
        <f>'Federal P&amp;L'!Z9</f>
        <v>466181000</v>
      </c>
      <c r="AA8">
        <f>'Federal P&amp;L'!AA9</f>
        <v>502998000</v>
      </c>
      <c r="AB8">
        <f>'Federal P&amp;L'!AB9</f>
        <v>530006000</v>
      </c>
      <c r="AC8">
        <f>'Federal P&amp;L'!AC9</f>
        <v>553415000</v>
      </c>
      <c r="AD8">
        <f>'Federal P&amp;L'!AD9</f>
        <v>573750000</v>
      </c>
      <c r="AE8">
        <f>'Federal P&amp;L'!AE9</f>
        <v>571228000</v>
      </c>
      <c r="AF8">
        <f>'Federal P&amp;L'!AF9</f>
        <v>552761000</v>
      </c>
      <c r="AG8">
        <f>'Federal P&amp;L'!AG9</f>
        <v>496591000</v>
      </c>
      <c r="AH8">
        <f>'Federal P&amp;L'!AH9</f>
        <v>500114000</v>
      </c>
      <c r="AI8">
        <f>'Federal P&amp;L'!AI9</f>
        <v>589375000</v>
      </c>
      <c r="AJ8">
        <f>'Federal P&amp;L'!AJ9</f>
        <v>642244000</v>
      </c>
    </row>
    <row r="9" spans="1:36">
      <c r="A9" s="5" t="s">
        <v>73</v>
      </c>
      <c r="B9">
        <f>'Federal P&amp;L'!B10</f>
        <v>16805258</v>
      </c>
      <c r="C9">
        <f>'Federal P&amp;L'!C10</f>
        <v>12589497</v>
      </c>
      <c r="D9">
        <f>'Federal P&amp;L'!D10</f>
        <v>20866449</v>
      </c>
      <c r="E9">
        <f>'Federal P&amp;L'!E10</f>
        <v>18591789</v>
      </c>
      <c r="F9">
        <f>'Federal P&amp;L'!F10</f>
        <v>15955407</v>
      </c>
      <c r="G9">
        <f>'Federal P&amp;L'!G10</f>
        <v>16569471</v>
      </c>
      <c r="H9">
        <f>'Federal P&amp;L'!H10</f>
        <v>17959784</v>
      </c>
      <c r="I9">
        <f>'Federal P&amp;L'!I10</f>
        <v>19149374</v>
      </c>
      <c r="J9">
        <f>'Federal P&amp;L'!J10</f>
        <v>21509199</v>
      </c>
      <c r="K9">
        <f>'Federal P&amp;L'!K10</f>
        <v>23466611</v>
      </c>
      <c r="L9">
        <f>'Federal P&amp;L'!L10</f>
        <v>27104626</v>
      </c>
      <c r="M9">
        <f>'Federal P&amp;L'!M10</f>
        <v>28907081</v>
      </c>
      <c r="N9">
        <f>'Federal P&amp;L'!N10</f>
        <v>29847328</v>
      </c>
      <c r="O9">
        <f>'Federal P&amp;L'!O10</f>
        <v>30785653</v>
      </c>
      <c r="P9">
        <f>'Federal P&amp;L'!P10</f>
        <v>33008139</v>
      </c>
      <c r="Q9">
        <f>'Federal P&amp;L'!Q10</f>
        <v>67919000</v>
      </c>
      <c r="R9">
        <f>'Federal P&amp;L'!R10</f>
        <v>56528000</v>
      </c>
      <c r="S9">
        <f>'Federal P&amp;L'!S10</f>
        <v>56129000</v>
      </c>
      <c r="T9">
        <f>'Federal P&amp;L'!T10</f>
        <v>57942000</v>
      </c>
      <c r="U9">
        <f>'Federal P&amp;L'!U10</f>
        <v>61884000</v>
      </c>
      <c r="V9">
        <f>'Federal P&amp;L'!V10</f>
        <v>70000000</v>
      </c>
      <c r="W9">
        <f>'Federal P&amp;L'!W10</f>
        <v>74609000</v>
      </c>
      <c r="X9">
        <f>'Federal P&amp;L'!X10</f>
        <v>76067000</v>
      </c>
      <c r="Y9">
        <f>'Federal P&amp;L'!Y10</f>
        <v>77431000</v>
      </c>
      <c r="Z9">
        <f>'Federal P&amp;L'!Z10</f>
        <v>79165000</v>
      </c>
      <c r="AA9">
        <f>'Federal P&amp;L'!AA10</f>
        <v>85419000</v>
      </c>
      <c r="AB9">
        <f>'Federal P&amp;L'!AB10</f>
        <v>90001000</v>
      </c>
      <c r="AC9">
        <f>'Federal P&amp;L'!AC10</f>
        <v>93973000</v>
      </c>
      <c r="AD9">
        <f>'Federal P&amp;L'!AD10</f>
        <v>97433000</v>
      </c>
      <c r="AE9">
        <f>'Federal P&amp;L'!AE10</f>
        <v>97007000</v>
      </c>
      <c r="AF9">
        <f>'Federal P&amp;L'!AF10</f>
        <v>93862000</v>
      </c>
      <c r="AG9">
        <f>'Federal P&amp;L'!AG10</f>
        <v>84296000</v>
      </c>
      <c r="AH9">
        <f>'Federal P&amp;L'!AH10</f>
        <v>84979000</v>
      </c>
      <c r="AI9">
        <f>'Federal P&amp;L'!AI10</f>
        <v>100067000</v>
      </c>
      <c r="AJ9">
        <f>'Federal P&amp;L'!AJ10</f>
        <v>109058000</v>
      </c>
    </row>
    <row r="10" spans="1:36">
      <c r="A10" s="4" t="s">
        <v>71</v>
      </c>
      <c r="B10">
        <f>'Federal P&amp;L'!B11</f>
        <v>2322877</v>
      </c>
      <c r="C10">
        <f>'Federal P&amp;L'!C11</f>
        <v>2457238</v>
      </c>
      <c r="D10">
        <f>'Federal P&amp;L'!D11</f>
        <v>2917475</v>
      </c>
      <c r="E10">
        <f>'Federal P&amp;L'!E11</f>
        <v>2804784</v>
      </c>
      <c r="F10">
        <f>'Federal P&amp;L'!F11</f>
        <v>3321050</v>
      </c>
      <c r="G10">
        <f>'Federal P&amp;L'!G11</f>
        <v>3604883</v>
      </c>
      <c r="H10">
        <f>'Federal P&amp;L'!H11</f>
        <v>3498038</v>
      </c>
      <c r="I10">
        <f>'Federal P&amp;L'!I11</f>
        <v>3633923</v>
      </c>
      <c r="J10">
        <f>'Federal P&amp;L'!J11</f>
        <v>3742809</v>
      </c>
      <c r="K10">
        <f>'Federal P&amp;L'!K11</f>
        <v>3797284</v>
      </c>
      <c r="L10">
        <f>'Federal P&amp;L'!L11</f>
        <v>3679227</v>
      </c>
      <c r="M10">
        <f>'Federal P&amp;L'!M11</f>
        <v>3798927</v>
      </c>
      <c r="N10">
        <f>'Federal P&amp;L'!N11</f>
        <v>3956741</v>
      </c>
      <c r="O10">
        <f>'Federal P&amp;L'!O11</f>
        <v>3781142</v>
      </c>
      <c r="P10">
        <f>'Federal P&amp;L'!P11</f>
        <v>3722269</v>
      </c>
      <c r="Q10">
        <f>'Federal P&amp;L'!Q11</f>
        <v>3942000</v>
      </c>
      <c r="R10">
        <f>'Federal P&amp;L'!R11</f>
        <v>3872000</v>
      </c>
      <c r="S10">
        <f>'Federal P&amp;L'!S11</f>
        <v>4051000</v>
      </c>
      <c r="T10">
        <f>'Federal P&amp;L'!T11</f>
        <v>4352000</v>
      </c>
      <c r="U10">
        <f>'Federal P&amp;L'!U11</f>
        <v>4144000</v>
      </c>
      <c r="V10">
        <f>'Federal P&amp;L'!V11</f>
        <v>4338000</v>
      </c>
      <c r="W10">
        <f>'Federal P&amp;L'!W11</f>
        <v>4272000</v>
      </c>
      <c r="X10">
        <f>'Federal P&amp;L'!X11</f>
        <v>4177000</v>
      </c>
      <c r="Y10">
        <f>'Federal P&amp;L'!Y11</f>
        <v>3953000</v>
      </c>
      <c r="Z10">
        <f>'Federal P&amp;L'!Z11</f>
        <v>4026000</v>
      </c>
      <c r="AA10">
        <f>'Federal P&amp;L'!AA11</f>
        <v>4120000</v>
      </c>
      <c r="AB10">
        <f>'Federal P&amp;L'!AB11</f>
        <v>4232000</v>
      </c>
      <c r="AC10">
        <f>'Federal P&amp;L'!AC11</f>
        <v>4261000</v>
      </c>
      <c r="AD10">
        <f>'Federal P&amp;L'!AD11</f>
        <v>4433000</v>
      </c>
      <c r="AE10">
        <f>'Federal P&amp;L'!AE11</f>
        <v>4213000</v>
      </c>
      <c r="AF10">
        <f>'Federal P&amp;L'!AF11</f>
        <v>4139000</v>
      </c>
      <c r="AG10">
        <f>'Federal P&amp;L'!AG11</f>
        <v>4238000</v>
      </c>
      <c r="AH10">
        <f>'Federal P&amp;L'!AH11</f>
        <v>4283000</v>
      </c>
      <c r="AI10">
        <f>'Federal P&amp;L'!AI11</f>
        <v>4901000</v>
      </c>
      <c r="AJ10">
        <f>'Federal P&amp;L'!AJ11</f>
        <v>5357000</v>
      </c>
    </row>
    <row r="11" spans="1:36">
      <c r="A11" s="4" t="s">
        <v>19</v>
      </c>
      <c r="B11">
        <f>'Federal P&amp;L'!B12</f>
        <v>23465569</v>
      </c>
      <c r="C11">
        <f>'Federal P&amp;L'!C12</f>
        <v>30671920</v>
      </c>
      <c r="D11">
        <f>'Federal P&amp;L'!D12</f>
        <v>34698279</v>
      </c>
      <c r="E11">
        <f>'Federal P&amp;L'!E12</f>
        <v>36695215</v>
      </c>
      <c r="F11">
        <f>'Federal P&amp;L'!F12</f>
        <v>41567575</v>
      </c>
      <c r="G11">
        <f>'Federal P&amp;L'!G12</f>
        <v>46319507</v>
      </c>
      <c r="H11">
        <f>'Federal P&amp;L'!H12</f>
        <v>52939476</v>
      </c>
      <c r="I11">
        <f>'Federal P&amp;L'!I12</f>
        <v>57692391</v>
      </c>
      <c r="J11">
        <f>'Federal P&amp;L'!J12</f>
        <v>61663468</v>
      </c>
      <c r="K11">
        <f>'Federal P&amp;L'!K12</f>
        <v>67316730</v>
      </c>
      <c r="L11">
        <f>'Federal P&amp;L'!L12</f>
        <v>70601937</v>
      </c>
      <c r="M11">
        <f>'Federal P&amp;L'!M12</f>
        <v>74958383</v>
      </c>
      <c r="N11">
        <f>'Federal P&amp;L'!N12</f>
        <v>81345902</v>
      </c>
      <c r="O11">
        <f>'Federal P&amp;L'!O12</f>
        <v>83517522</v>
      </c>
      <c r="P11">
        <f>'Federal P&amp;L'!P12</f>
        <v>92421573</v>
      </c>
      <c r="Q11">
        <f>'Federal P&amp;L'!Q12</f>
        <v>98412000</v>
      </c>
      <c r="R11">
        <f>'Federal P&amp;L'!R12</f>
        <v>107306000</v>
      </c>
      <c r="S11">
        <f>'Federal P&amp;L'!S12</f>
        <v>113105000</v>
      </c>
      <c r="T11">
        <f>'Federal P&amp;L'!T12</f>
        <v>122295000</v>
      </c>
      <c r="U11">
        <f>'Federal P&amp;L'!U12</f>
        <v>134773000</v>
      </c>
      <c r="V11">
        <f>'Federal P&amp;L'!V12</f>
        <v>138157000</v>
      </c>
      <c r="W11">
        <f>'Federal P&amp;L'!W12</f>
        <v>152353000</v>
      </c>
      <c r="X11">
        <f>'Federal P&amp;L'!X12</f>
        <v>151962000</v>
      </c>
      <c r="Y11">
        <f>'Federal P&amp;L'!Y12</f>
        <v>150235000</v>
      </c>
      <c r="Z11">
        <f>'Federal P&amp;L'!Z12</f>
        <v>153839000</v>
      </c>
      <c r="AA11">
        <f>'Federal P&amp;L'!AA12</f>
        <v>169370000</v>
      </c>
      <c r="AB11">
        <f>'Federal P&amp;L'!AB12</f>
        <v>180833000</v>
      </c>
      <c r="AC11">
        <f>'Federal P&amp;L'!AC12</f>
        <v>188446000</v>
      </c>
      <c r="AD11">
        <f>'Federal P&amp;L'!AD12</f>
        <v>197690000</v>
      </c>
      <c r="AE11">
        <f>'Federal P&amp;L'!AE12</f>
        <v>194598000</v>
      </c>
      <c r="AF11">
        <f>'Federal P&amp;L'!AF12</f>
        <v>184110000</v>
      </c>
      <c r="AG11">
        <f>'Federal P&amp;L'!AG12</f>
        <v>192515000</v>
      </c>
      <c r="AH11">
        <f>'Federal P&amp;L'!AH12</f>
        <v>205236000</v>
      </c>
      <c r="AI11">
        <f>'Federal P&amp;L'!AI12</f>
        <v>213448000</v>
      </c>
      <c r="AJ11">
        <f>'Federal P&amp;L'!AJ12</f>
        <v>228159000</v>
      </c>
    </row>
    <row r="12" spans="1:36">
      <c r="A12" s="4" t="s">
        <v>20</v>
      </c>
      <c r="B12">
        <f>'Federal P&amp;L'!B13</f>
        <v>15335788</v>
      </c>
      <c r="C12">
        <f>'Federal P&amp;L'!C13</f>
        <v>15762948</v>
      </c>
      <c r="D12">
        <f>'Federal P&amp;L'!D13</f>
        <v>16636388</v>
      </c>
      <c r="E12">
        <f>'Federal P&amp;L'!E13</f>
        <v>19046634</v>
      </c>
      <c r="F12">
        <f>'Federal P&amp;L'!F13</f>
        <v>25307220</v>
      </c>
      <c r="G12">
        <f>'Federal P&amp;L'!G13</f>
        <v>26099814</v>
      </c>
      <c r="H12">
        <f>'Federal P&amp;L'!H13</f>
        <v>24389574</v>
      </c>
      <c r="I12">
        <f>'Federal P&amp;L'!I13</f>
        <v>25860241</v>
      </c>
      <c r="J12">
        <f>'Federal P&amp;L'!J13</f>
        <v>24799893</v>
      </c>
      <c r="K12">
        <f>'Federal P&amp;L'!K13</f>
        <v>22254272</v>
      </c>
      <c r="L12">
        <f>'Federal P&amp;L'!L13</f>
        <v>21952439</v>
      </c>
      <c r="M12">
        <f>'Federal P&amp;L'!M13</f>
        <v>21261062</v>
      </c>
      <c r="N12">
        <f>'Federal P&amp;L'!N13</f>
        <v>24154471</v>
      </c>
      <c r="O12">
        <f>'Federal P&amp;L'!O13</f>
        <v>27520766</v>
      </c>
      <c r="P12">
        <f>'Federal P&amp;L'!P13</f>
        <v>28770505</v>
      </c>
      <c r="Q12">
        <f>'Federal P&amp;L'!Q13</f>
        <v>29538000</v>
      </c>
      <c r="R12">
        <f>'Federal P&amp;L'!R13</f>
        <v>29183000</v>
      </c>
      <c r="S12">
        <f>'Federal P&amp;L'!S13</f>
        <v>28804000</v>
      </c>
      <c r="T12">
        <f>'Federal P&amp;L'!T13</f>
        <v>27992000</v>
      </c>
      <c r="U12">
        <f>'Federal P&amp;L'!U13</f>
        <v>26883000</v>
      </c>
      <c r="V12">
        <f>'Federal P&amp;L'!V13</f>
        <v>28037000</v>
      </c>
      <c r="W12">
        <f>'Federal P&amp;L'!W13</f>
        <v>28244000</v>
      </c>
      <c r="X12">
        <f>'Federal P&amp;L'!X13</f>
        <v>28067000</v>
      </c>
      <c r="Y12">
        <f>'Federal P&amp;L'!Y13</f>
        <v>33992000</v>
      </c>
      <c r="Z12">
        <f>'Federal P&amp;L'!Z13</f>
        <v>40197000</v>
      </c>
      <c r="AA12">
        <f>'Federal P&amp;L'!AA13</f>
        <v>42775000</v>
      </c>
      <c r="AB12">
        <f>'Federal P&amp;L'!AB13</f>
        <v>44248000</v>
      </c>
      <c r="AC12">
        <f>'Federal P&amp;L'!AC13</f>
        <v>41847000</v>
      </c>
      <c r="AD12">
        <f>'Federal P&amp;L'!AD13</f>
        <v>40249000</v>
      </c>
      <c r="AE12">
        <f>'Federal P&amp;L'!AE13</f>
        <v>38959000</v>
      </c>
      <c r="AF12">
        <f>'Federal P&amp;L'!AF13</f>
        <v>46051000</v>
      </c>
      <c r="AG12">
        <f>'Federal P&amp;L'!AG13</f>
        <v>57650000</v>
      </c>
      <c r="AH12">
        <f>'Federal P&amp;L'!AH13</f>
        <v>68034000</v>
      </c>
      <c r="AI12">
        <f>'Federal P&amp;L'!AI13</f>
        <v>57964000</v>
      </c>
      <c r="AJ12">
        <f>'Federal P&amp;L'!AJ13</f>
        <v>55955000</v>
      </c>
    </row>
    <row r="13" spans="1:36">
      <c r="A13" s="3" t="s">
        <v>4</v>
      </c>
      <c r="B13">
        <f>'Federal P&amp;L'!B14+'State and Local P&amp;L'!B6</f>
        <v>77921004</v>
      </c>
      <c r="C13">
        <f>'Federal P&amp;L'!C14+'State and Local P&amp;L'!C6</f>
        <v>75280633</v>
      </c>
      <c r="D13">
        <f>'Federal P&amp;L'!D14+'State and Local P&amp;L'!D6</f>
        <v>64235295</v>
      </c>
      <c r="E13">
        <f>'Federal P&amp;L'!E14+'State and Local P&amp;L'!E6</f>
        <v>51279213</v>
      </c>
      <c r="F13">
        <f>'Federal P&amp;L'!F14+'State and Local P&amp;L'!F6</f>
        <v>73691070</v>
      </c>
      <c r="G13">
        <f>'Federal P&amp;L'!G14+'State and Local P&amp;L'!G6</f>
        <v>80482876</v>
      </c>
      <c r="H13">
        <f>'Federal P&amp;L'!H14+'State and Local P&amp;L'!H6</f>
        <v>83137452</v>
      </c>
      <c r="I13">
        <f>'Federal P&amp;L'!I14+'State and Local P&amp;L'!I6</f>
        <v>106350397</v>
      </c>
      <c r="J13">
        <f>'Federal P&amp;L'!J14+'State and Local P&amp;L'!J6</f>
        <v>118171536</v>
      </c>
      <c r="K13">
        <f>'Federal P&amp;L'!K14+'State and Local P&amp;L'!K6</f>
        <v>129217000</v>
      </c>
      <c r="L13">
        <f>'Federal P&amp;L'!L14+'State and Local P&amp;L'!L6</f>
        <v>117073020</v>
      </c>
      <c r="M13">
        <f>'Federal P&amp;L'!M14+'State and Local P&amp;L'!M6</f>
        <v>120328267</v>
      </c>
      <c r="N13">
        <f>'Federal P&amp;L'!N14+'State and Local P&amp;L'!N6</f>
        <v>124140815</v>
      </c>
      <c r="O13">
        <f>'Federal P&amp;L'!O14+'State and Local P&amp;L'!O6</f>
        <v>143937474</v>
      </c>
      <c r="P13">
        <f>'Federal P&amp;L'!P14+'State and Local P&amp;L'!P6</f>
        <v>168704241</v>
      </c>
      <c r="Q13">
        <f>'Federal P&amp;L'!Q14+'State and Local P&amp;L'!Q6</f>
        <v>188409814</v>
      </c>
      <c r="R13">
        <f>'Federal P&amp;L'!R14+'State and Local P&amp;L'!R6</f>
        <v>203833111</v>
      </c>
      <c r="S13">
        <f>'Federal P&amp;L'!S14+'State and Local P&amp;L'!S6</f>
        <v>216113422</v>
      </c>
      <c r="T13">
        <f>'Federal P&amp;L'!T14+'State and Local P&amp;L'!T6</f>
        <v>223088615</v>
      </c>
      <c r="U13">
        <f>'Federal P&amp;L'!U14+'State and Local P&amp;L'!U6</f>
        <v>218602371</v>
      </c>
      <c r="V13">
        <f>'Federal P&amp;L'!V14+'State and Local P&amp;L'!V6</f>
        <v>243347903</v>
      </c>
      <c r="W13">
        <f>'Federal P&amp;L'!W14+'State and Local P&amp;L'!W6</f>
        <v>186371152</v>
      </c>
      <c r="X13">
        <f>'Federal P&amp;L'!X14+'State and Local P&amp;L'!X6</f>
        <v>176195862</v>
      </c>
      <c r="Y13">
        <f>'Federal P&amp;L'!Y14+'State and Local P&amp;L'!Y6</f>
        <v>163147064</v>
      </c>
      <c r="Z13">
        <f>'Federal P&amp;L'!Z14+'State and Local P&amp;L'!Z6</f>
        <v>223086793</v>
      </c>
      <c r="AA13">
        <f>'Federal P&amp;L'!AA14+'State and Local P&amp;L'!AA6</f>
        <v>321537712</v>
      </c>
      <c r="AB13">
        <f>'Federal P&amp;L'!AB14+'State and Local P&amp;L'!AB6</f>
        <v>406995748</v>
      </c>
      <c r="AC13">
        <f>'Federal P&amp;L'!AC14+'State and Local P&amp;L'!AC6</f>
        <v>431197942</v>
      </c>
      <c r="AD13">
        <f>'Federal P&amp;L'!AD14+'State and Local P&amp;L'!AD6</f>
        <v>361576891</v>
      </c>
      <c r="AE13">
        <f>'Federal P&amp;L'!AE14+'State and Local P&amp;L'!AE6</f>
        <v>184508861</v>
      </c>
      <c r="AF13">
        <f>'Federal P&amp;L'!AF14+'State and Local P&amp;L'!AF6</f>
        <v>235544796</v>
      </c>
      <c r="AG13">
        <f>'Federal P&amp;L'!AG14+'State and Local P&amp;L'!AG6</f>
        <v>229506906</v>
      </c>
      <c r="AH13">
        <f>'Federal P&amp;L'!AH14+'State and Local P&amp;L'!AH6</f>
        <v>291222513</v>
      </c>
      <c r="AI13">
        <f>'Federal P&amp;L'!AI14+'State and Local P&amp;L'!AI6</f>
        <v>326414727</v>
      </c>
      <c r="AJ13">
        <f>'Federal P&amp;L'!AJ14+'State and Local P&amp;L'!AJ6</f>
        <v>375290763</v>
      </c>
    </row>
    <row r="14" spans="1:36">
      <c r="A14" s="3" t="s">
        <v>5</v>
      </c>
      <c r="B14">
        <f>'Federal P&amp;L'!B15+'State and Local P&amp;L'!B7</f>
        <v>104255744</v>
      </c>
      <c r="C14">
        <f>'Federal P&amp;L'!C15+'State and Local P&amp;L'!C7</f>
        <v>126810563</v>
      </c>
      <c r="D14">
        <f>'Federal P&amp;L'!D15+'State and Local P&amp;L'!D7</f>
        <v>129923712</v>
      </c>
      <c r="E14">
        <f>'Federal P&amp;L'!E15+'State and Local P&amp;L'!E7</f>
        <v>135546701</v>
      </c>
      <c r="F14">
        <f>'Federal P&amp;L'!F15+'State and Local P&amp;L'!F7</f>
        <v>151458769</v>
      </c>
      <c r="G14">
        <f>'Federal P&amp;L'!G15+'State and Local P&amp;L'!G7</f>
        <v>162367394</v>
      </c>
      <c r="H14">
        <f>'Federal P&amp;L'!H15+'State and Local P&amp;L'!H7</f>
        <v>167923108</v>
      </c>
      <c r="I14">
        <f>'Federal P&amp;L'!I15+'State and Local P&amp;L'!I7</f>
        <v>176548160</v>
      </c>
      <c r="J14">
        <f>'Federal P&amp;L'!J15+'State and Local P&amp;L'!J7</f>
        <v>191679199</v>
      </c>
      <c r="K14">
        <f>'Federal P&amp;L'!K15+'State and Local P&amp;L'!K7</f>
        <v>200721791</v>
      </c>
      <c r="L14">
        <f>'Federal P&amp;L'!L15+'State and Local P&amp;L'!L7</f>
        <v>213229959</v>
      </c>
      <c r="M14">
        <f>'Federal P&amp;L'!M15+'State and Local P&amp;L'!M7</f>
        <v>227972348</v>
      </c>
      <c r="N14">
        <f>'Federal P&amp;L'!N15+'State and Local P&amp;L'!N7</f>
        <v>243296164</v>
      </c>
      <c r="O14">
        <f>'Federal P&amp;L'!O15+'State and Local P&amp;L'!O7</f>
        <v>257706083</v>
      </c>
      <c r="P14">
        <f>'Federal P&amp;L'!P15+'State and Local P&amp;L'!P7</f>
        <v>278853100</v>
      </c>
      <c r="Q14">
        <f>'Federal P&amp;L'!Q15+'State and Local P&amp;L'!Q7</f>
        <v>294752397</v>
      </c>
      <c r="R14">
        <f>'Federal P&amp;L'!R15+'State and Local P&amp;L'!R7</f>
        <v>302961062</v>
      </c>
      <c r="S14">
        <f>'Federal P&amp;L'!S15+'State and Local P&amp;L'!S7</f>
        <v>318658150</v>
      </c>
      <c r="T14">
        <f>'Federal P&amp;L'!T15+'State and Local P&amp;L'!T7</f>
        <v>332556406</v>
      </c>
      <c r="U14">
        <f>'Federal P&amp;L'!U15+'State and Local P&amp;L'!U7</f>
        <v>361406942</v>
      </c>
      <c r="V14">
        <f>'Federal P&amp;L'!V15+'State and Local P&amp;L'!V7</f>
        <v>378154792</v>
      </c>
      <c r="W14">
        <f>'Federal P&amp;L'!W15+'State and Local P&amp;L'!W7</f>
        <v>386448988</v>
      </c>
      <c r="X14">
        <f>'Federal P&amp;L'!X15+'State and Local P&amp;L'!X7</f>
        <v>391111506</v>
      </c>
      <c r="Y14">
        <f>'Federal P&amp;L'!Y15+'State and Local P&amp;L'!Y7</f>
        <v>405310567</v>
      </c>
      <c r="Z14">
        <f>'Federal P&amp;L'!Z15+'State and Local P&amp;L'!Z7</f>
        <v>430881946</v>
      </c>
      <c r="AA14">
        <f>'Federal P&amp;L'!AA15+'State and Local P&amp;L'!AA7</f>
        <v>457360166</v>
      </c>
      <c r="AB14">
        <f>'Federal P&amp;L'!AB15+'State and Local P&amp;L'!AB7</f>
        <v>491695525</v>
      </c>
      <c r="AC14">
        <f>'Federal P&amp;L'!AC15+'State and Local P&amp;L'!AC7</f>
        <v>505538533</v>
      </c>
      <c r="AD14">
        <f>'Federal P&amp;L'!AD15+'State and Local P&amp;L'!AD7</f>
        <v>517278957</v>
      </c>
      <c r="AE14">
        <f>'Federal P&amp;L'!AE15+'State and Local P&amp;L'!AE7</f>
        <v>496611330</v>
      </c>
      <c r="AF14">
        <f>'Federal P&amp;L'!AF15+'State and Local P&amp;L'!AF7</f>
        <v>502479729</v>
      </c>
      <c r="AG14">
        <f>'Federal P&amp;L'!AG15+'State and Local P&amp;L'!AG7</f>
        <v>536360488</v>
      </c>
      <c r="AH14">
        <f>'Federal P&amp;L'!AH15+'State and Local P&amp;L'!AH7</f>
        <v>555605283</v>
      </c>
      <c r="AI14">
        <f>'Federal P&amp;L'!AI15+'State and Local P&amp;L'!AI7</f>
        <v>579245236</v>
      </c>
      <c r="AJ14">
        <f>'Federal P&amp;L'!AJ15+'State and Local P&amp;L'!AJ7</f>
        <v>610736126</v>
      </c>
    </row>
    <row r="15" spans="1:36">
      <c r="A15" s="4" t="s">
        <v>21</v>
      </c>
      <c r="B15">
        <f>'State and Local P&amp;L'!B8</f>
        <v>51327616</v>
      </c>
      <c r="C15">
        <f>'State and Local P&amp;L'!C8</f>
        <v>55641390</v>
      </c>
      <c r="D15">
        <f>'State and Local P&amp;L'!D8</f>
        <v>60573300</v>
      </c>
      <c r="E15">
        <f>'State and Local P&amp;L'!E8</f>
        <v>64889896</v>
      </c>
      <c r="F15">
        <f>'State and Local P&amp;L'!F8</f>
        <v>75211609</v>
      </c>
      <c r="G15">
        <f>'State and Local P&amp;L'!G8</f>
        <v>84295648</v>
      </c>
      <c r="H15">
        <f>'State and Local P&amp;L'!H8</f>
        <v>90694713</v>
      </c>
      <c r="I15">
        <f>'State and Local P&amp;L'!I8</f>
        <v>96602538</v>
      </c>
      <c r="J15">
        <f>'State and Local P&amp;L'!J8</f>
        <v>105237831</v>
      </c>
      <c r="K15">
        <f>'State and Local P&amp;L'!K8</f>
        <v>112673222</v>
      </c>
      <c r="L15">
        <f>'State and Local P&amp;L'!L8</f>
        <v>121286594</v>
      </c>
      <c r="M15">
        <f>'State and Local P&amp;L'!M8</f>
        <v>125448814</v>
      </c>
      <c r="N15">
        <f>'State and Local P&amp;L'!N8</f>
        <v>131978309</v>
      </c>
      <c r="O15">
        <f>'State and Local P&amp;L'!O8</f>
        <v>138822010</v>
      </c>
      <c r="P15">
        <f>'State and Local P&amp;L'!P8</f>
        <v>149039888</v>
      </c>
      <c r="Q15">
        <f>'State and Local P&amp;L'!Q8</f>
        <v>160166175</v>
      </c>
      <c r="R15">
        <f>'State and Local P&amp;L'!R8</f>
        <v>169072372</v>
      </c>
      <c r="S15">
        <f>'State and Local P&amp;L'!S8</f>
        <v>178746275</v>
      </c>
      <c r="T15">
        <f>'State and Local P&amp;L'!T8</f>
        <v>188752895</v>
      </c>
      <c r="U15">
        <f>'State and Local P&amp;L'!U8</f>
        <v>200626752</v>
      </c>
      <c r="V15">
        <f>'State and Local P&amp;L'!V8</f>
        <v>215112414</v>
      </c>
      <c r="W15">
        <f>'State and Local P&amp;L'!W8</f>
        <v>223428227</v>
      </c>
      <c r="X15">
        <f>'State and Local P&amp;L'!X8</f>
        <v>222986687</v>
      </c>
      <c r="Y15">
        <f>'State and Local P&amp;L'!Y8</f>
        <v>229222301</v>
      </c>
      <c r="Z15">
        <f>'State and Local P&amp;L'!Z8</f>
        <v>245342513</v>
      </c>
      <c r="AA15">
        <f>'State and Local P&amp;L'!AA8</f>
        <v>262951838</v>
      </c>
      <c r="AB15">
        <f>'State and Local P&amp;L'!AB8</f>
        <v>285829129</v>
      </c>
      <c r="AC15">
        <f>'State and Local P&amp;L'!AC8</f>
        <v>300601232</v>
      </c>
      <c r="AD15">
        <f>'State and Local P&amp;L'!AD8</f>
        <v>304739498</v>
      </c>
      <c r="AE15">
        <f>'State and Local P&amp;L'!AE8</f>
        <v>291300296</v>
      </c>
      <c r="AF15">
        <f>'State and Local P&amp;L'!AF8</f>
        <v>288499186</v>
      </c>
      <c r="AG15">
        <f>'State and Local P&amp;L'!AG8</f>
        <v>304668034</v>
      </c>
      <c r="AH15">
        <f>'State and Local P&amp;L'!AH8</f>
        <v>314135839</v>
      </c>
      <c r="AI15">
        <f>'State and Local P&amp;L'!AI8</f>
        <v>327036761</v>
      </c>
      <c r="AJ15">
        <f>'State and Local P&amp;L'!AJ8</f>
        <v>347183136</v>
      </c>
    </row>
    <row r="16" spans="1:36">
      <c r="A16" s="4" t="s">
        <v>22</v>
      </c>
      <c r="B16">
        <f>'Federal P&amp;L'!B15+'State and Local P&amp;L'!B9</f>
        <v>52928128</v>
      </c>
      <c r="C16">
        <f>'Federal P&amp;L'!C15+'State and Local P&amp;L'!C9</f>
        <v>71169173</v>
      </c>
      <c r="D16">
        <f>'Federal P&amp;L'!D15+'State and Local P&amp;L'!D9</f>
        <v>69350412</v>
      </c>
      <c r="E16">
        <f>'Federal P&amp;L'!E15+'State and Local P&amp;L'!E9</f>
        <v>70656805</v>
      </c>
      <c r="F16">
        <f>'Federal P&amp;L'!F15+'State and Local P&amp;L'!F9</f>
        <v>76247160</v>
      </c>
      <c r="G16">
        <f>'Federal P&amp;L'!G15+'State and Local P&amp;L'!G9</f>
        <v>78071746</v>
      </c>
      <c r="H16">
        <f>'Federal P&amp;L'!H15+'State and Local P&amp;L'!H9</f>
        <v>77228395</v>
      </c>
      <c r="I16">
        <f>'Federal P&amp;L'!I15+'State and Local P&amp;L'!I9</f>
        <v>79945622</v>
      </c>
      <c r="J16">
        <f>'Federal P&amp;L'!J15+'State and Local P&amp;L'!J9</f>
        <v>86441368</v>
      </c>
      <c r="K16">
        <f>'Federal P&amp;L'!K15+'State and Local P&amp;L'!K9</f>
        <v>88048569</v>
      </c>
      <c r="L16">
        <f>'Federal P&amp;L'!L15+'State and Local P&amp;L'!L9</f>
        <v>91943365</v>
      </c>
      <c r="M16">
        <f>'Federal P&amp;L'!M15+'State and Local P&amp;L'!M9</f>
        <v>102523534</v>
      </c>
      <c r="N16">
        <f>'Federal P&amp;L'!N15+'State and Local P&amp;L'!N9</f>
        <v>111317855</v>
      </c>
      <c r="O16">
        <f>'Federal P&amp;L'!O15+'State and Local P&amp;L'!O9</f>
        <v>118884073</v>
      </c>
      <c r="P16">
        <f>'Federal P&amp;L'!P15+'State and Local P&amp;L'!P9</f>
        <v>129813212</v>
      </c>
      <c r="Q16">
        <f>'Federal P&amp;L'!Q15+'State and Local P&amp;L'!Q9</f>
        <v>134586222</v>
      </c>
      <c r="R16">
        <f>'Federal P&amp;L'!R15+'State and Local P&amp;L'!R9</f>
        <v>133888690</v>
      </c>
      <c r="S16">
        <f>'Federal P&amp;L'!S15+'State and Local P&amp;L'!S9</f>
        <v>139911875</v>
      </c>
      <c r="T16">
        <f>'Federal P&amp;L'!T15+'State and Local P&amp;L'!T9</f>
        <v>143803511</v>
      </c>
      <c r="U16">
        <f>'Federal P&amp;L'!U15+'State and Local P&amp;L'!U9</f>
        <v>160780190</v>
      </c>
      <c r="V16">
        <f>'Federal P&amp;L'!V15+'State and Local P&amp;L'!V9</f>
        <v>163042378</v>
      </c>
      <c r="W16">
        <f>'Federal P&amp;L'!W15+'State and Local P&amp;L'!W9</f>
        <v>163020761</v>
      </c>
      <c r="X16">
        <f>'Federal P&amp;L'!X15+'State and Local P&amp;L'!X9</f>
        <v>168124819</v>
      </c>
      <c r="Y16">
        <f>'Federal P&amp;L'!Y15+'State and Local P&amp;L'!Y9</f>
        <v>176088266</v>
      </c>
      <c r="Z16">
        <f>'Federal P&amp;L'!Z15+'State and Local P&amp;L'!Z9</f>
        <v>185539433</v>
      </c>
      <c r="AA16">
        <f>'Federal P&amp;L'!AA15+'State and Local P&amp;L'!AA9</f>
        <v>194408328</v>
      </c>
      <c r="AB16">
        <f>'Federal P&amp;L'!AB15+'State and Local P&amp;L'!AB9</f>
        <v>205866396</v>
      </c>
      <c r="AC16">
        <f>'Federal P&amp;L'!AC15+'State and Local P&amp;L'!AC9</f>
        <v>204937301</v>
      </c>
      <c r="AD16">
        <f>'Federal P&amp;L'!AD15+'State and Local P&amp;L'!AD9</f>
        <v>212539459</v>
      </c>
      <c r="AE16">
        <f>'Federal P&amp;L'!AE15+'State and Local P&amp;L'!AE9</f>
        <v>205311034</v>
      </c>
      <c r="AF16">
        <f>'Federal P&amp;L'!AF15+'State and Local P&amp;L'!AF9</f>
        <v>213980543</v>
      </c>
      <c r="AG16">
        <f>'Federal P&amp;L'!AG15+'State and Local P&amp;L'!AG9</f>
        <v>231692454</v>
      </c>
      <c r="AH16">
        <f>'Federal P&amp;L'!AH15+'State and Local P&amp;L'!AH9</f>
        <v>241469444</v>
      </c>
      <c r="AI16">
        <f>'Federal P&amp;L'!AI15+'State and Local P&amp;L'!AI9</f>
        <v>252208475</v>
      </c>
      <c r="AJ16">
        <f>'Federal P&amp;L'!AJ15+'State and Local P&amp;L'!AJ9</f>
        <v>263552990</v>
      </c>
    </row>
    <row r="17" spans="1:36">
      <c r="A17" s="3" t="s">
        <v>7</v>
      </c>
      <c r="B17">
        <f>'State and Local P&amp;L'!B14</f>
        <v>68498743</v>
      </c>
      <c r="C17">
        <f>'State and Local P&amp;L'!C14</f>
        <v>74969444</v>
      </c>
      <c r="D17">
        <f>'State and Local P&amp;L'!D14</f>
        <v>82067442</v>
      </c>
      <c r="E17">
        <f>'State and Local P&amp;L'!E14</f>
        <v>89104863</v>
      </c>
      <c r="F17">
        <f>'State and Local P&amp;L'!F14</f>
        <v>96456745</v>
      </c>
      <c r="G17">
        <f>'State and Local P&amp;L'!G14</f>
        <v>103756624</v>
      </c>
      <c r="H17">
        <f>'State and Local P&amp;L'!H14</f>
        <v>111709287</v>
      </c>
      <c r="I17">
        <f>'State and Local P&amp;L'!I14</f>
        <v>121202638</v>
      </c>
      <c r="J17">
        <f>'State and Local P&amp;L'!J14</f>
        <v>132212301</v>
      </c>
      <c r="K17">
        <f>'State and Local P&amp;L'!K14</f>
        <v>142400237</v>
      </c>
      <c r="L17">
        <f>'State and Local P&amp;L'!L14</f>
        <v>155613321</v>
      </c>
      <c r="M17">
        <f>'State and Local P&amp;L'!M14</f>
        <v>167999489</v>
      </c>
      <c r="N17">
        <f>'State and Local P&amp;L'!N14</f>
        <v>180320503</v>
      </c>
      <c r="O17">
        <f>'State and Local P&amp;L'!O14</f>
        <v>189743930</v>
      </c>
      <c r="P17">
        <f>'State and Local P&amp;L'!P14</f>
        <v>197141008</v>
      </c>
      <c r="Q17">
        <f>'State and Local P&amp;L'!Q14</f>
        <v>203451246</v>
      </c>
      <c r="R17">
        <f>'State and Local P&amp;L'!R14</f>
        <v>209440794</v>
      </c>
      <c r="S17">
        <f>'State and Local P&amp;L'!S14</f>
        <v>218760306</v>
      </c>
      <c r="T17">
        <f>'State and Local P&amp;L'!T14</f>
        <v>230150058</v>
      </c>
      <c r="U17">
        <f>'State and Local P&amp;L'!U14</f>
        <v>239671604</v>
      </c>
      <c r="V17">
        <f>'State and Local P&amp;L'!V14</f>
        <v>249177604</v>
      </c>
      <c r="W17">
        <f>'State and Local P&amp;L'!W14</f>
        <v>263689177</v>
      </c>
      <c r="X17">
        <f>'State and Local P&amp;L'!X14</f>
        <v>279191478</v>
      </c>
      <c r="Y17">
        <f>'State and Local P&amp;L'!Y14</f>
        <v>296683185</v>
      </c>
      <c r="Z17">
        <f>'State and Local P&amp;L'!Z14</f>
        <v>317941413</v>
      </c>
      <c r="AA17">
        <f>'State and Local P&amp;L'!AA14</f>
        <v>335779002</v>
      </c>
      <c r="AB17">
        <f>'State and Local P&amp;L'!AB14</f>
        <v>364558999</v>
      </c>
      <c r="AC17">
        <f>'State and Local P&amp;L'!AC14</f>
        <v>388905357</v>
      </c>
      <c r="AD17">
        <f>'State and Local P&amp;L'!AD14</f>
        <v>409539657</v>
      </c>
      <c r="AE17">
        <f>'State and Local P&amp;L'!AE14</f>
        <v>434818264</v>
      </c>
      <c r="AF17">
        <f>'State and Local P&amp;L'!AF14</f>
        <v>443947292</v>
      </c>
      <c r="AG17">
        <f>'State and Local P&amp;L'!AG14</f>
        <v>445771236</v>
      </c>
      <c r="AH17">
        <f>'State and Local P&amp;L'!AH14</f>
        <v>447120120</v>
      </c>
      <c r="AI17">
        <f>'State and Local P&amp;L'!AI14</f>
        <v>453052504</v>
      </c>
      <c r="AJ17">
        <f>'State and Local P&amp;L'!AJ14</f>
        <v>466391552</v>
      </c>
    </row>
    <row r="18" spans="1:36">
      <c r="A18" s="3" t="s">
        <v>8</v>
      </c>
      <c r="B18">
        <f>'Federal P&amp;L'!B16+'State and Local P&amp;L'!B15</f>
        <v>8424749</v>
      </c>
      <c r="C18">
        <f>'Federal P&amp;L'!C16+'State and Local P&amp;L'!C15</f>
        <v>9015505</v>
      </c>
      <c r="D18">
        <f>'Federal P&amp;L'!D16+'State and Local P&amp;L'!D15</f>
        <v>10340687</v>
      </c>
      <c r="E18">
        <f>'Federal P&amp;L'!E16+'State and Local P&amp;L'!E15</f>
        <v>8598008</v>
      </c>
      <c r="F18">
        <f>'Federal P&amp;L'!F16+'State and Local P&amp;L'!F15</f>
        <v>8236513</v>
      </c>
      <c r="G18">
        <f>'Federal P&amp;L'!G16+'State and Local P&amp;L'!G15</f>
        <v>8750004</v>
      </c>
      <c r="H18">
        <f>'Federal P&amp;L'!H16+'State and Local P&amp;L'!H15</f>
        <v>9493090</v>
      </c>
      <c r="I18">
        <f>'Federal P&amp;L'!I16+'State and Local P&amp;L'!I15</f>
        <v>10561772</v>
      </c>
      <c r="J18">
        <f>'Federal P&amp;L'!J16+'State and Local P&amp;L'!J15</f>
        <v>10868650</v>
      </c>
      <c r="K18">
        <f>'Federal P&amp;L'!K16+'State and Local P&amp;L'!K15</f>
        <v>12255511</v>
      </c>
      <c r="L18">
        <f>'Federal P&amp;L'!L16+'State and Local P&amp;L'!L15</f>
        <v>15355563</v>
      </c>
      <c r="M18">
        <f>'Federal P&amp;L'!M16+'State and Local P&amp;L'!M15</f>
        <v>15448646</v>
      </c>
      <c r="N18">
        <f>'Federal P&amp;L'!N16+'State and Local P&amp;L'!N15</f>
        <v>15629068</v>
      </c>
      <c r="O18">
        <f>'Federal P&amp;L'!O16+'State and Local P&amp;L'!O15</f>
        <v>17274195</v>
      </c>
      <c r="P18">
        <f>'Federal P&amp;L'!P16+'State and Local P&amp;L'!P15</f>
        <v>20278546</v>
      </c>
      <c r="Q18">
        <f>'Federal P&amp;L'!Q16+'State and Local P&amp;L'!Q15</f>
        <v>19684289</v>
      </c>
      <c r="R18">
        <f>'Federal P&amp;L'!R16+'State and Local P&amp;L'!R15</f>
        <v>22541273</v>
      </c>
      <c r="S18">
        <f>'Federal P&amp;L'!S16+'State and Local P&amp;L'!S15</f>
        <v>25785439</v>
      </c>
      <c r="T18">
        <f>'Federal P&amp;L'!T16+'State and Local P&amp;L'!T15</f>
        <v>31047125</v>
      </c>
      <c r="U18">
        <f>'Federal P&amp;L'!U16+'State and Local P&amp;L'!U15</f>
        <v>35301383</v>
      </c>
      <c r="V18">
        <f>'Federal P&amp;L'!V16+'State and Local P&amp;L'!V15</f>
        <v>37044202</v>
      </c>
      <c r="W18">
        <f>'Federal P&amp;L'!W16+'State and Local P&amp;L'!W15</f>
        <v>35950511</v>
      </c>
      <c r="X18">
        <f>'Federal P&amp;L'!X16+'State and Local P&amp;L'!X15</f>
        <v>34017323</v>
      </c>
      <c r="Y18">
        <f>'Federal P&amp;L'!Y16+'State and Local P&amp;L'!Y15</f>
        <v>28674248</v>
      </c>
      <c r="Z18">
        <f>'Federal P&amp;L'!Z16+'State and Local P&amp;L'!Z15</f>
        <v>30589175</v>
      </c>
      <c r="AA18">
        <f>'Federal P&amp;L'!AA16+'State and Local P&amp;L'!AA15</f>
        <v>30185759</v>
      </c>
      <c r="AB18">
        <f>'Federal P&amp;L'!AB16+'State and Local P&amp;L'!AB15</f>
        <v>32837948</v>
      </c>
      <c r="AC18">
        <f>'Federal P&amp;L'!AC16+'State and Local P&amp;L'!AC15</f>
        <v>31162279</v>
      </c>
      <c r="AD18">
        <f>'Federal P&amp;L'!AD16+'State and Local P&amp;L'!AD15</f>
        <v>34193697</v>
      </c>
      <c r="AE18">
        <f>'Federal P&amp;L'!AE16+'State and Local P&amp;L'!AE15</f>
        <v>28401680</v>
      </c>
      <c r="AF18">
        <f>'Federal P&amp;L'!AF16+'State and Local P&amp;L'!AF15</f>
        <v>23038376</v>
      </c>
      <c r="AG18">
        <f>'Federal P&amp;L'!AG16+'State and Local P&amp;L'!AG15</f>
        <v>12209811</v>
      </c>
      <c r="AH18">
        <f>'Federal P&amp;L'!AH16+'State and Local P&amp;L'!AH15</f>
        <v>18844614</v>
      </c>
      <c r="AI18">
        <f>'Federal P&amp;L'!AI16+'State and Local P&amp;L'!AI15</f>
        <v>24096122</v>
      </c>
      <c r="AJ18">
        <f>'Federal P&amp;L'!AJ16+'State and Local P&amp;L'!AJ15</f>
        <v>24310825</v>
      </c>
    </row>
    <row r="19" spans="1:36">
      <c r="A19" s="3" t="s">
        <v>9</v>
      </c>
      <c r="B19">
        <f>'State and Local P&amp;L'!B16</f>
        <v>4167399</v>
      </c>
      <c r="C19">
        <f>'State and Local P&amp;L'!C16</f>
        <v>6379191</v>
      </c>
      <c r="D19">
        <f>'State and Local P&amp;L'!D16</f>
        <v>7829520</v>
      </c>
      <c r="E19">
        <f>'State and Local P&amp;L'!E16</f>
        <v>7405553</v>
      </c>
      <c r="F19">
        <f>'State and Local P&amp;L'!F16</f>
        <v>7266418</v>
      </c>
      <c r="G19">
        <f>'State and Local P&amp;L'!G16</f>
        <v>7211178</v>
      </c>
      <c r="H19">
        <f>'State and Local P&amp;L'!H16</f>
        <v>6125394</v>
      </c>
      <c r="I19">
        <f>'State and Local P&amp;L'!I16</f>
        <v>4050098</v>
      </c>
      <c r="J19">
        <f>'State and Local P&amp;L'!J16</f>
        <v>4330890</v>
      </c>
      <c r="K19">
        <f>'State and Local P&amp;L'!K16</f>
        <v>4144152</v>
      </c>
      <c r="L19">
        <f>'State and Local P&amp;L'!L16</f>
        <v>4682531</v>
      </c>
      <c r="M19">
        <f>'State and Local P&amp;L'!M16</f>
        <v>5366911</v>
      </c>
      <c r="N19">
        <f>'State and Local P&amp;L'!N16</f>
        <v>4647479</v>
      </c>
      <c r="O19">
        <f>'State and Local P&amp;L'!O16</f>
        <v>4907971</v>
      </c>
      <c r="P19">
        <f>'State and Local P&amp;L'!P16</f>
        <v>4298003</v>
      </c>
      <c r="Q19">
        <f>'State and Local P&amp;L'!Q16</f>
        <v>4467629</v>
      </c>
      <c r="R19">
        <f>'State and Local P&amp;L'!R16</f>
        <v>4115529</v>
      </c>
      <c r="S19">
        <f>'State and Local P&amp;L'!S16</f>
        <v>4867898</v>
      </c>
      <c r="T19">
        <f>'State and Local P&amp;L'!T16</f>
        <v>4165773</v>
      </c>
      <c r="U19">
        <f>'State and Local P&amp;L'!U16</f>
        <v>3135150</v>
      </c>
      <c r="V19">
        <f>'State and Local P&amp;L'!V16</f>
        <v>4368012</v>
      </c>
      <c r="W19">
        <f>'State and Local P&amp;L'!W16</f>
        <v>6408733</v>
      </c>
      <c r="X19">
        <f>'State and Local P&amp;L'!X16</f>
        <v>4233989</v>
      </c>
      <c r="Y19">
        <f>'State and Local P&amp;L'!Y16</f>
        <v>5321561</v>
      </c>
      <c r="Z19">
        <f>'State and Local P&amp;L'!Z16</f>
        <v>6362179</v>
      </c>
      <c r="AA19">
        <f>'State and Local P&amp;L'!AA16</f>
        <v>8176588</v>
      </c>
      <c r="AB19">
        <f>'State and Local P&amp;L'!AB16</f>
        <v>10567667</v>
      </c>
      <c r="AC19">
        <f>'State and Local P&amp;L'!AC16</f>
        <v>11141705</v>
      </c>
      <c r="AD19">
        <f>'State and Local P&amp;L'!AD16</f>
        <v>17887975</v>
      </c>
      <c r="AE19">
        <f>'State and Local P&amp;L'!AE16</f>
        <v>13490468</v>
      </c>
      <c r="AF19">
        <f>'State and Local P&amp;L'!AF16</f>
        <v>11479671</v>
      </c>
      <c r="AG19">
        <f>'State and Local P&amp;L'!AG16</f>
        <v>14714276</v>
      </c>
      <c r="AH19">
        <f>'State and Local P&amp;L'!AH16</f>
        <v>17376037</v>
      </c>
      <c r="AI19">
        <f>'State and Local P&amp;L'!AI16</f>
        <v>16569866</v>
      </c>
      <c r="AJ19">
        <f>'State and Local P&amp;L'!AJ16</f>
        <v>17869250</v>
      </c>
    </row>
    <row r="20" spans="1:36">
      <c r="A20" s="3" t="s">
        <v>10</v>
      </c>
      <c r="B20">
        <f>'Federal P&amp;L'!B17</f>
        <v>7173836</v>
      </c>
      <c r="C20">
        <f>'Federal P&amp;L'!C17</f>
        <v>8082808</v>
      </c>
      <c r="D20">
        <f>'Federal P&amp;L'!D17</f>
        <v>8854093</v>
      </c>
      <c r="E20">
        <f>'Federal P&amp;L'!E17</f>
        <v>8654732</v>
      </c>
      <c r="F20">
        <f>'Federal P&amp;L'!F17</f>
        <v>11370044</v>
      </c>
      <c r="G20">
        <f>'Federal P&amp;L'!G17</f>
        <v>12078567</v>
      </c>
      <c r="H20">
        <f>'Federal P&amp;L'!H17</f>
        <v>13326653</v>
      </c>
      <c r="I20">
        <f>'Federal P&amp;L'!I17</f>
        <v>15085039</v>
      </c>
      <c r="J20">
        <f>'Federal P&amp;L'!J17</f>
        <v>16198125</v>
      </c>
      <c r="K20">
        <f>'Federal P&amp;L'!K17</f>
        <v>16333533</v>
      </c>
      <c r="L20">
        <f>'Federal P&amp;L'!L17</f>
        <v>16707311</v>
      </c>
      <c r="M20">
        <f>'Federal P&amp;L'!M17</f>
        <v>15949168</v>
      </c>
      <c r="N20">
        <f>'Federal P&amp;L'!N17</f>
        <v>17359439</v>
      </c>
      <c r="O20">
        <f>'Federal P&amp;L'!O17</f>
        <v>18802080</v>
      </c>
      <c r="P20">
        <f>'Federal P&amp;L'!P17</f>
        <v>20098865</v>
      </c>
      <c r="Q20">
        <f>'Federal P&amp;L'!Q17</f>
        <v>19301000</v>
      </c>
      <c r="R20">
        <f>'Federal P&amp;L'!R17</f>
        <v>18670000</v>
      </c>
      <c r="S20">
        <f>'Federal P&amp;L'!S17</f>
        <v>17928000</v>
      </c>
      <c r="T20">
        <f>'Federal P&amp;L'!T17</f>
        <v>18297000</v>
      </c>
      <c r="U20">
        <f>'Federal P&amp;L'!U17</f>
        <v>18336000</v>
      </c>
      <c r="V20">
        <f>'Federal P&amp;L'!V17</f>
        <v>19914000</v>
      </c>
      <c r="W20">
        <f>'Federal P&amp;L'!W17</f>
        <v>19369000</v>
      </c>
      <c r="X20">
        <f>'Federal P&amp;L'!X17</f>
        <v>18602000</v>
      </c>
      <c r="Y20">
        <f>'Federal P&amp;L'!Y17</f>
        <v>19862000</v>
      </c>
      <c r="Z20">
        <f>'Federal P&amp;L'!Z17</f>
        <v>21083000</v>
      </c>
      <c r="AA20">
        <f>'Federal P&amp;L'!AA17</f>
        <v>23379000</v>
      </c>
      <c r="AB20">
        <f>'Federal P&amp;L'!AB17</f>
        <v>24810000</v>
      </c>
      <c r="AC20">
        <f>'Federal P&amp;L'!AC17</f>
        <v>26010000</v>
      </c>
      <c r="AD20">
        <f>'Federal P&amp;L'!AD17</f>
        <v>27568000</v>
      </c>
      <c r="AE20">
        <f>'Federal P&amp;L'!AE17</f>
        <v>22453000</v>
      </c>
      <c r="AF20">
        <f>'Federal P&amp;L'!AF17</f>
        <v>25298000</v>
      </c>
      <c r="AG20">
        <f>'Federal P&amp;L'!AG17</f>
        <v>29519000</v>
      </c>
      <c r="AH20">
        <f>'Federal P&amp;L'!AH17</f>
        <v>30307000</v>
      </c>
      <c r="AI20">
        <f>'Federal P&amp;L'!AI17</f>
        <v>31815000</v>
      </c>
      <c r="AJ20">
        <f>'Federal P&amp;L'!AJ17</f>
        <v>33926000</v>
      </c>
    </row>
    <row r="21" spans="1:36">
      <c r="A21" s="3" t="s">
        <v>11</v>
      </c>
      <c r="B21">
        <f>'State and Local P&amp;L'!B17</f>
        <v>9078807</v>
      </c>
      <c r="C21">
        <f>'State and Local P&amp;L'!C17</f>
        <v>9904838</v>
      </c>
      <c r="D21">
        <f>'State and Local P&amp;L'!D17</f>
        <v>10530741</v>
      </c>
      <c r="E21">
        <f>'State and Local P&amp;L'!E17</f>
        <v>11117117</v>
      </c>
      <c r="F21">
        <f>'State and Local P&amp;L'!F17</f>
        <v>12402129</v>
      </c>
      <c r="G21">
        <f>'State and Local P&amp;L'!G17</f>
        <v>14326555</v>
      </c>
      <c r="H21">
        <f>'State and Local P&amp;L'!H17</f>
        <v>15494400</v>
      </c>
      <c r="I21">
        <f>'State and Local P&amp;L'!I17</f>
        <v>16596116</v>
      </c>
      <c r="J21">
        <f>'State and Local P&amp;L'!J17</f>
        <v>17673687</v>
      </c>
      <c r="K21">
        <f>'State and Local P&amp;L'!K17</f>
        <v>18415462</v>
      </c>
      <c r="L21">
        <f>'State and Local P&amp;L'!L17</f>
        <v>19634702</v>
      </c>
      <c r="M21">
        <f>'State and Local P&amp;L'!M17</f>
        <v>20225962</v>
      </c>
      <c r="N21">
        <f>'State and Local P&amp;L'!N17</f>
        <v>22466000</v>
      </c>
      <c r="O21">
        <f>'State and Local P&amp;L'!O17</f>
        <v>24182294</v>
      </c>
      <c r="P21">
        <f>'State and Local P&amp;L'!P17</f>
        <v>25047834</v>
      </c>
      <c r="Q21">
        <f>'State and Local P&amp;L'!Q17</f>
        <v>27210725</v>
      </c>
      <c r="R21">
        <f>'State and Local P&amp;L'!R17</f>
        <v>28333996</v>
      </c>
      <c r="S21">
        <f>'State and Local P&amp;L'!S17</f>
        <v>29293738</v>
      </c>
      <c r="T21">
        <f>'State and Local P&amp;L'!T17</f>
        <v>30906539</v>
      </c>
      <c r="U21">
        <f>'State and Local P&amp;L'!U17</f>
        <v>31727532</v>
      </c>
      <c r="V21">
        <f>'State and Local P&amp;L'!V17</f>
        <v>33927319</v>
      </c>
      <c r="W21">
        <f>'State and Local P&amp;L'!W17</f>
        <v>34197890</v>
      </c>
      <c r="X21">
        <f>'State and Local P&amp;L'!X17</f>
        <v>36716191</v>
      </c>
      <c r="Y21">
        <f>'State and Local P&amp;L'!Y17</f>
        <v>37269481</v>
      </c>
      <c r="Z21">
        <f>'State and Local P&amp;L'!Z17</f>
        <v>41255979</v>
      </c>
      <c r="AA21">
        <f>'State and Local P&amp;L'!AA17</f>
        <v>56809940</v>
      </c>
      <c r="AB21">
        <f>'State and Local P&amp;L'!AB17</f>
        <v>61403130</v>
      </c>
      <c r="AC21">
        <f>'State and Local P&amp;L'!AC17</f>
        <v>63744902</v>
      </c>
      <c r="AD21">
        <f>'State and Local P&amp;L'!AD17</f>
        <v>65978268</v>
      </c>
      <c r="AE21">
        <f>'State and Local P&amp;L'!AE17</f>
        <v>64356905</v>
      </c>
      <c r="AF21">
        <f>'State and Local P&amp;L'!AF17</f>
        <v>64614156</v>
      </c>
      <c r="AG21">
        <f>'State and Local P&amp;L'!AG17</f>
        <v>66317275</v>
      </c>
      <c r="AH21">
        <f>'State and Local P&amp;L'!AH17</f>
        <v>69701116</v>
      </c>
      <c r="AI21">
        <f>'State and Local P&amp;L'!AI17</f>
        <v>71371532</v>
      </c>
      <c r="AJ21">
        <f>'State and Local P&amp;L'!AJ17</f>
        <v>68015921</v>
      </c>
    </row>
    <row r="22" spans="1:36">
      <c r="A22" s="3" t="s">
        <v>12</v>
      </c>
      <c r="B22">
        <f>'Federal P&amp;L'!B18+'State and Local P&amp;L'!B18</f>
        <v>5642519</v>
      </c>
      <c r="C22">
        <f>'Federal P&amp;L'!C18+'State and Local P&amp;L'!C18</f>
        <v>5843830</v>
      </c>
      <c r="D22">
        <f>'Federal P&amp;L'!D18+'State and Local P&amp;L'!D18</f>
        <v>5831561</v>
      </c>
      <c r="E22">
        <f>'Federal P&amp;L'!E18+'State and Local P&amp;L'!E18</f>
        <v>6255641</v>
      </c>
      <c r="F22">
        <f>'Federal P&amp;L'!F18+'State and Local P&amp;L'!F18</f>
        <v>8197424</v>
      </c>
      <c r="G22">
        <f>'Federal P&amp;L'!G18+'State and Local P&amp;L'!G18</f>
        <v>9280797</v>
      </c>
      <c r="H22">
        <f>'Federal P&amp;L'!H18+'State and Local P&amp;L'!H18</f>
        <v>10295607</v>
      </c>
      <c r="I22">
        <f>'Federal P&amp;L'!I18+'State and Local P&amp;L'!I18</f>
        <v>12221569</v>
      </c>
      <c r="J22">
        <f>'Federal P&amp;L'!J18+'State and Local P&amp;L'!J18</f>
        <v>12828387</v>
      </c>
      <c r="K22">
        <f>'Federal P&amp;L'!K18+'State and Local P&amp;L'!K18</f>
        <v>13259574</v>
      </c>
      <c r="L22">
        <f>'Federal P&amp;L'!L18+'State and Local P&amp;L'!L18</f>
        <v>13933570</v>
      </c>
      <c r="M22">
        <f>'Federal P&amp;L'!M18+'State and Local P&amp;L'!M18</f>
        <v>13560856</v>
      </c>
      <c r="N22">
        <f>'Federal P&amp;L'!N18+'State and Local P&amp;L'!N18</f>
        <v>14193694</v>
      </c>
      <c r="O22">
        <f>'Federal P&amp;L'!O18+'State and Local P&amp;L'!O18</f>
        <v>15127531</v>
      </c>
      <c r="P22">
        <f>'Federal P&amp;L'!P18+'State and Local P&amp;L'!P18</f>
        <v>17272974</v>
      </c>
      <c r="Q22">
        <f>'Federal P&amp;L'!Q18+'State and Local P&amp;L'!Q18</f>
        <v>18081953</v>
      </c>
      <c r="R22">
        <f>'Federal P&amp;L'!R18+'State and Local P&amp;L'!R18</f>
        <v>18127747</v>
      </c>
      <c r="S22">
        <f>'Federal P&amp;L'!S18+'State and Local P&amp;L'!S18</f>
        <v>19687161</v>
      </c>
      <c r="T22">
        <f>'Federal P&amp;L'!T18+'State and Local P&amp;L'!T18</f>
        <v>23493196</v>
      </c>
      <c r="U22">
        <f>'Federal P&amp;L'!U18+'State and Local P&amp;L'!U18</f>
        <v>26539303</v>
      </c>
      <c r="V22">
        <f>'Federal P&amp;L'!V18+'State and Local P&amp;L'!V18</f>
        <v>28287054</v>
      </c>
      <c r="W22">
        <f>'Federal P&amp;L'!W18+'State and Local P&amp;L'!W18</f>
        <v>29734887</v>
      </c>
      <c r="X22">
        <f>'Federal P&amp;L'!X18+'State and Local P&amp;L'!X18</f>
        <v>32626638</v>
      </c>
      <c r="Y22">
        <f>'Federal P&amp;L'!Y18+'State and Local P&amp;L'!Y18</f>
        <v>36025868</v>
      </c>
      <c r="Z22">
        <f>'Federal P&amp;L'!Z18+'State and Local P&amp;L'!Z18</f>
        <v>42216371</v>
      </c>
      <c r="AA22">
        <f>'Federal P&amp;L'!AA18+'State and Local P&amp;L'!AA18</f>
        <v>36207327</v>
      </c>
      <c r="AB22">
        <f>'Federal P&amp;L'!AB18+'State and Local P&amp;L'!AB18</f>
        <v>39258985</v>
      </c>
      <c r="AC22">
        <f>'Federal P&amp;L'!AC18+'State and Local P&amp;L'!AC18</f>
        <v>37763804</v>
      </c>
      <c r="AD22">
        <f>'Federal P&amp;L'!AD18+'State and Local P&amp;L'!AD18</f>
        <v>34730078</v>
      </c>
      <c r="AE22">
        <f>'Federal P&amp;L'!AE18+'State and Local P&amp;L'!AE18</f>
        <v>28460437</v>
      </c>
      <c r="AF22">
        <f>'Federal P&amp;L'!AF18+'State and Local P&amp;L'!AF18</f>
        <v>29513224</v>
      </c>
      <c r="AG22">
        <f>'Federal P&amp;L'!AG18+'State and Local P&amp;L'!AG18</f>
        <v>30533733</v>
      </c>
      <c r="AH22">
        <f>'Federal P&amp;L'!AH18+'State and Local P&amp;L'!AH18</f>
        <v>33615522</v>
      </c>
      <c r="AI22">
        <f>'Federal P&amp;L'!AI18+'State and Local P&amp;L'!AI18</f>
        <v>35795848</v>
      </c>
      <c r="AJ22">
        <f>'Federal P&amp;L'!AJ18+'State and Local P&amp;L'!AJ18</f>
        <v>38195512</v>
      </c>
    </row>
    <row r="23" spans="1:36">
      <c r="A23" s="2" t="s">
        <v>2</v>
      </c>
      <c r="B23">
        <f>'Federal P&amp;L'!B19+'State and Local P&amp;L'!B19-'State and Local P&amp;L'!B23</f>
        <v>43385823</v>
      </c>
      <c r="C23">
        <f>'Federal P&amp;L'!C19+'State and Local P&amp;L'!C19-'State and Local P&amp;L'!C23</f>
        <v>56962963</v>
      </c>
      <c r="D23">
        <f>'Federal P&amp;L'!D19+'State and Local P&amp;L'!D19-'State and Local P&amp;L'!D23</f>
        <v>61132779</v>
      </c>
      <c r="E23">
        <f>'Federal P&amp;L'!E19+'State and Local P&amp;L'!E19-'State and Local P&amp;L'!E23</f>
        <v>73814291</v>
      </c>
      <c r="F23">
        <f>'Federal P&amp;L'!F19+'State and Local P&amp;L'!F19-'State and Local P&amp;L'!F23</f>
        <v>79041615</v>
      </c>
      <c r="G23">
        <f>'Federal P&amp;L'!G19+'State and Local P&amp;L'!G19-'State and Local P&amp;L'!G23</f>
        <v>88741067</v>
      </c>
      <c r="H23">
        <f>'Federal P&amp;L'!H19+'State and Local P&amp;L'!H19-'State and Local P&amp;L'!H23</f>
        <v>107695343</v>
      </c>
      <c r="I23">
        <f>'Federal P&amp;L'!I19+'State and Local P&amp;L'!I19-'State and Local P&amp;L'!I23</f>
        <v>120317622</v>
      </c>
      <c r="J23">
        <f>'Federal P&amp;L'!J19+'State and Local P&amp;L'!J19-'State and Local P&amp;L'!J23</f>
        <v>104006738</v>
      </c>
      <c r="K23">
        <f>'Federal P&amp;L'!K19+'State and Local P&amp;L'!K19-'State and Local P&amp;L'!K23</f>
        <v>109090143</v>
      </c>
      <c r="L23">
        <f>'Federal P&amp;L'!L19+'State and Local P&amp;L'!L19-'State and Local P&amp;L'!L23</f>
        <v>127681165</v>
      </c>
      <c r="M23">
        <f>'Federal P&amp;L'!M19+'State and Local P&amp;L'!M19-'State and Local P&amp;L'!M23</f>
        <v>116435718</v>
      </c>
      <c r="N23">
        <f>'Federal P&amp;L'!N19+'State and Local P&amp;L'!N19-'State and Local P&amp;L'!N23</f>
        <v>145243963</v>
      </c>
      <c r="O23">
        <f>'Federal P&amp;L'!O19+'State and Local P&amp;L'!O19-'State and Local P&amp;L'!O23</f>
        <v>145192873</v>
      </c>
      <c r="P23">
        <f>'Federal P&amp;L'!P19+'State and Local P&amp;L'!P19-'State and Local P&amp;L'!P23</f>
        <v>148012798</v>
      </c>
      <c r="Q23">
        <f>'Federal P&amp;L'!Q19+'State and Local P&amp;L'!Q19-'State and Local P&amp;L'!Q23</f>
        <v>169536400</v>
      </c>
      <c r="R23">
        <f>'Federal P&amp;L'!R19+'State and Local P&amp;L'!R19-'State and Local P&amp;L'!R23</f>
        <v>205454469</v>
      </c>
      <c r="S23">
        <f>'Federal P&amp;L'!S19+'State and Local P&amp;L'!S19-'State and Local P&amp;L'!S23</f>
        <v>252058538</v>
      </c>
      <c r="T23">
        <f>'Federal P&amp;L'!T19+'State and Local P&amp;L'!T19-'State and Local P&amp;L'!T23</f>
        <v>299048948</v>
      </c>
      <c r="U23">
        <f>'Federal P&amp;L'!U19+'State and Local P&amp;L'!U19-'State and Local P&amp;L'!U23</f>
        <v>294405106</v>
      </c>
      <c r="V23">
        <f>'Federal P&amp;L'!V19+'State and Local P&amp;L'!V19-'State and Local P&amp;L'!V23</f>
        <v>347224333</v>
      </c>
      <c r="W23">
        <f>'Federal P&amp;L'!W19+'State and Local P&amp;L'!W19-'State and Local P&amp;L'!W23</f>
        <v>179919201</v>
      </c>
      <c r="X23">
        <f>'Federal P&amp;L'!X19+'State and Local P&amp;L'!X19-'State and Local P&amp;L'!X23</f>
        <v>43300000</v>
      </c>
      <c r="Y23">
        <f>'Federal P&amp;L'!Y19+'State and Local P&amp;L'!Y19-'State and Local P&amp;L'!Y23</f>
        <v>196927588</v>
      </c>
      <c r="Z23">
        <f>'Federal P&amp;L'!Z19+'State and Local P&amp;L'!Z19-'State and Local P&amp;L'!Z23</f>
        <v>442159969</v>
      </c>
      <c r="AA23">
        <f>'Federal P&amp;L'!AA19+'State and Local P&amp;L'!AA19-'State and Local P&amp;L'!AA23</f>
        <v>399411978</v>
      </c>
      <c r="AB23">
        <f>'Federal P&amp;L'!AB19+'State and Local P&amp;L'!AB19-'State and Local P&amp;L'!AB23</f>
        <v>446363434</v>
      </c>
      <c r="AC23">
        <f>'Federal P&amp;L'!AC19+'State and Local P&amp;L'!AC19-'State and Local P&amp;L'!AC23</f>
        <v>653897031</v>
      </c>
      <c r="AD23">
        <f>'Federal P&amp;L'!AD19+'State and Local P&amp;L'!AD19-'State and Local P&amp;L'!AD23</f>
        <v>115838824</v>
      </c>
      <c r="AE23">
        <f>'Federal P&amp;L'!AE19+'State and Local P&amp;L'!AE19-'State and Local P&amp;L'!AE23</f>
        <v>-432995386</v>
      </c>
      <c r="AF23">
        <f>'Federal P&amp;L'!AF19+'State and Local P&amp;L'!AF19-'State and Local P&amp;L'!AF23</f>
        <v>558942916</v>
      </c>
      <c r="AG23">
        <f>'Federal P&amp;L'!AG19+'State and Local P&amp;L'!AG19-'State and Local P&amp;L'!AG23</f>
        <v>706245957</v>
      </c>
      <c r="AH23">
        <f>'Federal P&amp;L'!AH19+'State and Local P&amp;L'!AH19-'State and Local P&amp;L'!AH23</f>
        <v>337325824</v>
      </c>
      <c r="AI23">
        <f>'Federal P&amp;L'!AI19+'State and Local P&amp;L'!AI19-'State and Local P&amp;L'!AI23</f>
        <v>621032287</v>
      </c>
      <c r="AJ23">
        <f>'Federal P&amp;L'!AJ19+'State and Local P&amp;L'!AJ19-'State and Local P&amp;L'!AJ23</f>
        <v>806005102</v>
      </c>
    </row>
    <row r="24" spans="1:36">
      <c r="A24" s="3" t="s">
        <v>13</v>
      </c>
      <c r="B24">
        <f>'Federal P&amp;L'!B20+'State and Local P&amp;L'!B20</f>
        <v>8265509</v>
      </c>
      <c r="C24">
        <f>'Federal P&amp;L'!C20+'State and Local P&amp;L'!C20</f>
        <v>16299441</v>
      </c>
      <c r="D24">
        <f>'Federal P&amp;L'!D20+'State and Local P&amp;L'!D20</f>
        <v>14280727</v>
      </c>
      <c r="E24">
        <f>'Federal P&amp;L'!E20+'State and Local P&amp;L'!E20</f>
        <v>20549127</v>
      </c>
      <c r="F24">
        <f>'Federal P&amp;L'!F20+'State and Local P&amp;L'!F20</f>
        <v>19611764</v>
      </c>
      <c r="G24">
        <f>'Federal P&amp;L'!G20+'State and Local P&amp;L'!G20</f>
        <v>20581933</v>
      </c>
      <c r="H24">
        <f>'Federal P&amp;L'!H20+'State and Local P&amp;L'!H20</f>
        <v>21256377</v>
      </c>
      <c r="I24">
        <f>'Federal P&amp;L'!I20+'State and Local P&amp;L'!I20</f>
        <v>23823652</v>
      </c>
      <c r="J24">
        <f>'Federal P&amp;L'!J20+'State and Local P&amp;L'!J20</f>
        <v>9111196</v>
      </c>
      <c r="K24">
        <f>'Federal P&amp;L'!K20+'State and Local P&amp;L'!K20</f>
        <v>7730230</v>
      </c>
      <c r="L24">
        <f>'Federal P&amp;L'!L20+'State and Local P&amp;L'!L20</f>
        <v>8488576</v>
      </c>
      <c r="M24">
        <f>'Federal P&amp;L'!M20+'State and Local P&amp;L'!M20</f>
        <v>8725860</v>
      </c>
      <c r="N24">
        <f>'Federal P&amp;L'!N20+'State and Local P&amp;L'!N20</f>
        <v>7446407</v>
      </c>
      <c r="O24">
        <f>'Federal P&amp;L'!O20+'State and Local P&amp;L'!O20</f>
        <v>8203459</v>
      </c>
      <c r="P24">
        <f>'Federal P&amp;L'!P20+'State and Local P&amp;L'!P20</f>
        <v>8130730</v>
      </c>
      <c r="Q24">
        <f>'Federal P&amp;L'!Q20+'State and Local P&amp;L'!Q20</f>
        <v>15795469</v>
      </c>
      <c r="R24">
        <f>'Federal P&amp;L'!R20+'State and Local P&amp;L'!R20</f>
        <v>9690514</v>
      </c>
      <c r="S24">
        <f>'Federal P&amp;L'!S20+'State and Local P&amp;L'!S20</f>
        <v>23310251</v>
      </c>
      <c r="T24">
        <f>'Federal P&amp;L'!T20+'State and Local P&amp;L'!T20</f>
        <v>20364909</v>
      </c>
      <c r="U24">
        <f>'Federal P&amp;L'!U20+'State and Local P&amp;L'!U20</f>
        <v>12087440</v>
      </c>
      <c r="V24">
        <f>'Federal P&amp;L'!V20+'State and Local P&amp;L'!V20</f>
        <v>13547982</v>
      </c>
      <c r="W24">
        <f>'Federal P&amp;L'!W20+'State and Local P&amp;L'!W20</f>
        <v>18996913</v>
      </c>
      <c r="X24">
        <f>'Federal P&amp;L'!X20+'State and Local P&amp;L'!X20</f>
        <v>14192566</v>
      </c>
      <c r="Y24">
        <f>'Federal P&amp;L'!Y20+'State and Local P&amp;L'!Y20</f>
        <v>14717791</v>
      </c>
      <c r="Z24">
        <f>'Federal P&amp;L'!Z20+'State and Local P&amp;L'!Z20</f>
        <v>16188321</v>
      </c>
      <c r="AA24">
        <f>'Federal P&amp;L'!AA20+'State and Local P&amp;L'!AA20</f>
        <v>20075120</v>
      </c>
      <c r="AB24">
        <f>'Federal P&amp;L'!AB20+'State and Local P&amp;L'!AB20</f>
        <v>21357858</v>
      </c>
      <c r="AC24">
        <f>'Federal P&amp;L'!AC20+'State and Local P&amp;L'!AC20</f>
        <v>38039530</v>
      </c>
      <c r="AD24">
        <f>'Federal P&amp;L'!AD20+'State and Local P&amp;L'!AD20</f>
        <v>39577412</v>
      </c>
      <c r="AE24">
        <f>'Federal P&amp;L'!AE20+'State and Local P&amp;L'!AE20</f>
        <v>39796688</v>
      </c>
      <c r="AF24">
        <f>'Federal P&amp;L'!AF20+'State and Local P&amp;L'!AF20</f>
        <v>21903058</v>
      </c>
      <c r="AG24">
        <f>'Federal P&amp;L'!AG20+'State and Local P&amp;L'!AG20</f>
        <v>26527432</v>
      </c>
      <c r="AH24">
        <f>'Federal P&amp;L'!AH20+'State and Local P&amp;L'!AH20</f>
        <v>38360913</v>
      </c>
      <c r="AI24">
        <f>'Federal P&amp;L'!AI20+'State and Local P&amp;L'!AI20</f>
        <v>30597512</v>
      </c>
      <c r="AJ24">
        <f>'Federal P&amp;L'!AJ20+'State and Local P&amp;L'!AJ20</f>
        <v>28430919</v>
      </c>
    </row>
    <row r="25" spans="1:36">
      <c r="A25" s="3" t="s">
        <v>82</v>
      </c>
      <c r="B25">
        <f>'Federal P&amp;L'!B24</f>
        <v>11767143</v>
      </c>
      <c r="C25">
        <f>'Federal P&amp;L'!C24</f>
        <v>12833713</v>
      </c>
      <c r="D25">
        <f>'Federal P&amp;L'!D24</f>
        <v>15185696</v>
      </c>
      <c r="E25">
        <f>'Federal P&amp;L'!E24</f>
        <v>14492350</v>
      </c>
      <c r="F25">
        <f>'Federal P&amp;L'!F24</f>
        <v>15683846</v>
      </c>
      <c r="G25">
        <f>'Federal P&amp;L'!G24</f>
        <v>17058986</v>
      </c>
      <c r="H25">
        <f>'Federal P&amp;L'!H24</f>
        <v>18373909</v>
      </c>
      <c r="I25">
        <f>'Federal P&amp;L'!I24</f>
        <v>16816623</v>
      </c>
      <c r="J25">
        <f>'Federal P&amp;L'!J24</f>
        <v>17163237</v>
      </c>
      <c r="K25">
        <f>'Federal P&amp;L'!K24</f>
        <v>19604126</v>
      </c>
      <c r="L25">
        <f>'Federal P&amp;L'!L24</f>
        <v>24319216</v>
      </c>
      <c r="M25">
        <f>'Federal P&amp;L'!M24</f>
        <v>19158322</v>
      </c>
      <c r="N25">
        <f>'Federal P&amp;L'!N24</f>
        <v>22920445</v>
      </c>
      <c r="O25">
        <f>'Federal P&amp;L'!O24</f>
        <v>14908084</v>
      </c>
      <c r="P25">
        <f>'Federal P&amp;L'!P24</f>
        <v>18022729</v>
      </c>
      <c r="Q25">
        <f>'Federal P&amp;L'!Q24</f>
        <v>23378000</v>
      </c>
      <c r="R25">
        <f>'Federal P&amp;L'!R24</f>
        <v>20477000</v>
      </c>
      <c r="S25">
        <f>'Federal P&amp;L'!S24</f>
        <v>19636000</v>
      </c>
      <c r="T25">
        <f>'Federal P&amp;L'!T24</f>
        <v>24540000</v>
      </c>
      <c r="U25">
        <f>'Federal P&amp;L'!U24</f>
        <v>25917000</v>
      </c>
      <c r="V25">
        <f>'Federal P&amp;L'!V24</f>
        <v>32293000</v>
      </c>
      <c r="W25">
        <f>'Federal P&amp;L'!W24</f>
        <v>26124000</v>
      </c>
      <c r="X25">
        <f>'Federal P&amp;L'!X24</f>
        <v>23683000</v>
      </c>
      <c r="Y25">
        <f>'Federal P&amp;L'!Y24</f>
        <v>21878000</v>
      </c>
      <c r="Z25">
        <f>'Federal P&amp;L'!Z24</f>
        <v>19652000</v>
      </c>
      <c r="AA25">
        <f>'Federal P&amp;L'!AA24</f>
        <v>19297000</v>
      </c>
      <c r="AB25">
        <f>'Federal P&amp;L'!AB24</f>
        <v>29945000</v>
      </c>
      <c r="AC25">
        <f>'Federal P&amp;L'!AC24</f>
        <v>32043000</v>
      </c>
      <c r="AD25">
        <f>'Federal P&amp;L'!AD24</f>
        <v>33598000</v>
      </c>
      <c r="AE25">
        <f>'Federal P&amp;L'!AE24</f>
        <v>34318000</v>
      </c>
      <c r="AF25">
        <f>'Federal P&amp;L'!AF24</f>
        <v>75863000</v>
      </c>
      <c r="AG25">
        <f>'Federal P&amp;L'!AG24</f>
        <v>82729000</v>
      </c>
      <c r="AH25">
        <f>'Federal P&amp;L'!AH24</f>
        <v>82468000</v>
      </c>
      <c r="AI25">
        <f>'Federal P&amp;L'!AI24</f>
        <v>76320000</v>
      </c>
      <c r="AJ25">
        <f>'Federal P&amp;L'!AJ24</f>
        <v>99875000</v>
      </c>
    </row>
    <row r="26" spans="1:36">
      <c r="A26" s="3" t="s">
        <v>299</v>
      </c>
      <c r="B26">
        <f>'State and Local P&amp;L'!B21</f>
        <v>14031154</v>
      </c>
      <c r="C26">
        <f>'State and Local P&amp;L'!C21</f>
        <v>17240949</v>
      </c>
      <c r="D26">
        <f>'State and Local P&amp;L'!D21</f>
        <v>20233222</v>
      </c>
      <c r="E26">
        <f>'State and Local P&amp;L'!E21</f>
        <v>27416969</v>
      </c>
      <c r="F26">
        <f>'State and Local P&amp;L'!F21</f>
        <v>30610640</v>
      </c>
      <c r="G26">
        <f>'State and Local P&amp;L'!G21</f>
        <v>36285574</v>
      </c>
      <c r="H26">
        <f>'State and Local P&amp;L'!H21</f>
        <v>50888782</v>
      </c>
      <c r="I26">
        <f>'State and Local P&amp;L'!I21</f>
        <v>59605976</v>
      </c>
      <c r="J26">
        <f>'State and Local P&amp;L'!J21</f>
        <v>57234466</v>
      </c>
      <c r="K26">
        <f>'State and Local P&amp;L'!K21</f>
        <v>58979925</v>
      </c>
      <c r="L26">
        <f>'State and Local P&amp;L'!L21</f>
        <v>70279883</v>
      </c>
      <c r="M26">
        <f>'State and Local P&amp;L'!M21</f>
        <v>61496254</v>
      </c>
      <c r="N26">
        <f>'State and Local P&amp;L'!N21</f>
        <v>80548468</v>
      </c>
      <c r="O26">
        <f>'State and Local P&amp;L'!O21</f>
        <v>86823768</v>
      </c>
      <c r="P26">
        <f>'State and Local P&amp;L'!P21</f>
        <v>86148733</v>
      </c>
      <c r="Q26">
        <f>'State and Local P&amp;L'!Q21</f>
        <v>91445381</v>
      </c>
      <c r="R26">
        <f>'State and Local P&amp;L'!R21</f>
        <v>133003671</v>
      </c>
      <c r="S26">
        <f>'State and Local P&amp;L'!S21</f>
        <v>163630677</v>
      </c>
      <c r="T26">
        <f>'State and Local P&amp;L'!T21</f>
        <v>202869262</v>
      </c>
      <c r="U26">
        <f>'State and Local P&amp;L'!U21</f>
        <v>202892663</v>
      </c>
      <c r="V26">
        <f>'State and Local P&amp;L'!V21</f>
        <v>237185135</v>
      </c>
      <c r="W26">
        <f>'State and Local P&amp;L'!W21</f>
        <v>65366063</v>
      </c>
      <c r="X26">
        <f>'State and Local P&amp;L'!X21</f>
        <v>-70639641</v>
      </c>
      <c r="Y26">
        <f>'State and Local P&amp;L'!Y21</f>
        <v>76243075</v>
      </c>
      <c r="Z26">
        <f>'State and Local P&amp;L'!Z21</f>
        <v>319821409</v>
      </c>
      <c r="AA26">
        <f>'State and Local P&amp;L'!AA21</f>
        <v>268012830</v>
      </c>
      <c r="AB26">
        <f>'State and Local P&amp;L'!AB21</f>
        <v>295140122</v>
      </c>
      <c r="AC26">
        <f>'State and Local P&amp;L'!AC21</f>
        <v>477666015</v>
      </c>
      <c r="AD26">
        <f>'State and Local P&amp;L'!AD21</f>
        <v>-65516951</v>
      </c>
      <c r="AE26">
        <f>'State and Local P&amp;L'!AE21</f>
        <v>-617535968</v>
      </c>
      <c r="AF26">
        <f>'State and Local P&amp;L'!AF21</f>
        <v>351703928</v>
      </c>
      <c r="AG26">
        <f>'State and Local P&amp;L'!AG21</f>
        <v>485354988</v>
      </c>
      <c r="AH26">
        <f>'State and Local P&amp;L'!AH21</f>
        <v>97715350</v>
      </c>
      <c r="AI26">
        <f>'State and Local P&amp;L'!AI21</f>
        <v>388306592</v>
      </c>
      <c r="AJ26">
        <f>'State and Local P&amp;L'!AJ21</f>
        <v>538987532</v>
      </c>
    </row>
    <row r="27" spans="1:36">
      <c r="A27" s="3" t="s">
        <v>17</v>
      </c>
      <c r="B27">
        <f>'Federal P&amp;L'!B25+'State and Local P&amp;L'!B22</f>
        <v>9322017</v>
      </c>
      <c r="C27">
        <f>'Federal P&amp;L'!C25+'State and Local P&amp;L'!C22</f>
        <v>10588860</v>
      </c>
      <c r="D27">
        <f>'Federal P&amp;L'!D25+'State and Local P&amp;L'!D22</f>
        <v>11433134</v>
      </c>
      <c r="E27">
        <f>'Federal P&amp;L'!E25+'State and Local P&amp;L'!E22</f>
        <v>11355845</v>
      </c>
      <c r="F27">
        <f>'Federal P&amp;L'!F25+'State and Local P&amp;L'!F22</f>
        <v>13135365</v>
      </c>
      <c r="G27">
        <f>'Federal P&amp;L'!G25+'State and Local P&amp;L'!G22</f>
        <v>14814574</v>
      </c>
      <c r="H27">
        <f>'Federal P&amp;L'!H25+'State and Local P&amp;L'!H22</f>
        <v>17176275</v>
      </c>
      <c r="I27">
        <f>'Federal P&amp;L'!I25+'State and Local P&amp;L'!I22</f>
        <v>20071371</v>
      </c>
      <c r="J27">
        <f>'Federal P&amp;L'!J25+'State and Local P&amp;L'!J22</f>
        <v>20497839</v>
      </c>
      <c r="K27">
        <f>'Federal P&amp;L'!K25+'State and Local P&amp;L'!K22</f>
        <v>22775862</v>
      </c>
      <c r="L27">
        <f>'Federal P&amp;L'!L25+'State and Local P&amp;L'!L22</f>
        <v>24593490</v>
      </c>
      <c r="M27">
        <f>'Federal P&amp;L'!M25+'State and Local P&amp;L'!M22</f>
        <v>27055282</v>
      </c>
      <c r="N27">
        <f>'Federal P&amp;L'!N25+'State and Local P&amp;L'!N22</f>
        <v>34328643</v>
      </c>
      <c r="O27">
        <f>'Federal P&amp;L'!O25+'State and Local P&amp;L'!O22</f>
        <v>35257562</v>
      </c>
      <c r="P27">
        <f>'Federal P&amp;L'!P25+'State and Local P&amp;L'!P22</f>
        <v>35710606</v>
      </c>
      <c r="Q27">
        <f>'Federal P&amp;L'!Q25+'State and Local P&amp;L'!Q22</f>
        <v>38917550</v>
      </c>
      <c r="R27">
        <f>'Federal P&amp;L'!R25+'State and Local P&amp;L'!R22</f>
        <v>42283284</v>
      </c>
      <c r="S27">
        <f>'Federal P&amp;L'!S25+'State and Local P&amp;L'!S22</f>
        <v>45481610</v>
      </c>
      <c r="T27">
        <f>'Federal P&amp;L'!T25+'State and Local P&amp;L'!T22</f>
        <v>51274777</v>
      </c>
      <c r="U27">
        <f>'Federal P&amp;L'!U25+'State and Local P&amp;L'!U22</f>
        <v>53508003</v>
      </c>
      <c r="V27">
        <f>'Federal P&amp;L'!V25+'State and Local P&amp;L'!V22</f>
        <v>64198216</v>
      </c>
      <c r="W27">
        <f>'Federal P&amp;L'!W25+'State and Local P&amp;L'!W22</f>
        <v>69432225</v>
      </c>
      <c r="X27">
        <f>'Federal P&amp;L'!X25+'State and Local P&amp;L'!X22</f>
        <v>76064075</v>
      </c>
      <c r="Y27">
        <f>'Federal P&amp;L'!Y25+'State and Local P&amp;L'!Y22</f>
        <v>84088722</v>
      </c>
      <c r="Z27">
        <f>'Federal P&amp;L'!Z25+'State and Local P&amp;L'!Z22</f>
        <v>86498239</v>
      </c>
      <c r="AA27">
        <f>'Federal P&amp;L'!AA25+'State and Local P&amp;L'!AA22</f>
        <v>92027028</v>
      </c>
      <c r="AB27">
        <f>'Federal P&amp;L'!AB25+'State and Local P&amp;L'!AB22</f>
        <v>99920454</v>
      </c>
      <c r="AC27">
        <f>'Federal P&amp;L'!AC25+'State and Local P&amp;L'!AC22</f>
        <v>106148486</v>
      </c>
      <c r="AD27">
        <f>'Federal P&amp;L'!AD25+'State and Local P&amp;L'!AD22</f>
        <v>108180363</v>
      </c>
      <c r="AE27">
        <f>'Federal P&amp;L'!AE25+'State and Local P&amp;L'!AE22</f>
        <v>110425894</v>
      </c>
      <c r="AF27">
        <f>'Federal P&amp;L'!AF25+'State and Local P&amp;L'!AF22</f>
        <v>109472930</v>
      </c>
      <c r="AG27">
        <f>'Federal P&amp;L'!AG25+'State and Local P&amp;L'!AG22</f>
        <v>111634537</v>
      </c>
      <c r="AH27">
        <f>'Federal P&amp;L'!AH25+'State and Local P&amp;L'!AH22</f>
        <v>118781561</v>
      </c>
      <c r="AI27">
        <f>'Federal P&amp;L'!AI25+'State and Local P&amp;L'!AI22</f>
        <v>125808183</v>
      </c>
      <c r="AJ27">
        <f>'Federal P&amp;L'!AJ25+'State and Local P&amp;L'!AJ22</f>
        <v>138711651</v>
      </c>
    </row>
    <row r="29" spans="1:36">
      <c r="A29" s="1" t="s">
        <v>18</v>
      </c>
      <c r="B29">
        <f>'Federal P&amp;L'!B28+'State and Local P&amp;L'!B25+B94</f>
        <v>846850601</v>
      </c>
      <c r="C29">
        <f>'Federal P&amp;L'!C28+'State and Local P&amp;L'!C25+C94</f>
        <v>967135632</v>
      </c>
      <c r="D29">
        <f>'Federal P&amp;L'!D28+'State and Local P&amp;L'!D25+D94</f>
        <v>1056608783</v>
      </c>
      <c r="E29">
        <f>'Federal P&amp;L'!E28+'State and Local P&amp;L'!E25+E94</f>
        <v>1152313194</v>
      </c>
      <c r="F29">
        <f>'Federal P&amp;L'!F28+'State and Local P&amp;L'!F25+F94</f>
        <v>1221070335</v>
      </c>
      <c r="G29">
        <f>'Federal P&amp;L'!G28+'State and Local P&amp;L'!G25+G94</f>
        <v>1349218023</v>
      </c>
      <c r="H29">
        <f>'Federal P&amp;L'!H28+'State and Local P&amp;L'!H25+H94</f>
        <v>1435684294</v>
      </c>
      <c r="I29">
        <f>'Federal P&amp;L'!I28+'State and Local P&amp;L'!I25+I94</f>
        <v>1499310121</v>
      </c>
      <c r="J29">
        <f>'Federal P&amp;L'!J28+'State and Local P&amp;L'!J25+J94</f>
        <v>1587826941</v>
      </c>
      <c r="K29">
        <f>'Federal P&amp;L'!K28+'State and Local P&amp;L'!K25+K94</f>
        <v>1702000505</v>
      </c>
      <c r="L29">
        <f>'Federal P&amp;L'!L28+'State and Local P&amp;L'!L25+L94</f>
        <v>1864116049</v>
      </c>
      <c r="M29">
        <f>'Federal P&amp;L'!M28+'State and Local P&amp;L'!M25+M94</f>
        <v>1986001946</v>
      </c>
      <c r="N29">
        <f>'Federal P&amp;L'!N28+'State and Local P&amp;L'!N25+N94</f>
        <v>2044258138</v>
      </c>
      <c r="O29">
        <f>'Federal P&amp;L'!O28+'State and Local P&amp;L'!O25+O94</f>
        <v>2097750083</v>
      </c>
      <c r="P29">
        <f>'Federal P&amp;L'!P28+'State and Local P&amp;L'!P25+P94</f>
        <v>2173418633</v>
      </c>
      <c r="Q29">
        <f>'Federal P&amp;L'!Q28+'State and Local P&amp;L'!Q25+Q94</f>
        <v>2281972696</v>
      </c>
      <c r="R29">
        <f>'Federal P&amp;L'!R28+'State and Local P&amp;L'!R25+R94</f>
        <v>2347355840</v>
      </c>
      <c r="S29">
        <f>'Federal P&amp;L'!S28+'State and Local P&amp;L'!S25+S94</f>
        <v>2440918523</v>
      </c>
      <c r="T29">
        <f>'Federal P&amp;L'!T28+'State and Local P&amp;L'!T25+T94</f>
        <v>2539517838</v>
      </c>
      <c r="U29">
        <f>'Federal P&amp;L'!U28+'State and Local P&amp;L'!U25+U94</f>
        <v>2644535772</v>
      </c>
      <c r="V29">
        <f>'Federal P&amp;L'!V28+'State and Local P&amp;L'!V25+V94</f>
        <v>2811185335</v>
      </c>
      <c r="W29">
        <f>'Federal P&amp;L'!W28+'State and Local P&amp;L'!W25+W94</f>
        <v>2963936291</v>
      </c>
      <c r="X29">
        <f>'Federal P&amp;L'!X28+'State and Local P&amp;L'!X25+X94</f>
        <v>3193879423</v>
      </c>
      <c r="Y29">
        <f>'Federal P&amp;L'!Y28+'State and Local P&amp;L'!Y25+Y94</f>
        <v>3395131861</v>
      </c>
      <c r="Z29">
        <f>'Federal P&amp;L'!Z28+'State and Local P&amp;L'!Z25+Z94</f>
        <v>3587034073</v>
      </c>
      <c r="AA29">
        <f>'Federal P&amp;L'!AA28+'State and Local P&amp;L'!AA25+AA94</f>
        <v>3834038609</v>
      </c>
      <c r="AB29">
        <f>'Federal P&amp;L'!AB28+'State and Local P&amp;L'!AB25+AB94</f>
        <v>4074767494</v>
      </c>
      <c r="AC29">
        <f>'Federal P&amp;L'!AC28+'State and Local P&amp;L'!AC25+AC94</f>
        <v>4281363002</v>
      </c>
      <c r="AD29">
        <f>'Federal P&amp;L'!AD28+'State and Local P&amp;L'!AD25+AD94</f>
        <v>4657916445</v>
      </c>
      <c r="AE29">
        <f>'Federal P&amp;L'!AE28+'State and Local P&amp;L'!AE25+AE94</f>
        <v>5249853788</v>
      </c>
      <c r="AF29">
        <f>'Federal P&amp;L'!AF28+'State and Local P&amp;L'!AF25+AF94</f>
        <v>5139009032</v>
      </c>
      <c r="AG29">
        <f>'Federal P&amp;L'!AG28+'State and Local P&amp;L'!AG25+AG94</f>
        <v>5304777537</v>
      </c>
      <c r="AH29">
        <f>'Federal P&amp;L'!AH28+'State and Local P&amp;L'!AH25+AH94</f>
        <v>5333109476</v>
      </c>
      <c r="AI29">
        <f>'Federal P&amp;L'!AI28+'State and Local P&amp;L'!AI25+AI94</f>
        <v>5276254333</v>
      </c>
      <c r="AJ29">
        <f>'Federal P&amp;L'!AJ28+'State and Local P&amp;L'!AJ25+AJ94</f>
        <v>5389059977</v>
      </c>
    </row>
    <row r="30" spans="1:36">
      <c r="A30" s="2" t="s">
        <v>325</v>
      </c>
      <c r="B30">
        <f>'Federal P&amp;L'!B29+'State and Local P&amp;L'!B26</f>
        <v>48758016</v>
      </c>
      <c r="C30">
        <f>'Federal P&amp;L'!C29+'State and Local P&amp;L'!C26</f>
        <v>54127417</v>
      </c>
      <c r="D30">
        <f>'Federal P&amp;L'!D29+'State and Local P&amp;L'!D26</f>
        <v>59449685</v>
      </c>
      <c r="E30">
        <f>'Federal P&amp;L'!E29+'State and Local P&amp;L'!E26</f>
        <v>65632402</v>
      </c>
      <c r="F30">
        <f>'Federal P&amp;L'!F29+'State and Local P&amp;L'!F26</f>
        <v>71884763</v>
      </c>
      <c r="G30">
        <f>'Federal P&amp;L'!G29+'State and Local P&amp;L'!G26</f>
        <v>79131432</v>
      </c>
      <c r="H30">
        <f>'Federal P&amp;L'!H29+'State and Local P&amp;L'!H26</f>
        <v>86031485</v>
      </c>
      <c r="I30">
        <f>'Federal P&amp;L'!I29+'State and Local P&amp;L'!I26</f>
        <v>93740415</v>
      </c>
      <c r="J30">
        <f>'Federal P&amp;L'!J29+'State and Local P&amp;L'!J26</f>
        <v>102980190</v>
      </c>
      <c r="K30">
        <f>'Federal P&amp;L'!K29+'State and Local P&amp;L'!K26</f>
        <v>111824716</v>
      </c>
      <c r="L30">
        <f>'Federal P&amp;L'!L29+'State and Local P&amp;L'!L26</f>
        <v>125848854</v>
      </c>
      <c r="M30">
        <f>'Federal P&amp;L'!M29+'State and Local P&amp;L'!M26</f>
        <v>136556207</v>
      </c>
      <c r="N30">
        <f>'Federal P&amp;L'!N29+'State and Local P&amp;L'!N26</f>
        <v>148007633</v>
      </c>
      <c r="O30">
        <f>'Federal P&amp;L'!O29+'State and Local P&amp;L'!O26</f>
        <v>154148101</v>
      </c>
      <c r="P30">
        <f>'Federal P&amp;L'!P29+'State and Local P&amp;L'!P26</f>
        <v>164741040</v>
      </c>
      <c r="Q30">
        <f>'Federal P&amp;L'!Q29+'State and Local P&amp;L'!Q26</f>
        <v>178821940</v>
      </c>
      <c r="R30">
        <f>'Federal P&amp;L'!R29+'State and Local P&amp;L'!R26</f>
        <v>187039725</v>
      </c>
      <c r="S30">
        <f>'Federal P&amp;L'!S29+'State and Local P&amp;L'!S26</f>
        <v>199046148</v>
      </c>
      <c r="T30">
        <f>'Federal P&amp;L'!T29+'State and Local P&amp;L'!T26</f>
        <v>210544557</v>
      </c>
      <c r="U30">
        <f>'Federal P&amp;L'!U29+'State and Local P&amp;L'!U26</f>
        <v>226577937</v>
      </c>
      <c r="V30">
        <f>'Federal P&amp;L'!V29+'State and Local P&amp;L'!V26</f>
        <v>241639888</v>
      </c>
      <c r="W30">
        <f>'Federal P&amp;L'!W29+'State and Local P&amp;L'!W26</f>
        <v>257981589</v>
      </c>
      <c r="X30">
        <f>'Federal P&amp;L'!X29+'State and Local P&amp;L'!X26</f>
        <v>280468660</v>
      </c>
      <c r="Y30">
        <f>'Federal P&amp;L'!Y29+'State and Local P&amp;L'!Y26</f>
        <v>291611461</v>
      </c>
      <c r="Z30">
        <f>'Federal P&amp;L'!Z29+'State and Local P&amp;L'!Z26</f>
        <v>304969078</v>
      </c>
      <c r="AA30">
        <f>'Federal P&amp;L'!AA29+'State and Local P&amp;L'!AA26</f>
        <v>310956434</v>
      </c>
      <c r="AB30">
        <f>'Federal P&amp;L'!AB29+'State and Local P&amp;L'!AB26</f>
        <v>352519465</v>
      </c>
      <c r="AC30">
        <f>'Federal P&amp;L'!AC29+'State and Local P&amp;L'!AC26</f>
        <v>347393549</v>
      </c>
      <c r="AD30">
        <f>'Federal P&amp;L'!AD29+'State and Local P&amp;L'!AD26</f>
        <v>365578875</v>
      </c>
      <c r="AE30">
        <f>'Federal P&amp;L'!AE29+'State and Local P&amp;L'!AE26</f>
        <v>386686672</v>
      </c>
      <c r="AF30">
        <f>'Federal P&amp;L'!AF29+'State and Local P&amp;L'!AF26</f>
        <v>382373434</v>
      </c>
      <c r="AG30">
        <f>'Federal P&amp;L'!AG29+'State and Local P&amp;L'!AG26</f>
        <v>380572305</v>
      </c>
      <c r="AH30">
        <f>'Federal P&amp;L'!AH29+'State and Local P&amp;L'!AH26</f>
        <v>382769276</v>
      </c>
      <c r="AI30">
        <f>'Federal P&amp;L'!AI29+'State and Local P&amp;L'!AI26</f>
        <v>396340066</v>
      </c>
      <c r="AJ30">
        <f>'Federal P&amp;L'!AJ29+'State and Local P&amp;L'!AJ26</f>
        <v>395968520</v>
      </c>
    </row>
    <row r="31" spans="1:36">
      <c r="A31" s="3" t="s">
        <v>28</v>
      </c>
      <c r="B31">
        <f>'Federal P&amp;L'!B30+'State and Local P&amp;L'!B27</f>
        <v>33205486</v>
      </c>
      <c r="C31">
        <f>'Federal P&amp;L'!C30+'State and Local P&amp;L'!C27</f>
        <v>36352081</v>
      </c>
      <c r="D31">
        <f>'Federal P&amp;L'!D30+'State and Local P&amp;L'!D27</f>
        <v>40191737</v>
      </c>
      <c r="E31">
        <f>'Federal P&amp;L'!E30+'State and Local P&amp;L'!E27</f>
        <v>46154596</v>
      </c>
      <c r="F31">
        <f>'Federal P&amp;L'!F30+'State and Local P&amp;L'!F27</f>
        <v>50636250</v>
      </c>
      <c r="G31">
        <f>'Federal P&amp;L'!G30+'State and Local P&amp;L'!G27</f>
        <v>55968221</v>
      </c>
      <c r="H31">
        <f>'Federal P&amp;L'!H30+'State and Local P&amp;L'!H27</f>
        <v>61851022</v>
      </c>
      <c r="I31">
        <f>'Federal P&amp;L'!I30+'State and Local P&amp;L'!I27</f>
        <v>67225296</v>
      </c>
      <c r="J31">
        <f>'Federal P&amp;L'!J30+'State and Local P&amp;L'!J27</f>
        <v>74529963</v>
      </c>
      <c r="K31">
        <f>'Federal P&amp;L'!K30+'State and Local P&amp;L'!K27</f>
        <v>80562032</v>
      </c>
      <c r="L31">
        <f>'Federal P&amp;L'!L30+'State and Local P&amp;L'!L27</f>
        <v>91667736</v>
      </c>
      <c r="M31">
        <f>'Federal P&amp;L'!M30+'State and Local P&amp;L'!M27</f>
        <v>99132134</v>
      </c>
      <c r="N31">
        <f>'Federal P&amp;L'!N30+'State and Local P&amp;L'!N27</f>
        <v>107355517</v>
      </c>
      <c r="O31">
        <f>'Federal P&amp;L'!O30+'State and Local P&amp;L'!O27</f>
        <v>111686117</v>
      </c>
      <c r="P31">
        <f>'Federal P&amp;L'!P30+'State and Local P&amp;L'!P27</f>
        <v>118435168</v>
      </c>
      <c r="Q31">
        <f>'Federal P&amp;L'!Q30+'State and Local P&amp;L'!Q27</f>
        <v>128217020</v>
      </c>
      <c r="R31">
        <f>'Federal P&amp;L'!R30+'State and Local P&amp;L'!R27</f>
        <v>135984551</v>
      </c>
      <c r="S31">
        <f>'Federal P&amp;L'!S30+'State and Local P&amp;L'!S27</f>
        <v>145270227</v>
      </c>
      <c r="T31">
        <f>'Federal P&amp;L'!T30+'State and Local P&amp;L'!T27</f>
        <v>153508077</v>
      </c>
      <c r="U31">
        <f>'Federal P&amp;L'!U30+'State and Local P&amp;L'!U27</f>
        <v>164689988</v>
      </c>
      <c r="V31">
        <f>'Federal P&amp;L'!V30+'State and Local P&amp;L'!V27</f>
        <v>175242621</v>
      </c>
      <c r="W31">
        <f>'Federal P&amp;L'!W30+'State and Local P&amp;L'!W27</f>
        <v>186569389</v>
      </c>
      <c r="X31">
        <f>'Federal P&amp;L'!X30+'State and Local P&amp;L'!X27</f>
        <v>200784400</v>
      </c>
      <c r="Y31">
        <f>'Federal P&amp;L'!Y30+'State and Local P&amp;L'!Y27</f>
        <v>209081544</v>
      </c>
      <c r="Z31">
        <f>'Federal P&amp;L'!Z30+'State and Local P&amp;L'!Z27</f>
        <v>223899321</v>
      </c>
      <c r="AA31">
        <f>'Federal P&amp;L'!AA30+'State and Local P&amp;L'!AA27</f>
        <v>231504657</v>
      </c>
      <c r="AB31">
        <f>'Federal P&amp;L'!AB30+'State and Local P&amp;L'!AB27</f>
        <v>271415087</v>
      </c>
      <c r="AC31">
        <f>'Federal P&amp;L'!AC30+'State and Local P&amp;L'!AC27</f>
        <v>263464290</v>
      </c>
      <c r="AD31">
        <f>'Federal P&amp;L'!AD30+'State and Local P&amp;L'!AD27</f>
        <v>277786895</v>
      </c>
      <c r="AE31">
        <f>'Federal P&amp;L'!AE30+'State and Local P&amp;L'!AE27</f>
        <v>293870557</v>
      </c>
      <c r="AF31">
        <f>'Federal P&amp;L'!AF30+'State and Local P&amp;L'!AF27</f>
        <v>290436646</v>
      </c>
      <c r="AG31">
        <f>'Federal P&amp;L'!AG30+'State and Local P&amp;L'!AG27</f>
        <v>291613127</v>
      </c>
      <c r="AH31">
        <f>'Federal P&amp;L'!AH30+'State and Local P&amp;L'!AH27</f>
        <v>294049963</v>
      </c>
      <c r="AI31">
        <f>'Federal P&amp;L'!AI30+'State and Local P&amp;L'!AI27</f>
        <v>306510117</v>
      </c>
      <c r="AJ31">
        <f>'Federal P&amp;L'!AJ30+'State and Local P&amp;L'!AJ27</f>
        <v>302686131</v>
      </c>
    </row>
    <row r="32" spans="1:36">
      <c r="A32" s="4" t="s">
        <v>29</v>
      </c>
      <c r="B32">
        <f>'Federal P&amp;L'!B31+'State and Local P&amp;L'!B28</f>
        <v>21890926</v>
      </c>
      <c r="C32">
        <f>'Federal P&amp;L'!C31+'State and Local P&amp;L'!C28</f>
        <v>24464218</v>
      </c>
      <c r="D32">
        <f>'Federal P&amp;L'!D31+'State and Local P&amp;L'!D28</f>
        <v>27112207</v>
      </c>
      <c r="E32">
        <f>'Federal P&amp;L'!E31+'State and Local P&amp;L'!E28</f>
        <v>30125438</v>
      </c>
      <c r="F32">
        <f>'Federal P&amp;L'!F31+'State and Local P&amp;L'!F28</f>
        <v>33058680</v>
      </c>
      <c r="G32">
        <f>'Federal P&amp;L'!G31+'State and Local P&amp;L'!G28</f>
        <v>36764258</v>
      </c>
      <c r="H32">
        <f>'Federal P&amp;L'!H31+'State and Local P&amp;L'!H28</f>
        <v>40684839</v>
      </c>
      <c r="I32">
        <f>'Federal P&amp;L'!I31+'State and Local P&amp;L'!I28</f>
        <v>44665045</v>
      </c>
      <c r="J32">
        <f>'Federal P&amp;L'!J31+'State and Local P&amp;L'!J28</f>
        <v>49167313</v>
      </c>
      <c r="K32">
        <f>'Federal P&amp;L'!K31+'State and Local P&amp;L'!K28</f>
        <v>53309310</v>
      </c>
      <c r="L32">
        <f>'Federal P&amp;L'!L31+'State and Local P&amp;L'!L28</f>
        <v>60070227</v>
      </c>
      <c r="M32">
        <f>'Federal P&amp;L'!M31+'State and Local P&amp;L'!M28</f>
        <v>65859780</v>
      </c>
      <c r="N32">
        <f>'Federal P&amp;L'!N31+'State and Local P&amp;L'!N28</f>
        <v>71055326</v>
      </c>
      <c r="O32">
        <f>'Federal P&amp;L'!O31+'State and Local P&amp;L'!O28</f>
        <v>73102713</v>
      </c>
      <c r="P32">
        <f>'Federal P&amp;L'!P31+'State and Local P&amp;L'!P28</f>
        <v>78236999</v>
      </c>
      <c r="Q32">
        <f>'Federal P&amp;L'!Q31+'State and Local P&amp;L'!Q28</f>
        <v>84653386</v>
      </c>
      <c r="R32">
        <f>'Federal P&amp;L'!R31+'State and Local P&amp;L'!R28</f>
        <v>90661002</v>
      </c>
      <c r="S32">
        <f>'Federal P&amp;L'!S31+'State and Local P&amp;L'!S28</f>
        <v>96872200</v>
      </c>
      <c r="T32">
        <f>'Federal P&amp;L'!T31+'State and Local P&amp;L'!T28</f>
        <v>102776832</v>
      </c>
      <c r="U32">
        <f>'Federal P&amp;L'!U31+'State and Local P&amp;L'!U28</f>
        <v>109832591</v>
      </c>
      <c r="V32">
        <f>'Federal P&amp;L'!V31+'State and Local P&amp;L'!V28</f>
        <v>117474510</v>
      </c>
      <c r="W32">
        <f>'Federal P&amp;L'!W31+'State and Local P&amp;L'!W28</f>
        <v>123488428</v>
      </c>
      <c r="X32">
        <f>'Federal P&amp;L'!X31+'State and Local P&amp;L'!X28</f>
        <v>133770631</v>
      </c>
      <c r="Y32">
        <f>'Federal P&amp;L'!Y31+'State and Local P&amp;L'!Y28</f>
        <v>138390686</v>
      </c>
      <c r="Z32">
        <f>'Federal P&amp;L'!Z31+'State and Local P&amp;L'!Z28</f>
        <v>149867466</v>
      </c>
      <c r="AA32">
        <f>'Federal P&amp;L'!AA31+'State and Local P&amp;L'!AA28</f>
        <v>151172166</v>
      </c>
      <c r="AB32">
        <f>'Federal P&amp;L'!AB31+'State and Local P&amp;L'!AB28</f>
        <v>158634798</v>
      </c>
      <c r="AC32">
        <f>'Federal P&amp;L'!AC31+'State and Local P&amp;L'!AC28</f>
        <v>169416914</v>
      </c>
      <c r="AD32">
        <f>'Federal P&amp;L'!AD31+'State and Local P&amp;L'!AD28</f>
        <v>182274648</v>
      </c>
      <c r="AE32">
        <f>'Federal P&amp;L'!AE31+'State and Local P&amp;L'!AE28</f>
        <v>189610275</v>
      </c>
      <c r="AF32">
        <f>'Federal P&amp;L'!AF31+'State and Local P&amp;L'!AF28</f>
        <v>189751071</v>
      </c>
      <c r="AG32">
        <f>'Federal P&amp;L'!AG31+'State and Local P&amp;L'!AG28</f>
        <v>192039525</v>
      </c>
      <c r="AH32">
        <f>'Federal P&amp;L'!AH31+'State and Local P&amp;L'!AH28</f>
        <v>190976728</v>
      </c>
      <c r="AI32">
        <f>'Federal P&amp;L'!AI31+'State and Local P&amp;L'!AI28</f>
        <v>192092712</v>
      </c>
      <c r="AJ32">
        <f>'Federal P&amp;L'!AJ31+'State and Local P&amp;L'!AJ28</f>
        <v>195761596</v>
      </c>
    </row>
    <row r="33" spans="1:36">
      <c r="A33" s="4" t="s">
        <v>30</v>
      </c>
      <c r="B33">
        <f>'Federal P&amp;L'!B32+'State and Local P&amp;L'!B29</f>
        <v>3934533</v>
      </c>
      <c r="C33">
        <f>'Federal P&amp;L'!C32+'State and Local P&amp;L'!C29</f>
        <v>4140992</v>
      </c>
      <c r="D33">
        <f>'Federal P&amp;L'!D32+'State and Local P&amp;L'!D29</f>
        <v>6269210</v>
      </c>
      <c r="E33">
        <f>'Federal P&amp;L'!E32+'State and Local P&amp;L'!E29</f>
        <v>8634824</v>
      </c>
      <c r="F33">
        <f>'Federal P&amp;L'!F32+'State and Local P&amp;L'!F29</f>
        <v>9473652</v>
      </c>
      <c r="G33">
        <f>'Federal P&amp;L'!G32+'State and Local P&amp;L'!G29</f>
        <v>10501600</v>
      </c>
      <c r="H33">
        <f>'Federal P&amp;L'!H32+'State and Local P&amp;L'!H29</f>
        <v>11462344</v>
      </c>
      <c r="I33">
        <f>'Federal P&amp;L'!I32+'State and Local P&amp;L'!I29</f>
        <v>12537429</v>
      </c>
      <c r="J33">
        <f>'Federal P&amp;L'!J32+'State and Local P&amp;L'!J29</f>
        <v>14012949</v>
      </c>
      <c r="K33">
        <f>'Federal P&amp;L'!K32+'State and Local P&amp;L'!K29</f>
        <v>15678724</v>
      </c>
      <c r="L33">
        <f>'Federal P&amp;L'!L32+'State and Local P&amp;L'!L29</f>
        <v>17497404</v>
      </c>
      <c r="M33">
        <f>'Federal P&amp;L'!M32+'State and Local P&amp;L'!M29</f>
        <v>19450015</v>
      </c>
      <c r="N33">
        <f>'Federal P&amp;L'!N32+'State and Local P&amp;L'!N29</f>
        <v>21301819</v>
      </c>
      <c r="O33">
        <f>'Federal P&amp;L'!O32+'State and Local P&amp;L'!O29</f>
        <v>22124048</v>
      </c>
      <c r="P33">
        <f>'Federal P&amp;L'!P32+'State and Local P&amp;L'!P29</f>
        <v>23122658</v>
      </c>
      <c r="Q33">
        <f>'Federal P&amp;L'!Q32+'State and Local P&amp;L'!Q29</f>
        <v>25047153</v>
      </c>
      <c r="R33">
        <f>'Federal P&amp;L'!R32+'State and Local P&amp;L'!R29</f>
        <v>26357777</v>
      </c>
      <c r="S33">
        <f>'Federal P&amp;L'!S32+'State and Local P&amp;L'!S29</f>
        <v>27793774</v>
      </c>
      <c r="T33">
        <f>'Federal P&amp;L'!T32+'State and Local P&amp;L'!T29</f>
        <v>30070382</v>
      </c>
      <c r="U33">
        <f>'Federal P&amp;L'!U32+'State and Local P&amp;L'!U29</f>
        <v>32438294</v>
      </c>
      <c r="V33">
        <f>'Federal P&amp;L'!V32+'State and Local P&amp;L'!V29</f>
        <v>34500180</v>
      </c>
      <c r="W33">
        <f>'Federal P&amp;L'!W32+'State and Local P&amp;L'!W29</f>
        <v>37294901</v>
      </c>
      <c r="X33">
        <f>'Federal P&amp;L'!X32+'State and Local P&amp;L'!X29</f>
        <v>40122148</v>
      </c>
      <c r="Y33">
        <f>'Federal P&amp;L'!Y32+'State and Local P&amp;L'!Y29</f>
        <v>42107282</v>
      </c>
      <c r="Z33">
        <f>'Federal P&amp;L'!Z32+'State and Local P&amp;L'!Z29</f>
        <v>43229300</v>
      </c>
      <c r="AA33">
        <f>'Federal P&amp;L'!AA32+'State and Local P&amp;L'!AA29</f>
        <v>45387379</v>
      </c>
      <c r="AB33">
        <f>'Federal P&amp;L'!AB32+'State and Local P&amp;L'!AB29</f>
        <v>47816723</v>
      </c>
      <c r="AC33">
        <f>'Federal P&amp;L'!AC32+'State and Local P&amp;L'!AC29</f>
        <v>50407825</v>
      </c>
      <c r="AD33">
        <f>'Federal P&amp;L'!AD32+'State and Local P&amp;L'!AD29</f>
        <v>53667373</v>
      </c>
      <c r="AE33">
        <f>'Federal P&amp;L'!AE32+'State and Local P&amp;L'!AE29</f>
        <v>55731817</v>
      </c>
      <c r="AF33">
        <f>'Federal P&amp;L'!AF32+'State and Local P&amp;L'!AF29</f>
        <v>57089929</v>
      </c>
      <c r="AG33">
        <f>'Federal P&amp;L'!AG32+'State and Local P&amp;L'!AG29</f>
        <v>57487983</v>
      </c>
      <c r="AH33">
        <f>'Federal P&amp;L'!AH32+'State and Local P&amp;L'!AH29</f>
        <v>58890152</v>
      </c>
      <c r="AI33">
        <f>'Federal P&amp;L'!AI32+'State and Local P&amp;L'!AI29</f>
        <v>56682541</v>
      </c>
      <c r="AJ33">
        <f>'Federal P&amp;L'!AJ32+'State and Local P&amp;L'!AJ29</f>
        <v>57796275</v>
      </c>
    </row>
    <row r="34" spans="1:36">
      <c r="A34" s="4" t="s">
        <v>31</v>
      </c>
      <c r="B34">
        <f>'State and Local P&amp;L'!B30</f>
        <v>5718232</v>
      </c>
      <c r="C34">
        <f>'State and Local P&amp;L'!C30</f>
        <v>6335761</v>
      </c>
      <c r="D34">
        <f>'State and Local P&amp;L'!D30</f>
        <v>7025556</v>
      </c>
      <c r="E34">
        <f>'State and Local P&amp;L'!E30</f>
        <v>7582075</v>
      </c>
      <c r="F34">
        <f>'State and Local P&amp;L'!F30</f>
        <v>8201727</v>
      </c>
      <c r="G34">
        <f>'State and Local P&amp;L'!G30</f>
        <v>8916631</v>
      </c>
      <c r="H34">
        <f>'State and Local P&amp;L'!H30</f>
        <v>9586526</v>
      </c>
      <c r="I34">
        <f>'State and Local P&amp;L'!I30</f>
        <v>10452893</v>
      </c>
      <c r="J34">
        <f>'State and Local P&amp;L'!J30</f>
        <v>11752856</v>
      </c>
      <c r="K34">
        <f>'State and Local P&amp;L'!K30</f>
        <v>11932217</v>
      </c>
      <c r="L34">
        <f>'State and Local P&amp;L'!L30</f>
        <v>13186081</v>
      </c>
      <c r="M34">
        <f>'State and Local P&amp;L'!M30</f>
        <v>13796137</v>
      </c>
      <c r="N34">
        <f>'State and Local P&amp;L'!N30</f>
        <v>14750658</v>
      </c>
      <c r="O34">
        <f>'State and Local P&amp;L'!O30</f>
        <v>15372647</v>
      </c>
      <c r="P34">
        <f>'State and Local P&amp;L'!P30</f>
        <v>16122797</v>
      </c>
      <c r="Q34">
        <f>'State and Local P&amp;L'!Q30</f>
        <v>17009481</v>
      </c>
      <c r="R34">
        <f>'State and Local P&amp;L'!R30</f>
        <v>17708772</v>
      </c>
      <c r="S34">
        <f>'State and Local P&amp;L'!S30</f>
        <v>19407253</v>
      </c>
      <c r="T34">
        <f>'State and Local P&amp;L'!T30</f>
        <v>20268863</v>
      </c>
      <c r="U34">
        <f>'State and Local P&amp;L'!U30</f>
        <v>21262103</v>
      </c>
      <c r="V34">
        <f>'State and Local P&amp;L'!V30</f>
        <v>23101931</v>
      </c>
      <c r="W34">
        <f>'State and Local P&amp;L'!W30</f>
        <v>24970060</v>
      </c>
      <c r="X34">
        <f>'State and Local P&amp;L'!X30</f>
        <v>25997621</v>
      </c>
      <c r="Y34">
        <f>'State and Local P&amp;L'!Y30</f>
        <v>26337576</v>
      </c>
      <c r="Z34">
        <f>'State and Local P&amp;L'!Z30</f>
        <v>28990555</v>
      </c>
      <c r="AA34">
        <f>'State and Local P&amp;L'!AA30</f>
        <v>30830112</v>
      </c>
      <c r="AB34">
        <f>'State and Local P&amp;L'!AB30</f>
        <v>33654566</v>
      </c>
      <c r="AC34">
        <f>'State and Local P&amp;L'!AC30</f>
        <v>36687551</v>
      </c>
      <c r="AD34">
        <f>'State and Local P&amp;L'!AD30</f>
        <v>39304874</v>
      </c>
      <c r="AE34">
        <f>'State and Local P&amp;L'!AE30</f>
        <v>40886465</v>
      </c>
      <c r="AF34">
        <f>'State and Local P&amp;L'!AF30</f>
        <v>41334646</v>
      </c>
      <c r="AG34">
        <f>'State and Local P&amp;L'!AG30</f>
        <v>41380619</v>
      </c>
      <c r="AH34">
        <f>'State and Local P&amp;L'!AH30</f>
        <v>42450083</v>
      </c>
      <c r="AI34">
        <f>'State and Local P&amp;L'!AI30</f>
        <v>42550864</v>
      </c>
      <c r="AJ34">
        <f>'State and Local P&amp;L'!AJ30</f>
        <v>44140260</v>
      </c>
    </row>
    <row r="35" spans="1:36">
      <c r="A35" s="4" t="s">
        <v>300</v>
      </c>
      <c r="B35">
        <f>'Federal P&amp;L'!B33</f>
        <v>1661795</v>
      </c>
      <c r="C35">
        <f>'Federal P&amp;L'!C33</f>
        <v>1411110</v>
      </c>
      <c r="D35">
        <f>'Federal P&amp;L'!D33</f>
        <v>-215236</v>
      </c>
      <c r="E35">
        <f>'Federal P&amp;L'!E33</f>
        <v>-187741</v>
      </c>
      <c r="F35">
        <f>'Federal P&amp;L'!F33</f>
        <v>-97809</v>
      </c>
      <c r="G35">
        <f>'Federal P&amp;L'!G33</f>
        <v>-214268</v>
      </c>
      <c r="H35">
        <f>'Federal P&amp;L'!H33</f>
        <v>117313</v>
      </c>
      <c r="I35">
        <f>'Federal P&amp;L'!I33</f>
        <v>-430071</v>
      </c>
      <c r="J35">
        <f>'Federal P&amp;L'!J33</f>
        <v>-403155</v>
      </c>
      <c r="K35">
        <f>'Federal P&amp;L'!K33</f>
        <v>-358219</v>
      </c>
      <c r="L35">
        <f>'Federal P&amp;L'!L33</f>
        <v>914024</v>
      </c>
      <c r="M35">
        <f>'Federal P&amp;L'!M33</f>
        <v>26202</v>
      </c>
      <c r="N35">
        <f>'Federal P&amp;L'!N33</f>
        <v>247714</v>
      </c>
      <c r="O35">
        <f>'Federal P&amp;L'!O33</f>
        <v>1086709</v>
      </c>
      <c r="P35">
        <f>'Federal P&amp;L'!P33</f>
        <v>952714</v>
      </c>
      <c r="Q35">
        <f>'Federal P&amp;L'!Q33</f>
        <v>1507000</v>
      </c>
      <c r="R35">
        <f>'Federal P&amp;L'!R33</f>
        <v>1257000</v>
      </c>
      <c r="S35">
        <f>'Federal P&amp;L'!S33</f>
        <v>1197000</v>
      </c>
      <c r="T35">
        <f>'Federal P&amp;L'!T33</f>
        <v>392000</v>
      </c>
      <c r="U35">
        <f>'Federal P&amp;L'!U33</f>
        <v>1157000</v>
      </c>
      <c r="V35">
        <f>'Federal P&amp;L'!V33</f>
        <v>166000</v>
      </c>
      <c r="W35">
        <f>'Federal P&amp;L'!W33</f>
        <v>816000</v>
      </c>
      <c r="X35">
        <f>'Federal P&amp;L'!X33</f>
        <v>894000</v>
      </c>
      <c r="Y35">
        <f>'Federal P&amp;L'!Y33</f>
        <v>2246000</v>
      </c>
      <c r="Z35">
        <f>'Federal P&amp;L'!Z33</f>
        <v>1812000</v>
      </c>
      <c r="AA35">
        <f>'Federal P&amp;L'!AA33</f>
        <v>4115000</v>
      </c>
      <c r="AB35">
        <f>'Federal P&amp;L'!AB33</f>
        <v>31309000</v>
      </c>
      <c r="AC35">
        <f>'Federal P&amp;L'!AC33</f>
        <v>6952000</v>
      </c>
      <c r="AD35">
        <f>'Federal P&amp;L'!AD33</f>
        <v>2540000</v>
      </c>
      <c r="AE35">
        <f>'Federal P&amp;L'!AE33</f>
        <v>7642000</v>
      </c>
      <c r="AF35">
        <f>'Federal P&amp;L'!AF33</f>
        <v>2261000</v>
      </c>
      <c r="AG35">
        <f>'Federal P&amp;L'!AG33</f>
        <v>705000</v>
      </c>
      <c r="AH35">
        <f>'Federal P&amp;L'!AH33</f>
        <v>1733000</v>
      </c>
      <c r="AI35">
        <f>'Federal P&amp;L'!AI33</f>
        <v>15184000</v>
      </c>
      <c r="AJ35">
        <f>'Federal P&amp;L'!AJ33</f>
        <v>4988000</v>
      </c>
    </row>
    <row r="36" spans="1:36">
      <c r="A36" s="3" t="s">
        <v>262</v>
      </c>
      <c r="B36">
        <f>'Federal P&amp;L'!B34+'State and Local P&amp;L'!B31</f>
        <v>3944028</v>
      </c>
      <c r="C36">
        <f>'Federal P&amp;L'!C34+'State and Local P&amp;L'!C31</f>
        <v>4274255</v>
      </c>
      <c r="D36">
        <f>'Federal P&amp;L'!D34+'State and Local P&amp;L'!D31</f>
        <v>4533936</v>
      </c>
      <c r="E36">
        <f>'Federal P&amp;L'!E34+'State and Local P&amp;L'!E31</f>
        <v>4716794</v>
      </c>
      <c r="F36">
        <f>'Federal P&amp;L'!F34+'State and Local P&amp;L'!F31</f>
        <v>5057707</v>
      </c>
      <c r="G36">
        <f>'Federal P&amp;L'!G34+'State and Local P&amp;L'!G31</f>
        <v>5479105</v>
      </c>
      <c r="H36">
        <f>'Federal P&amp;L'!H34+'State and Local P&amp;L'!H31</f>
        <v>6037339</v>
      </c>
      <c r="I36">
        <f>'Federal P&amp;L'!I34+'State and Local P&amp;L'!I31</f>
        <v>6461032</v>
      </c>
      <c r="J36">
        <f>'Federal P&amp;L'!J34+'State and Local P&amp;L'!J31</f>
        <v>6881436</v>
      </c>
      <c r="K36">
        <f>'Federal P&amp;L'!K34+'State and Local P&amp;L'!K31</f>
        <v>7549610</v>
      </c>
      <c r="L36">
        <f>'Federal P&amp;L'!L34+'State and Local P&amp;L'!L31</f>
        <v>8114207</v>
      </c>
      <c r="M36">
        <f>'Federal P&amp;L'!M34+'State and Local P&amp;L'!M31</f>
        <v>8475814</v>
      </c>
      <c r="N36">
        <f>'Federal P&amp;L'!N34+'State and Local P&amp;L'!N31</f>
        <v>9005684</v>
      </c>
      <c r="O36">
        <f>'Federal P&amp;L'!O34+'State and Local P&amp;L'!O31</f>
        <v>8861012</v>
      </c>
      <c r="P36">
        <f>'Federal P&amp;L'!P34+'State and Local P&amp;L'!P31</f>
        <v>9358857</v>
      </c>
      <c r="Q36">
        <f>'Federal P&amp;L'!Q34+'State and Local P&amp;L'!Q31</f>
        <v>10121299</v>
      </c>
      <c r="R36">
        <f>'Federal P&amp;L'!R34+'State and Local P&amp;L'!R31</f>
        <v>9735021</v>
      </c>
      <c r="S36">
        <f>'Federal P&amp;L'!S34+'State and Local P&amp;L'!S31</f>
        <v>10381988</v>
      </c>
      <c r="T36">
        <f>'Federal P&amp;L'!T34+'State and Local P&amp;L'!T31</f>
        <v>10504951</v>
      </c>
      <c r="U36">
        <f>'Federal P&amp;L'!U34+'State and Local P&amp;L'!U31</f>
        <v>11248847</v>
      </c>
      <c r="V36">
        <f>'Federal P&amp;L'!V34+'State and Local P&amp;L'!V31</f>
        <v>11946757</v>
      </c>
      <c r="W36">
        <f>'Federal P&amp;L'!W34+'State and Local P&amp;L'!W31</f>
        <v>12752967</v>
      </c>
      <c r="X36">
        <f>'Federal P&amp;L'!X34+'State and Local P&amp;L'!X31</f>
        <v>14842226</v>
      </c>
      <c r="Y36">
        <f>'Federal P&amp;L'!Y34+'State and Local P&amp;L'!Y31</f>
        <v>15074515</v>
      </c>
      <c r="Z36">
        <f>'Federal P&amp;L'!Z34+'State and Local P&amp;L'!Z31</f>
        <v>14961126</v>
      </c>
      <c r="AA36">
        <f>'Federal P&amp;L'!AA34+'State and Local P&amp;L'!AA31</f>
        <v>15937457</v>
      </c>
      <c r="AB36">
        <f>'Federal P&amp;L'!AB34+'State and Local P&amp;L'!AB31</f>
        <v>16314287</v>
      </c>
      <c r="AC36">
        <f>'Federal P&amp;L'!AC34+'State and Local P&amp;L'!AC31</f>
        <v>18215981</v>
      </c>
      <c r="AD36">
        <f>'Federal P&amp;L'!AD34+'State and Local P&amp;L'!AD31</f>
        <v>19186863</v>
      </c>
      <c r="AE36">
        <f>'Federal P&amp;L'!AE34+'State and Local P&amp;L'!AE31</f>
        <v>20782225</v>
      </c>
      <c r="AF36">
        <f>'Federal P&amp;L'!AF34+'State and Local P&amp;L'!AF31</f>
        <v>20663824</v>
      </c>
      <c r="AG36">
        <f>'Federal P&amp;L'!AG34+'State and Local P&amp;L'!AG31</f>
        <v>19066995</v>
      </c>
      <c r="AH36">
        <f>'Federal P&amp;L'!AH34+'State and Local P&amp;L'!AH31</f>
        <v>19382740</v>
      </c>
      <c r="AI36">
        <f>'Federal P&amp;L'!AI34+'State and Local P&amp;L'!AI31</f>
        <v>19321377</v>
      </c>
      <c r="AJ36">
        <f>'Federal P&amp;L'!AJ34+'State and Local P&amp;L'!AJ31</f>
        <v>19684867</v>
      </c>
    </row>
    <row r="37" spans="1:36">
      <c r="A37" s="3" t="s">
        <v>248</v>
      </c>
      <c r="B37">
        <f>'Federal P&amp;L'!B39+'State and Local P&amp;L'!B32</f>
        <v>11608502</v>
      </c>
      <c r="C37">
        <f>'Federal P&amp;L'!C39+'State and Local P&amp;L'!C32</f>
        <v>13501081</v>
      </c>
      <c r="D37">
        <f>'Federal P&amp;L'!D39+'State and Local P&amp;L'!D32</f>
        <v>14724012</v>
      </c>
      <c r="E37">
        <f>'Federal P&amp;L'!E39+'State and Local P&amp;L'!E32</f>
        <v>14761012</v>
      </c>
      <c r="F37">
        <f>'Federal P&amp;L'!F39+'State and Local P&amp;L'!F32</f>
        <v>16190806</v>
      </c>
      <c r="G37">
        <f>'Federal P&amp;L'!G39+'State and Local P&amp;L'!G32</f>
        <v>17684106</v>
      </c>
      <c r="H37">
        <f>'Federal P&amp;L'!H39+'State and Local P&amp;L'!H32</f>
        <v>18143124</v>
      </c>
      <c r="I37">
        <f>'Federal P&amp;L'!I39+'State and Local P&amp;L'!I32</f>
        <v>20054087</v>
      </c>
      <c r="J37">
        <f>'Federal P&amp;L'!J39+'State and Local P&amp;L'!J32</f>
        <v>21568791</v>
      </c>
      <c r="K37">
        <f>'Federal P&amp;L'!K39+'State and Local P&amp;L'!K32</f>
        <v>23713074</v>
      </c>
      <c r="L37">
        <f>'Federal P&amp;L'!L39+'State and Local P&amp;L'!L32</f>
        <v>26066911</v>
      </c>
      <c r="M37">
        <f>'Federal P&amp;L'!M39+'State and Local P&amp;L'!M32</f>
        <v>28948259</v>
      </c>
      <c r="N37">
        <f>'Federal P&amp;L'!N39+'State and Local P&amp;L'!N32</f>
        <v>31646432</v>
      </c>
      <c r="O37">
        <f>'Federal P&amp;L'!O39+'State and Local P&amp;L'!O32</f>
        <v>33600972</v>
      </c>
      <c r="P37">
        <f>'Federal P&amp;L'!P39+'State and Local P&amp;L'!P32</f>
        <v>36947015</v>
      </c>
      <c r="Q37">
        <f>'Federal P&amp;L'!Q39+'State and Local P&amp;L'!Q32</f>
        <v>40483621</v>
      </c>
      <c r="R37">
        <f>'Federal P&amp;L'!R39+'State and Local P&amp;L'!R32</f>
        <v>41320153</v>
      </c>
      <c r="S37">
        <f>'Federal P&amp;L'!S39+'State and Local P&amp;L'!S32</f>
        <v>43393933</v>
      </c>
      <c r="T37">
        <f>'Federal P&amp;L'!T39+'State and Local P&amp;L'!T32</f>
        <v>46531529</v>
      </c>
      <c r="U37">
        <f>'Federal P&amp;L'!U39+'State and Local P&amp;L'!U32</f>
        <v>50639102</v>
      </c>
      <c r="V37">
        <f>'Federal P&amp;L'!V39+'State and Local P&amp;L'!V32</f>
        <v>54450510</v>
      </c>
      <c r="W37">
        <f>'Federal P&amp;L'!W39+'State and Local P&amp;L'!W32</f>
        <v>58659233</v>
      </c>
      <c r="X37">
        <f>'Federal P&amp;L'!X39+'State and Local P&amp;L'!X32</f>
        <v>64842034</v>
      </c>
      <c r="Y37">
        <f>'Federal P&amp;L'!Y39+'State and Local P&amp;L'!Y32</f>
        <v>67455402</v>
      </c>
      <c r="Z37">
        <f>'Federal P&amp;L'!Z39+'State and Local P&amp;L'!Z32</f>
        <v>66108631</v>
      </c>
      <c r="AA37">
        <f>'Federal P&amp;L'!AA39+'State and Local P&amp;L'!AA32</f>
        <v>63514320</v>
      </c>
      <c r="AB37">
        <f>'Federal P&amp;L'!AB39+'State and Local P&amp;L'!AB32</f>
        <v>64790091</v>
      </c>
      <c r="AC37">
        <f>'Federal P&amp;L'!AC39+'State and Local P&amp;L'!AC32</f>
        <v>65713278</v>
      </c>
      <c r="AD37">
        <f>'Federal P&amp;L'!AD39+'State and Local P&amp;L'!AD32</f>
        <v>68605117</v>
      </c>
      <c r="AE37">
        <f>'Federal P&amp;L'!AE39+'State and Local P&amp;L'!AE32</f>
        <v>72033890</v>
      </c>
      <c r="AF37">
        <f>'Federal P&amp;L'!AF39+'State and Local P&amp;L'!AF32</f>
        <v>71272964</v>
      </c>
      <c r="AG37">
        <f>'Federal P&amp;L'!AG39+'State and Local P&amp;L'!AG32</f>
        <v>69892183</v>
      </c>
      <c r="AH37">
        <f>'Federal P&amp;L'!AH39+'State and Local P&amp;L'!AH32</f>
        <v>69336573</v>
      </c>
      <c r="AI37">
        <f>'Federal P&amp;L'!AI39+'State and Local P&amp;L'!AI32</f>
        <v>70508572</v>
      </c>
      <c r="AJ37">
        <f>'Federal P&amp;L'!AJ39+'State and Local P&amp;L'!AJ32</f>
        <v>73597522</v>
      </c>
    </row>
    <row r="38" spans="1:36">
      <c r="A38" s="2" t="s">
        <v>35</v>
      </c>
      <c r="B38">
        <f>'Federal P&amp;L'!B40+'State and Local P&amp;L'!B33</f>
        <v>168632572</v>
      </c>
      <c r="C38">
        <f>'Federal P&amp;L'!C40+'State and Local P&amp;L'!C33</f>
        <v>194457474</v>
      </c>
      <c r="D38">
        <f>'Federal P&amp;L'!D40+'State and Local P&amp;L'!D33</f>
        <v>222487248</v>
      </c>
      <c r="E38">
        <f>'Federal P&amp;L'!E40+'State and Local P&amp;L'!E33</f>
        <v>247628911</v>
      </c>
      <c r="F38">
        <f>'Federal P&amp;L'!F40+'State and Local P&amp;L'!F33</f>
        <v>270000608</v>
      </c>
      <c r="G38">
        <f>'Federal P&amp;L'!G40+'State and Local P&amp;L'!G33</f>
        <v>296325792</v>
      </c>
      <c r="H38">
        <f>'Federal P&amp;L'!H40+'State and Local P&amp;L'!H33</f>
        <v>315066972</v>
      </c>
      <c r="I38">
        <f>'Federal P&amp;L'!I40+'State and Local P&amp;L'!I33</f>
        <v>321919119</v>
      </c>
      <c r="J38">
        <f>'Federal P&amp;L'!J40+'State and Local P&amp;L'!J33</f>
        <v>332298578</v>
      </c>
      <c r="K38">
        <f>'Federal P&amp;L'!K40+'State and Local P&amp;L'!K33</f>
        <v>344597631</v>
      </c>
      <c r="L38">
        <f>'Federal P&amp;L'!L40+'State and Local P&amp;L'!L33</f>
        <v>343252864</v>
      </c>
      <c r="M38">
        <f>'Federal P&amp;L'!M40+'State and Local P&amp;L'!M33</f>
        <v>321981163</v>
      </c>
      <c r="N38">
        <f>'Federal P&amp;L'!N40+'State and Local P&amp;L'!N33</f>
        <v>350107708</v>
      </c>
      <c r="O38">
        <f>'Federal P&amp;L'!O40+'State and Local P&amp;L'!O33</f>
        <v>345776635</v>
      </c>
      <c r="P38">
        <f>'Federal P&amp;L'!P40+'State and Local P&amp;L'!P33</f>
        <v>338033454</v>
      </c>
      <c r="Q38">
        <f>'Federal P&amp;L'!Q40+'State and Local P&amp;L'!Q33</f>
        <v>327904109</v>
      </c>
      <c r="R38">
        <f>'Federal P&amp;L'!R40+'State and Local P&amp;L'!R33</f>
        <v>318091645</v>
      </c>
      <c r="S38">
        <f>'Federal P&amp;L'!S40+'State and Local P&amp;L'!S33</f>
        <v>327241188</v>
      </c>
      <c r="T38">
        <f>'Federal P&amp;L'!T40+'State and Local P&amp;L'!T33</f>
        <v>326351331</v>
      </c>
      <c r="U38">
        <f>'Federal P&amp;L'!U40+'State and Local P&amp;L'!U33</f>
        <v>336715242</v>
      </c>
      <c r="V38">
        <f>'Federal P&amp;L'!V40+'State and Local P&amp;L'!V33</f>
        <v>362391552</v>
      </c>
      <c r="W38">
        <f>'Federal P&amp;L'!W40+'State and Local P&amp;L'!W33</f>
        <v>370013520</v>
      </c>
      <c r="X38">
        <f>'Federal P&amp;L'!X40+'State and Local P&amp;L'!X33</f>
        <v>427289190</v>
      </c>
      <c r="Y38">
        <f>'Federal P&amp;L'!Y40+'State and Local P&amp;L'!Y33</f>
        <v>489121563</v>
      </c>
      <c r="Z38">
        <f>'Federal P&amp;L'!Z40+'State and Local P&amp;L'!Z33</f>
        <v>550351822</v>
      </c>
      <c r="AA38">
        <f>'Federal P&amp;L'!AA40+'State and Local P&amp;L'!AA33</f>
        <v>607599935</v>
      </c>
      <c r="AB38">
        <f>'Federal P&amp;L'!AB40+'State and Local P&amp;L'!AB33</f>
        <v>629153146</v>
      </c>
      <c r="AC38">
        <f>'Federal P&amp;L'!AC40+'State and Local P&amp;L'!AC33</f>
        <v>661601506</v>
      </c>
      <c r="AD38">
        <f>'Federal P&amp;L'!AD40+'State and Local P&amp;L'!AD33</f>
        <v>741228399</v>
      </c>
      <c r="AE38">
        <f>'Federal P&amp;L'!AE40+'State and Local P&amp;L'!AE33</f>
        <v>809396222</v>
      </c>
      <c r="AF38">
        <f>'Federal P&amp;L'!AF40+'State and Local P&amp;L'!AF33</f>
        <v>861463609</v>
      </c>
      <c r="AG38">
        <f>'Federal P&amp;L'!AG40+'State and Local P&amp;L'!AG33</f>
        <v>892930042</v>
      </c>
      <c r="AH38">
        <f>'Federal P&amp;L'!AH40+'State and Local P&amp;L'!AH33</f>
        <v>863892031</v>
      </c>
      <c r="AI38">
        <f>'Federal P&amp;L'!AI40+'State and Local P&amp;L'!AI33</f>
        <v>832353498</v>
      </c>
      <c r="AJ38">
        <f>'Federal P&amp;L'!AJ40+'State and Local P&amp;L'!AJ33</f>
        <v>813023763</v>
      </c>
    </row>
    <row r="39" spans="1:36">
      <c r="A39" s="3" t="s">
        <v>23</v>
      </c>
      <c r="B39">
        <f>'Federal P&amp;L'!B41+'State and Local P&amp;L'!B34</f>
        <v>155042056</v>
      </c>
      <c r="C39">
        <f>'Federal P&amp;L'!C41+'State and Local P&amp;L'!C34</f>
        <v>180393275</v>
      </c>
      <c r="D39">
        <f>'Federal P&amp;L'!D41+'State and Local P&amp;L'!D34</f>
        <v>209180133</v>
      </c>
      <c r="E39">
        <f>'Federal P&amp;L'!E41+'State and Local P&amp;L'!E34</f>
        <v>234648855</v>
      </c>
      <c r="F39">
        <f>'Federal P&amp;L'!F41+'State and Local P&amp;L'!F34</f>
        <v>252922847</v>
      </c>
      <c r="G39">
        <f>'Federal P&amp;L'!G41+'State and Local P&amp;L'!G34</f>
        <v>278858870</v>
      </c>
      <c r="H39">
        <f>'Federal P&amp;L'!H41+'State and Local P&amp;L'!H34</f>
        <v>299542339</v>
      </c>
      <c r="I39">
        <f>'Federal P&amp;L'!I41+'State and Local P&amp;L'!I34</f>
        <v>308565775</v>
      </c>
      <c r="J39">
        <f>'Federal P&amp;L'!J41+'State and Local P&amp;L'!J34</f>
        <v>319566976</v>
      </c>
      <c r="K39">
        <f>'Federal P&amp;L'!K41+'State and Local P&amp;L'!K34</f>
        <v>333323567</v>
      </c>
      <c r="L39">
        <f>'Federal P&amp;L'!L41+'State and Local P&amp;L'!L34</f>
        <v>328131433</v>
      </c>
      <c r="M39">
        <f>'Federal P&amp;L'!M41+'State and Local P&amp;L'!M34</f>
        <v>304392039</v>
      </c>
      <c r="N39">
        <f>'Federal P&amp;L'!N41+'State and Local P&amp;L'!N34</f>
        <v>332071311</v>
      </c>
      <c r="O39">
        <f>'Federal P&amp;L'!O41+'State and Local P&amp;L'!O34</f>
        <v>326549052</v>
      </c>
      <c r="P39">
        <f>'Federal P&amp;L'!P41+'State and Local P&amp;L'!P34</f>
        <v>319009581</v>
      </c>
      <c r="Q39">
        <f>'Federal P&amp;L'!Q41+'State and Local P&amp;L'!Q34</f>
        <v>309810109</v>
      </c>
      <c r="R39">
        <f>'Federal P&amp;L'!R41+'State and Local P&amp;L'!R34</f>
        <v>302625645</v>
      </c>
      <c r="S39">
        <f>'Federal P&amp;L'!S41+'State and Local P&amp;L'!S34</f>
        <v>309751188</v>
      </c>
      <c r="T39">
        <f>'Federal P&amp;L'!T41+'State and Local P&amp;L'!T34</f>
        <v>309923331</v>
      </c>
      <c r="U39">
        <f>'Federal P&amp;L'!U41+'State and Local P&amp;L'!U34</f>
        <v>317889242</v>
      </c>
      <c r="V39">
        <f>'Federal P&amp;L'!V41+'State and Local P&amp;L'!V34</f>
        <v>341272552</v>
      </c>
      <c r="W39">
        <f>'Federal P&amp;L'!W41+'State and Local P&amp;L'!W34</f>
        <v>349590520</v>
      </c>
      <c r="X39">
        <f>'Federal P&amp;L'!X41+'State and Local P&amp;L'!X34</f>
        <v>399267190</v>
      </c>
      <c r="Y39">
        <f>'Federal P&amp;L'!Y41+'State and Local P&amp;L'!Y34</f>
        <v>462305563</v>
      </c>
      <c r="Z39">
        <f>'Federal P&amp;L'!Z41+'State and Local P&amp;L'!Z34</f>
        <v>516569822</v>
      </c>
      <c r="AA39">
        <f>'Federal P&amp;L'!AA41+'State and Local P&amp;L'!AA34</f>
        <v>566048935</v>
      </c>
      <c r="AB39">
        <f>'Federal P&amp;L'!AB41+'State and Local P&amp;L'!AB34</f>
        <v>591996146</v>
      </c>
      <c r="AC39">
        <f>'Federal P&amp;L'!AC41+'State and Local P&amp;L'!AC34</f>
        <v>624467506</v>
      </c>
      <c r="AD39">
        <f>'Federal P&amp;L'!AD41+'State and Local P&amp;L'!AD34</f>
        <v>701103399</v>
      </c>
      <c r="AE39">
        <f>'Federal P&amp;L'!AE41+'State and Local P&amp;L'!AE34</f>
        <v>756565222</v>
      </c>
      <c r="AF39">
        <f>'Federal P&amp;L'!AF41+'State and Local P&amp;L'!AF34</f>
        <v>801826609</v>
      </c>
      <c r="AG39">
        <f>'Federal P&amp;L'!AG41+'State and Local P&amp;L'!AG34</f>
        <v>832674042</v>
      </c>
      <c r="AH39">
        <f>'Federal P&amp;L'!AH41+'State and Local P&amp;L'!AH34</f>
        <v>802204031</v>
      </c>
      <c r="AI39">
        <f>'Federal P&amp;L'!AI41+'State and Local P&amp;L'!AI34</f>
        <v>772321498</v>
      </c>
      <c r="AJ39">
        <f>'Federal P&amp;L'!AJ41+'State and Local P&amp;L'!AJ34</f>
        <v>752909763</v>
      </c>
    </row>
    <row r="40" spans="1:36">
      <c r="A40" s="4" t="s">
        <v>24</v>
      </c>
      <c r="B40">
        <f>'Federal P&amp;L'!B42</f>
        <v>133902806</v>
      </c>
      <c r="C40">
        <f>'Federal P&amp;L'!C42</f>
        <v>157437840</v>
      </c>
      <c r="D40">
        <f>'Federal P&amp;L'!D42</f>
        <v>185240799</v>
      </c>
      <c r="E40">
        <f>'Federal P&amp;L'!E42</f>
        <v>209816568</v>
      </c>
      <c r="F40">
        <f>'Federal P&amp;L'!F42</f>
        <v>227315228</v>
      </c>
      <c r="G40">
        <f>'Federal P&amp;L'!G42</f>
        <v>252586131</v>
      </c>
      <c r="H40">
        <f>'Federal P&amp;L'!H42</f>
        <v>273196405</v>
      </c>
      <c r="I40">
        <f>'Federal P&amp;L'!I42</f>
        <v>281802417</v>
      </c>
      <c r="J40">
        <f>'Federal P&amp;L'!J42</f>
        <v>290172075</v>
      </c>
      <c r="K40">
        <f>'Federal P&amp;L'!K42</f>
        <v>303301507</v>
      </c>
      <c r="L40">
        <f>'Federal P&amp;L'!L42</f>
        <v>299079753</v>
      </c>
      <c r="M40">
        <f>'Federal P&amp;L'!M42</f>
        <v>273100629</v>
      </c>
      <c r="N40">
        <f>'Federal P&amp;L'!N42</f>
        <v>298027802</v>
      </c>
      <c r="O40">
        <f>'Federal P&amp;L'!O42</f>
        <v>290932181</v>
      </c>
      <c r="P40">
        <f>'Federal P&amp;L'!P42</f>
        <v>281470450</v>
      </c>
      <c r="Q40">
        <f>'Federal P&amp;L'!Q42</f>
        <v>271995000</v>
      </c>
      <c r="R40">
        <f>'Federal P&amp;L'!R42</f>
        <v>265710000</v>
      </c>
      <c r="S40">
        <f>'Federal P&amp;L'!S42</f>
        <v>270502000</v>
      </c>
      <c r="T40">
        <f>'Federal P&amp;L'!T42</f>
        <v>268182000</v>
      </c>
      <c r="U40">
        <f>'Federal P&amp;L'!U42</f>
        <v>274768000</v>
      </c>
      <c r="V40">
        <f>'Federal P&amp;L'!V42</f>
        <v>294361000</v>
      </c>
      <c r="W40">
        <f>'Federal P&amp;L'!W42</f>
        <v>304685000</v>
      </c>
      <c r="X40">
        <f>'Federal P&amp;L'!X42</f>
        <v>348365000</v>
      </c>
      <c r="Y40">
        <f>'Federal P&amp;L'!Y42</f>
        <v>404733000</v>
      </c>
      <c r="Z40">
        <f>'Federal P&amp;L'!Z42</f>
        <v>455813000</v>
      </c>
      <c r="AA40">
        <f>'Federal P&amp;L'!AA42</f>
        <v>495292000</v>
      </c>
      <c r="AB40">
        <f>'Federal P&amp;L'!AB42</f>
        <v>521818000</v>
      </c>
      <c r="AC40">
        <f>'Federal P&amp;L'!AC42</f>
        <v>551258000</v>
      </c>
      <c r="AD40">
        <f>'Federal P&amp;L'!AD42</f>
        <v>616065000</v>
      </c>
      <c r="AE40">
        <f>'Federal P&amp;L'!AE42</f>
        <v>661012000</v>
      </c>
      <c r="AF40">
        <f>'Federal P&amp;L'!AF42</f>
        <v>693485000</v>
      </c>
      <c r="AG40">
        <f>'Federal P&amp;L'!AG42</f>
        <v>705554000</v>
      </c>
      <c r="AH40">
        <f>'Federal P&amp;L'!AH42</f>
        <v>677852000</v>
      </c>
      <c r="AI40">
        <f>'Federal P&amp;L'!AI42</f>
        <v>633446000</v>
      </c>
      <c r="AJ40">
        <f>'Federal P&amp;L'!AJ42</f>
        <v>603457000</v>
      </c>
    </row>
    <row r="41" spans="1:36">
      <c r="A41" s="4" t="s">
        <v>25</v>
      </c>
      <c r="B41">
        <f>'Federal P&amp;L'!B43+'State and Local P&amp;L'!B35</f>
        <v>21139250</v>
      </c>
      <c r="C41">
        <f>'Federal P&amp;L'!C43+'State and Local P&amp;L'!C35</f>
        <v>22955435</v>
      </c>
      <c r="D41">
        <f>'Federal P&amp;L'!D43+'State and Local P&amp;L'!D35</f>
        <v>23939334</v>
      </c>
      <c r="E41">
        <f>'Federal P&amp;L'!E43+'State and Local P&amp;L'!E35</f>
        <v>24832287</v>
      </c>
      <c r="F41">
        <f>'Federal P&amp;L'!F43+'State and Local P&amp;L'!F35</f>
        <v>25607619</v>
      </c>
      <c r="G41">
        <f>'Federal P&amp;L'!G43+'State and Local P&amp;L'!G35</f>
        <v>26272739</v>
      </c>
      <c r="H41">
        <f>'Federal P&amp;L'!H43+'State and Local P&amp;L'!H35</f>
        <v>26345934</v>
      </c>
      <c r="I41">
        <f>'Federal P&amp;L'!I43+'State and Local P&amp;L'!I35</f>
        <v>26763358</v>
      </c>
      <c r="J41">
        <f>'Federal P&amp;L'!J43+'State and Local P&amp;L'!J35</f>
        <v>29394901</v>
      </c>
      <c r="K41">
        <f>'Federal P&amp;L'!K43+'State and Local P&amp;L'!K35</f>
        <v>30022060</v>
      </c>
      <c r="L41">
        <f>'Federal P&amp;L'!L43+'State and Local P&amp;L'!L35</f>
        <v>29051680</v>
      </c>
      <c r="M41">
        <f>'Federal P&amp;L'!M43+'State and Local P&amp;L'!M35</f>
        <v>31291410</v>
      </c>
      <c r="N41">
        <f>'Federal P&amp;L'!N43+'State and Local P&amp;L'!N35</f>
        <v>34043509</v>
      </c>
      <c r="O41">
        <f>'Federal P&amp;L'!O43+'State and Local P&amp;L'!O35</f>
        <v>35616871</v>
      </c>
      <c r="P41">
        <f>'Federal P&amp;L'!P43+'State and Local P&amp;L'!P35</f>
        <v>37539131</v>
      </c>
      <c r="Q41">
        <f>'Federal P&amp;L'!Q43+'State and Local P&amp;L'!Q35</f>
        <v>37815109</v>
      </c>
      <c r="R41">
        <f>'Federal P&amp;L'!R43+'State and Local P&amp;L'!R35</f>
        <v>36915645</v>
      </c>
      <c r="S41">
        <f>'Federal P&amp;L'!S43+'State and Local P&amp;L'!S35</f>
        <v>39249188</v>
      </c>
      <c r="T41">
        <f>'Federal P&amp;L'!T43+'State and Local P&amp;L'!T35</f>
        <v>41741331</v>
      </c>
      <c r="U41">
        <f>'Federal P&amp;L'!U43+'State and Local P&amp;L'!U35</f>
        <v>43121242</v>
      </c>
      <c r="V41">
        <f>'Federal P&amp;L'!V43+'State and Local P&amp;L'!V35</f>
        <v>46911552</v>
      </c>
      <c r="W41">
        <f>'Federal P&amp;L'!W43+'State and Local P&amp;L'!W35</f>
        <v>44905520</v>
      </c>
      <c r="X41">
        <f>'Federal P&amp;L'!X43+'State and Local P&amp;L'!X35</f>
        <v>50902190</v>
      </c>
      <c r="Y41">
        <f>'Federal P&amp;L'!Y43+'State and Local P&amp;L'!Y35</f>
        <v>57572563</v>
      </c>
      <c r="Z41">
        <f>'Federal P&amp;L'!Z43+'State and Local P&amp;L'!Z35</f>
        <v>60756822</v>
      </c>
      <c r="AA41">
        <f>'Federal P&amp;L'!AA43+'State and Local P&amp;L'!AA35</f>
        <v>70756935</v>
      </c>
      <c r="AB41">
        <f>'Federal P&amp;L'!AB43+'State and Local P&amp;L'!AB35</f>
        <v>70178146</v>
      </c>
      <c r="AC41">
        <f>'Federal P&amp;L'!AC43+'State and Local P&amp;L'!AC35</f>
        <v>73209506</v>
      </c>
      <c r="AD41">
        <f>'Federal P&amp;L'!AD43+'State and Local P&amp;L'!AD35</f>
        <v>85038399</v>
      </c>
      <c r="AE41">
        <f>'Federal P&amp;L'!AE43+'State and Local P&amp;L'!AE35</f>
        <v>95553222</v>
      </c>
      <c r="AF41">
        <f>'Federal P&amp;L'!AF43+'State and Local P&amp;L'!AF35</f>
        <v>108341609</v>
      </c>
      <c r="AG41">
        <f>'Federal P&amp;L'!AG43+'State and Local P&amp;L'!AG35</f>
        <v>127120042</v>
      </c>
      <c r="AH41">
        <f>'Federal P&amp;L'!AH43+'State and Local P&amp;L'!AH35</f>
        <v>124352031</v>
      </c>
      <c r="AI41">
        <f>'Federal P&amp;L'!AI43+'State and Local P&amp;L'!AI35</f>
        <v>138875498</v>
      </c>
      <c r="AJ41">
        <f>'Federal P&amp;L'!AJ43+'State and Local P&amp;L'!AJ35</f>
        <v>149452763</v>
      </c>
    </row>
    <row r="42" spans="1:36">
      <c r="A42" s="3" t="s">
        <v>160</v>
      </c>
      <c r="B42">
        <f>'Federal P&amp;L'!B49</f>
        <v>12713963</v>
      </c>
      <c r="C42">
        <f>'Federal P&amp;L'!C49</f>
        <v>13104204</v>
      </c>
      <c r="D42">
        <f>'Federal P&amp;L'!D49</f>
        <v>12299579</v>
      </c>
      <c r="E42">
        <f>'Federal P&amp;L'!E49</f>
        <v>11847552</v>
      </c>
      <c r="F42">
        <f>'Federal P&amp;L'!F49</f>
        <v>15868975</v>
      </c>
      <c r="G42">
        <f>'Federal P&amp;L'!G49</f>
        <v>16169296</v>
      </c>
      <c r="H42">
        <f>'Federal P&amp;L'!H49</f>
        <v>14145803</v>
      </c>
      <c r="I42">
        <f>'Federal P&amp;L'!I49</f>
        <v>11644938</v>
      </c>
      <c r="J42">
        <f>'Federal P&amp;L'!J49</f>
        <v>10465812</v>
      </c>
      <c r="K42">
        <f>'Federal P&amp;L'!K49</f>
        <v>9583322</v>
      </c>
      <c r="L42">
        <f>'Federal P&amp;L'!L49</f>
        <v>13758498</v>
      </c>
      <c r="M42">
        <f>'Federal P&amp;L'!M49</f>
        <v>15846157</v>
      </c>
      <c r="N42">
        <f>'Federal P&amp;L'!N49</f>
        <v>16090130</v>
      </c>
      <c r="O42">
        <f>'Federal P&amp;L'!O49</f>
        <v>17218058</v>
      </c>
      <c r="P42">
        <f>'Federal P&amp;L'!P49</f>
        <v>17067433</v>
      </c>
      <c r="Q42">
        <f>'Federal P&amp;L'!Q49</f>
        <v>16429000</v>
      </c>
      <c r="R42">
        <f>'Federal P&amp;L'!R49</f>
        <v>13487000</v>
      </c>
      <c r="S42">
        <f>'Federal P&amp;L'!S49</f>
        <v>15173000</v>
      </c>
      <c r="T42">
        <f>'Federal P&amp;L'!T49</f>
        <v>13047000</v>
      </c>
      <c r="U42">
        <f>'Federal P&amp;L'!U49</f>
        <v>15204000</v>
      </c>
      <c r="V42">
        <f>'Federal P&amp;L'!V49</f>
        <v>17222000</v>
      </c>
      <c r="W42">
        <f>'Federal P&amp;L'!W49</f>
        <v>16463000</v>
      </c>
      <c r="X42">
        <f>'Federal P&amp;L'!X49</f>
        <v>22300000</v>
      </c>
      <c r="Y42">
        <f>'Federal P&amp;L'!Y49</f>
        <v>21173000</v>
      </c>
      <c r="Z42">
        <f>'Federal P&amp;L'!Z49</f>
        <v>26908000</v>
      </c>
      <c r="AA42">
        <f>'Federal P&amp;L'!AA49</f>
        <v>34578000</v>
      </c>
      <c r="AB42">
        <f>'Federal P&amp;L'!AB49</f>
        <v>29513000</v>
      </c>
      <c r="AC42">
        <f>'Federal P&amp;L'!AC49</f>
        <v>28470000</v>
      </c>
      <c r="AD42">
        <f>'Federal P&amp;L'!AD49</f>
        <v>28855000</v>
      </c>
      <c r="AE42">
        <f>'Federal P&amp;L'!AE49</f>
        <v>37532000</v>
      </c>
      <c r="AF42">
        <f>'Federal P&amp;L'!AF49</f>
        <v>45210000</v>
      </c>
      <c r="AG42">
        <f>'Federal P&amp;L'!AG49</f>
        <v>45668000</v>
      </c>
      <c r="AH42">
        <f>'Federal P&amp;L'!AH49</f>
        <v>47168000</v>
      </c>
      <c r="AI42">
        <f>'Federal P&amp;L'!AI49</f>
        <v>46208000</v>
      </c>
      <c r="AJ42">
        <f>'Federal P&amp;L'!AJ49</f>
        <v>46732000</v>
      </c>
    </row>
    <row r="43" spans="1:36">
      <c r="A43" s="3" t="s">
        <v>301</v>
      </c>
      <c r="B43">
        <f>'Federal P&amp;L'!B53</f>
        <v>876553</v>
      </c>
      <c r="C43">
        <f>'Federal P&amp;L'!C53</f>
        <v>959995</v>
      </c>
      <c r="D43">
        <f>'Federal P&amp;L'!D53</f>
        <v>1007536</v>
      </c>
      <c r="E43">
        <f>'Federal P&amp;L'!E53</f>
        <v>1132504</v>
      </c>
      <c r="F43">
        <f>'Federal P&amp;L'!F53</f>
        <v>1208786</v>
      </c>
      <c r="G43">
        <f>'Federal P&amp;L'!G53</f>
        <v>1297626</v>
      </c>
      <c r="H43">
        <f>'Federal P&amp;L'!H53</f>
        <v>1378830</v>
      </c>
      <c r="I43">
        <f>'Federal P&amp;L'!I53</f>
        <v>1708406</v>
      </c>
      <c r="J43">
        <f>'Federal P&amp;L'!J53</f>
        <v>2265790</v>
      </c>
      <c r="K43">
        <f>'Federal P&amp;L'!K53</f>
        <v>1690742</v>
      </c>
      <c r="L43">
        <f>'Federal P&amp;L'!L53</f>
        <v>1362933</v>
      </c>
      <c r="M43">
        <f>'Federal P&amp;L'!M53</f>
        <v>1742967</v>
      </c>
      <c r="N43">
        <f>'Federal P&amp;L'!N53</f>
        <v>1946267</v>
      </c>
      <c r="O43">
        <f>'Federal P&amp;L'!O53</f>
        <v>2009525</v>
      </c>
      <c r="P43">
        <f>'Federal P&amp;L'!P53</f>
        <v>1956440</v>
      </c>
      <c r="Q43">
        <f>'Federal P&amp;L'!Q53</f>
        <v>1665000</v>
      </c>
      <c r="R43">
        <f>'Federal P&amp;L'!R53</f>
        <v>1979000</v>
      </c>
      <c r="S43">
        <f>'Federal P&amp;L'!S53</f>
        <v>2317000</v>
      </c>
      <c r="T43">
        <f>'Federal P&amp;L'!T53</f>
        <v>3381000</v>
      </c>
      <c r="U43">
        <f>'Federal P&amp;L'!U53</f>
        <v>3622000</v>
      </c>
      <c r="V43">
        <f>'Federal P&amp;L'!V53</f>
        <v>3897000</v>
      </c>
      <c r="W43">
        <f>'Federal P&amp;L'!W53</f>
        <v>3960000</v>
      </c>
      <c r="X43">
        <f>'Federal P&amp;L'!X53</f>
        <v>5722000</v>
      </c>
      <c r="Y43">
        <f>'Federal P&amp;L'!Y53</f>
        <v>5643000</v>
      </c>
      <c r="Z43">
        <f>'Federal P&amp;L'!Z53</f>
        <v>6874000</v>
      </c>
      <c r="AA43">
        <f>'Federal P&amp;L'!AA53</f>
        <v>6973000</v>
      </c>
      <c r="AB43">
        <f>'Federal P&amp;L'!AB53</f>
        <v>7644000</v>
      </c>
      <c r="AC43">
        <f>'Federal P&amp;L'!AC53</f>
        <v>8664000</v>
      </c>
      <c r="AD43">
        <f>'Federal P&amp;L'!AD53</f>
        <v>11270000</v>
      </c>
      <c r="AE43">
        <f>'Federal P&amp;L'!AE53</f>
        <v>15299000</v>
      </c>
      <c r="AF43">
        <f>'Federal P&amp;L'!AF53</f>
        <v>14427000</v>
      </c>
      <c r="AG43">
        <f>'Federal P&amp;L'!AG53</f>
        <v>14588000</v>
      </c>
      <c r="AH43">
        <f>'Federal P&amp;L'!AH53</f>
        <v>14520000</v>
      </c>
      <c r="AI43">
        <f>'Federal P&amp;L'!AI53</f>
        <v>13824000</v>
      </c>
      <c r="AJ43">
        <f>'Federal P&amp;L'!AJ53</f>
        <v>13382000</v>
      </c>
    </row>
    <row r="44" spans="1:36">
      <c r="A44" s="2" t="s">
        <v>36</v>
      </c>
      <c r="B44">
        <f>'Federal P&amp;L'!B54+'State and Local P&amp;L'!B36</f>
        <v>158325964</v>
      </c>
      <c r="C44">
        <f>'Federal P&amp;L'!C54+'State and Local P&amp;L'!C36</f>
        <v>174720442</v>
      </c>
      <c r="D44">
        <f>'Federal P&amp;L'!D54+'State and Local P&amp;L'!D36</f>
        <v>181132656</v>
      </c>
      <c r="E44">
        <f>'Federal P&amp;L'!E54+'State and Local P&amp;L'!E36</f>
        <v>201181401</v>
      </c>
      <c r="F44">
        <f>'Federal P&amp;L'!F54+'State and Local P&amp;L'!F36</f>
        <v>198137434</v>
      </c>
      <c r="G44">
        <f>'Federal P&amp;L'!G54+'State and Local P&amp;L'!G36</f>
        <v>222873060</v>
      </c>
      <c r="H44">
        <f>'Federal P&amp;L'!H54+'State and Local P&amp;L'!H36</f>
        <v>225448523</v>
      </c>
      <c r="I44">
        <f>'Federal P&amp;L'!I54+'State and Local P&amp;L'!I36</f>
        <v>236731707</v>
      </c>
      <c r="J44">
        <f>'Federal P&amp;L'!J54+'State and Local P&amp;L'!J36</f>
        <v>261687770</v>
      </c>
      <c r="K44">
        <f>'Federal P&amp;L'!K54+'State and Local P&amp;L'!K36</f>
        <v>290392449</v>
      </c>
      <c r="L44">
        <f>'Federal P&amp;L'!L54+'State and Local P&amp;L'!L36</f>
        <v>358238590</v>
      </c>
      <c r="M44">
        <f>'Federal P&amp;L'!M54+'State and Local P&amp;L'!M36</f>
        <v>410169150</v>
      </c>
      <c r="N44">
        <f>'Federal P&amp;L'!N54+'State and Local P&amp;L'!N36</f>
        <v>415027257</v>
      </c>
      <c r="O44">
        <f>'Federal P&amp;L'!O54+'State and Local P&amp;L'!O36</f>
        <v>408437351</v>
      </c>
      <c r="P44">
        <f>'Federal P&amp;L'!P54+'State and Local P&amp;L'!P36</f>
        <v>444980499</v>
      </c>
      <c r="Q44">
        <f>'Federal P&amp;L'!Q54+'State and Local P&amp;L'!Q36</f>
        <v>448862037</v>
      </c>
      <c r="R44">
        <f>'Federal P&amp;L'!R54+'State and Local P&amp;L'!R36</f>
        <v>466762392</v>
      </c>
      <c r="S44">
        <f>'Federal P&amp;L'!S54+'State and Local P&amp;L'!S36</f>
        <v>474009199</v>
      </c>
      <c r="T44">
        <f>'Federal P&amp;L'!T54+'State and Local P&amp;L'!T36</f>
        <v>499288691</v>
      </c>
      <c r="U44">
        <f>'Federal P&amp;L'!U54+'State and Local P&amp;L'!U36</f>
        <v>517041840</v>
      </c>
      <c r="V44">
        <f>'Federal P&amp;L'!V54+'State and Local P&amp;L'!V36</f>
        <v>562439108</v>
      </c>
      <c r="W44">
        <f>'Federal P&amp;L'!W54+'State and Local P&amp;L'!W36</f>
        <v>608043972</v>
      </c>
      <c r="X44">
        <f>'Federal P&amp;L'!X54+'State and Local P&amp;L'!X36</f>
        <v>692607605</v>
      </c>
      <c r="Y44">
        <f>'Federal P&amp;L'!Y54+'State and Local P&amp;L'!Y36</f>
        <v>748991414</v>
      </c>
      <c r="Z44">
        <f>'Federal P&amp;L'!Z54+'State and Local P&amp;L'!Z36</f>
        <v>781732768</v>
      </c>
      <c r="AA44">
        <f>'Federal P&amp;L'!AA54+'State and Local P&amp;L'!AA36</f>
        <v>836657942</v>
      </c>
      <c r="AB44">
        <f>'Federal P&amp;L'!AB54+'State and Local P&amp;L'!AB36</f>
        <v>843906572</v>
      </c>
      <c r="AC44">
        <f>'Federal P&amp;L'!AC54+'State and Local P&amp;L'!AC36</f>
        <v>898223028</v>
      </c>
      <c r="AD44">
        <f>'Federal P&amp;L'!AD54+'State and Local P&amp;L'!AD36</f>
        <v>1020604054</v>
      </c>
      <c r="AE44">
        <f>'Federal P&amp;L'!AE54+'State and Local P&amp;L'!AE36</f>
        <v>1312550553</v>
      </c>
      <c r="AF44">
        <f>'Federal P&amp;L'!AF54+'State and Local P&amp;L'!AF36</f>
        <v>1146667617</v>
      </c>
      <c r="AG44">
        <f>'Federal P&amp;L'!AG54+'State and Local P&amp;L'!AG36</f>
        <v>1244762577</v>
      </c>
      <c r="AH44">
        <f>'Federal P&amp;L'!AH54+'State and Local P&amp;L'!AH36</f>
        <v>1274274022</v>
      </c>
      <c r="AI44">
        <f>'Federal P&amp;L'!AI54+'State and Local P&amp;L'!AI36</f>
        <v>1229057613</v>
      </c>
      <c r="AJ44">
        <f>'Federal P&amp;L'!AJ54+'State and Local P&amp;L'!AJ36</f>
        <v>1232444200</v>
      </c>
    </row>
    <row r="45" spans="1:36">
      <c r="A45" s="3" t="s">
        <v>302</v>
      </c>
      <c r="B45">
        <f>'Federal P&amp;L'!B55+'State and Local P&amp;L'!B37</f>
        <v>56612665</v>
      </c>
      <c r="C45">
        <f>'Federal P&amp;L'!C55+'State and Local P&amp;L'!C37</f>
        <v>60031495</v>
      </c>
      <c r="D45">
        <f>'Federal P&amp;L'!D55+'State and Local P&amp;L'!D37</f>
        <v>57622778</v>
      </c>
      <c r="E45">
        <f>'Federal P&amp;L'!E55+'State and Local P&amp;L'!E37</f>
        <v>61719146</v>
      </c>
      <c r="F45">
        <f>'Federal P&amp;L'!F55+'State and Local P&amp;L'!F37</f>
        <v>65965079</v>
      </c>
      <c r="G45">
        <f>'Federal P&amp;L'!G55+'State and Local P&amp;L'!G37</f>
        <v>69744274</v>
      </c>
      <c r="H45">
        <f>'Federal P&amp;L'!H55+'State and Local P&amp;L'!H37</f>
        <v>77441088</v>
      </c>
      <c r="I45">
        <f>'Federal P&amp;L'!I55+'State and Local P&amp;L'!I37</f>
        <v>81969374</v>
      </c>
      <c r="J45">
        <f>'Federal P&amp;L'!J55+'State and Local P&amp;L'!J37</f>
        <v>94173225</v>
      </c>
      <c r="K45">
        <f>'Federal P&amp;L'!K55+'State and Local P&amp;L'!K37</f>
        <v>108064667</v>
      </c>
      <c r="L45">
        <f>'Federal P&amp;L'!L55+'State and Local P&amp;L'!L37</f>
        <v>154402009</v>
      </c>
      <c r="M45">
        <f>'Federal P&amp;L'!M55+'State and Local P&amp;L'!M37</f>
        <v>168742623</v>
      </c>
      <c r="N45">
        <f>'Federal P&amp;L'!N55+'State and Local P&amp;L'!N37</f>
        <v>109721246</v>
      </c>
      <c r="O45">
        <f>'Federal P&amp;L'!O55+'State and Local P&amp;L'!O37</f>
        <v>80290868</v>
      </c>
      <c r="P45">
        <f>'Federal P&amp;L'!P55+'State and Local P&amp;L'!P37</f>
        <v>105254528</v>
      </c>
      <c r="Q45">
        <f>'Federal P&amp;L'!Q55+'State and Local P&amp;L'!Q37</f>
        <v>94799242</v>
      </c>
      <c r="R45">
        <f>'Federal P&amp;L'!R55+'State and Local P&amp;L'!R37</f>
        <v>106834358</v>
      </c>
      <c r="S45">
        <f>'Federal P&amp;L'!S55+'State and Local P&amp;L'!S37</f>
        <v>105207067</v>
      </c>
      <c r="T45">
        <f>'Federal P&amp;L'!T55+'State and Local P&amp;L'!T37</f>
        <v>126708781</v>
      </c>
      <c r="U45">
        <f>'Federal P&amp;L'!U55+'State and Local P&amp;L'!U37</f>
        <v>130856806</v>
      </c>
      <c r="V45">
        <f>'Federal P&amp;L'!V55+'State and Local P&amp;L'!V37</f>
        <v>147008379</v>
      </c>
      <c r="W45">
        <f>'Federal P&amp;L'!W55+'State and Local P&amp;L'!W37</f>
        <v>161393317</v>
      </c>
      <c r="X45">
        <f>'Federal P&amp;L'!X55+'State and Local P&amp;L'!X37</f>
        <v>174172238</v>
      </c>
      <c r="Y45">
        <f>'Federal P&amp;L'!Y55+'State and Local P&amp;L'!Y37</f>
        <v>182236293</v>
      </c>
      <c r="Z45">
        <f>'Federal P&amp;L'!Z55+'State and Local P&amp;L'!Z37</f>
        <v>180216834</v>
      </c>
      <c r="AA45">
        <f>'Federal P&amp;L'!AA55+'State and Local P&amp;L'!AA37</f>
        <v>197576313</v>
      </c>
      <c r="AB45">
        <f>'Federal P&amp;L'!AB55+'State and Local P&amp;L'!AB37</f>
        <v>197121678</v>
      </c>
      <c r="AC45">
        <f>'Federal P&amp;L'!AC55+'State and Local P&amp;L'!AC37</f>
        <v>217035415</v>
      </c>
      <c r="AD45">
        <f>'Federal P&amp;L'!AD55+'State and Local P&amp;L'!AD37</f>
        <v>249584871</v>
      </c>
      <c r="AE45">
        <f>'Federal P&amp;L'!AE55+'State and Local P&amp;L'!AE37</f>
        <v>418951236</v>
      </c>
      <c r="AF45">
        <f>'Federal P&amp;L'!AF55+'State and Local P&amp;L'!AF37</f>
        <v>121956959</v>
      </c>
      <c r="AG45">
        <f>'Federal P&amp;L'!AG55+'State and Local P&amp;L'!AG37</f>
        <v>204192067</v>
      </c>
      <c r="AH45">
        <f>'Federal P&amp;L'!AH55+'State and Local P&amp;L'!AH37</f>
        <v>282226957</v>
      </c>
      <c r="AI45">
        <f>'Federal P&amp;L'!AI55+'State and Local P&amp;L'!AI37</f>
        <v>229577448</v>
      </c>
      <c r="AJ45">
        <f>'Federal P&amp;L'!AJ55+'State and Local P&amp;L'!AJ37</f>
        <v>221256499</v>
      </c>
    </row>
    <row r="46" spans="1:36">
      <c r="A46" s="4" t="s">
        <v>303</v>
      </c>
      <c r="B46">
        <f>'Federal P&amp;L'!B56+'State and Local P&amp;L'!B38</f>
        <v>46147418</v>
      </c>
      <c r="C46">
        <f>'Federal P&amp;L'!C56+'State and Local P&amp;L'!C38</f>
        <v>50511968</v>
      </c>
      <c r="D46">
        <f>'Federal P&amp;L'!D56+'State and Local P&amp;L'!D38</f>
        <v>49583120</v>
      </c>
      <c r="E46">
        <f>'Federal P&amp;L'!E56+'State and Local P&amp;L'!E38</f>
        <v>52281372</v>
      </c>
      <c r="F46">
        <f>'Federal P&amp;L'!F56+'State and Local P&amp;L'!F38</f>
        <v>55955946</v>
      </c>
      <c r="G46">
        <f>'Federal P&amp;L'!G56+'State and Local P&amp;L'!G38</f>
        <v>61431979</v>
      </c>
      <c r="H46">
        <f>'Federal P&amp;L'!H56+'State and Local P&amp;L'!H38</f>
        <v>67562010</v>
      </c>
      <c r="I46">
        <f>'Federal P&amp;L'!I56+'State and Local P&amp;L'!I38</f>
        <v>70753932</v>
      </c>
      <c r="J46">
        <f>'Federal P&amp;L'!J56+'State and Local P&amp;L'!J38</f>
        <v>74200511</v>
      </c>
      <c r="K46">
        <f>'Federal P&amp;L'!K56+'State and Local P&amp;L'!K38</f>
        <v>76894575</v>
      </c>
      <c r="L46">
        <f>'Federal P&amp;L'!L56+'State and Local P&amp;L'!L38</f>
        <v>82083004</v>
      </c>
      <c r="M46">
        <f>'Federal P&amp;L'!M56+'State and Local P&amp;L'!M38</f>
        <v>87835507</v>
      </c>
      <c r="N46">
        <f>'Federal P&amp;L'!N56+'State and Local P&amp;L'!N38</f>
        <v>93431731</v>
      </c>
      <c r="O46">
        <f>'Federal P&amp;L'!O56+'State and Local P&amp;L'!O38</f>
        <v>93854078</v>
      </c>
      <c r="P46">
        <f>'Federal P&amp;L'!P56+'State and Local P&amp;L'!P38</f>
        <v>101569084</v>
      </c>
      <c r="Q46">
        <f>'Federal P&amp;L'!Q56+'State and Local P&amp;L'!Q38</f>
        <v>104736969</v>
      </c>
      <c r="R46">
        <f>'Federal P&amp;L'!R56+'State and Local P&amp;L'!R38</f>
        <v>106362020</v>
      </c>
      <c r="S46">
        <f>'Federal P&amp;L'!S56+'State and Local P&amp;L'!S38</f>
        <v>109780323</v>
      </c>
      <c r="T46">
        <f>'Federal P&amp;L'!T56+'State and Local P&amp;L'!T38</f>
        <v>115495752</v>
      </c>
      <c r="U46">
        <f>'Federal P&amp;L'!U56+'State and Local P&amp;L'!U38</f>
        <v>122707514</v>
      </c>
      <c r="V46">
        <f>'Federal P&amp;L'!V56+'State and Local P&amp;L'!V38</f>
        <v>133735216</v>
      </c>
      <c r="W46">
        <f>'Federal P&amp;L'!W56+'State and Local P&amp;L'!W38</f>
        <v>147041758</v>
      </c>
      <c r="X46">
        <f>'Federal P&amp;L'!X56+'State and Local P&amp;L'!X38</f>
        <v>159986438</v>
      </c>
      <c r="Y46">
        <f>'Federal P&amp;L'!Y56+'State and Local P&amp;L'!Y38</f>
        <v>170245321</v>
      </c>
      <c r="Z46">
        <f>'Federal P&amp;L'!Z56+'State and Local P&amp;L'!Z38</f>
        <v>170099918</v>
      </c>
      <c r="AA46">
        <f>'Federal P&amp;L'!AA56+'State and Local P&amp;L'!AA38</f>
        <v>177487218</v>
      </c>
      <c r="AB46">
        <f>'Federal P&amp;L'!AB56+'State and Local P&amp;L'!AB38</f>
        <v>179446518</v>
      </c>
      <c r="AC46">
        <f>'Federal P&amp;L'!AC56+'State and Local P&amp;L'!AC38</f>
        <v>197908590</v>
      </c>
      <c r="AD46">
        <f>'Federal P&amp;L'!AD56+'State and Local P&amp;L'!AD38</f>
        <v>210742589</v>
      </c>
      <c r="AE46">
        <f>'Federal P&amp;L'!AE56+'State and Local P&amp;L'!AE38</f>
        <v>220635233</v>
      </c>
      <c r="AF46">
        <f>'Federal P&amp;L'!AF56+'State and Local P&amp;L'!AF38</f>
        <v>225887683</v>
      </c>
      <c r="AG46">
        <f>'Federal P&amp;L'!AG56+'State and Local P&amp;L'!AG38</f>
        <v>222105430</v>
      </c>
      <c r="AH46">
        <f>'Federal P&amp;L'!AH56+'State and Local P&amp;L'!AH38</f>
        <v>226508315</v>
      </c>
      <c r="AI46">
        <f>'Federal P&amp;L'!AI56+'State and Local P&amp;L'!AI38</f>
        <v>222092751</v>
      </c>
      <c r="AJ46">
        <f>'Federal P&amp;L'!AJ56+'State and Local P&amp;L'!AJ38</f>
        <v>227535584</v>
      </c>
    </row>
    <row r="47" spans="1:36">
      <c r="A47" s="4" t="s">
        <v>326</v>
      </c>
      <c r="B47">
        <f>'Federal P&amp;L'!B63+'State and Local P&amp;L'!B46</f>
        <v>487039</v>
      </c>
      <c r="C47">
        <f>'Federal P&amp;L'!C63+'State and Local P&amp;L'!C46</f>
        <v>-265010</v>
      </c>
      <c r="D47">
        <f>'Federal P&amp;L'!D63+'State and Local P&amp;L'!D46</f>
        <v>-579669</v>
      </c>
      <c r="E47">
        <f>'Federal P&amp;L'!E63+'State and Local P&amp;L'!E46</f>
        <v>-936923</v>
      </c>
      <c r="F47">
        <f>'Federal P&amp;L'!F63+'State and Local P&amp;L'!F46</f>
        <v>-1685050</v>
      </c>
      <c r="G47">
        <f>'Federal P&amp;L'!G63+'State and Local P&amp;L'!G46</f>
        <v>-2398294</v>
      </c>
      <c r="H47">
        <f>'Federal P&amp;L'!H63+'State and Local P&amp;L'!H46</f>
        <v>-3828422</v>
      </c>
      <c r="I47">
        <f>'Federal P&amp;L'!I63+'State and Local P&amp;L'!I46</f>
        <v>-4336794</v>
      </c>
      <c r="J47">
        <f>'Federal P&amp;L'!J63+'State and Local P&amp;L'!J46</f>
        <v>-5038295</v>
      </c>
      <c r="K47">
        <f>'Federal P&amp;L'!K63+'State and Local P&amp;L'!K46</f>
        <v>-6114096</v>
      </c>
      <c r="L47">
        <f>'Federal P&amp;L'!L63+'State and Local P&amp;L'!L46</f>
        <v>-5641366</v>
      </c>
      <c r="M47">
        <f>'Federal P&amp;L'!M63+'State and Local P&amp;L'!M46</f>
        <v>-6752878</v>
      </c>
      <c r="N47">
        <f>'Federal P&amp;L'!N63+'State and Local P&amp;L'!N46</f>
        <v>-6925520</v>
      </c>
      <c r="O47">
        <f>'Federal P&amp;L'!O63+'State and Local P&amp;L'!O46</f>
        <v>-7738142</v>
      </c>
      <c r="P47">
        <f>'Federal P&amp;L'!P63+'State and Local P&amp;L'!P46</f>
        <v>-9056729</v>
      </c>
      <c r="Q47">
        <f>'Federal P&amp;L'!Q63+'State and Local P&amp;L'!Q46</f>
        <v>-10214727</v>
      </c>
      <c r="R47">
        <f>'Federal P&amp;L'!R63+'State and Local P&amp;L'!R46</f>
        <v>-10890662</v>
      </c>
      <c r="S47">
        <f>'Federal P&amp;L'!S63+'State and Local P&amp;L'!S46</f>
        <v>-11647256</v>
      </c>
      <c r="T47">
        <f>'Federal P&amp;L'!T63+'State and Local P&amp;L'!T46</f>
        <v>-11864971</v>
      </c>
      <c r="U47">
        <f>'Federal P&amp;L'!U63+'State and Local P&amp;L'!U46</f>
        <v>-11610708</v>
      </c>
      <c r="V47">
        <f>'Federal P&amp;L'!V63+'State and Local P&amp;L'!V46</f>
        <v>-8011837</v>
      </c>
      <c r="W47">
        <f>'Federal P&amp;L'!W63+'State and Local P&amp;L'!W46</f>
        <v>-11187441</v>
      </c>
      <c r="X47">
        <f>'Federal P&amp;L'!X63+'State and Local P&amp;L'!X46</f>
        <v>-12063200</v>
      </c>
      <c r="Y47">
        <f>'Federal P&amp;L'!Y63+'State and Local P&amp;L'!Y46</f>
        <v>-12270028</v>
      </c>
      <c r="Z47">
        <f>'Federal P&amp;L'!Z63+'State and Local P&amp;L'!Z46</f>
        <v>-11862084</v>
      </c>
      <c r="AA47">
        <f>'Federal P&amp;L'!AA63+'State and Local P&amp;L'!AA46</f>
        <v>-9965905</v>
      </c>
      <c r="AB47">
        <f>'Federal P&amp;L'!AB63+'State and Local P&amp;L'!AB46</f>
        <v>-12136840</v>
      </c>
      <c r="AC47">
        <f>'Federal P&amp;L'!AC63+'State and Local P&amp;L'!AC46</f>
        <v>-17859175</v>
      </c>
      <c r="AD47">
        <f>'Federal P&amp;L'!AD63+'State and Local P&amp;L'!AD46</f>
        <v>-19126718</v>
      </c>
      <c r="AE47">
        <f>'Federal P&amp;L'!AE63+'State and Local P&amp;L'!AE46</f>
        <v>-14863997</v>
      </c>
      <c r="AF47">
        <f>'Federal P&amp;L'!AF63+'State and Local P&amp;L'!AF46</f>
        <v>-7628724</v>
      </c>
      <c r="AG47">
        <f>'Federal P&amp;L'!AG63+'State and Local P&amp;L'!AG46</f>
        <v>-13211363</v>
      </c>
      <c r="AH47">
        <f>'Federal P&amp;L'!AH63+'State and Local P&amp;L'!AH46</f>
        <v>-17873358</v>
      </c>
      <c r="AI47">
        <f>'Federal P&amp;L'!AI63+'State and Local P&amp;L'!AI46</f>
        <v>-21185303</v>
      </c>
      <c r="AJ47">
        <f>'Federal P&amp;L'!AJ63+'State and Local P&amp;L'!AJ46</f>
        <v>-21818085</v>
      </c>
    </row>
    <row r="48" spans="1:36">
      <c r="A48" s="4" t="s">
        <v>250</v>
      </c>
      <c r="B48">
        <f>'Federal P&amp;L'!B64</f>
        <v>-258658</v>
      </c>
      <c r="C48">
        <f>'Federal P&amp;L'!C64</f>
        <v>-1220755</v>
      </c>
      <c r="D48">
        <f>'Federal P&amp;L'!D64</f>
        <v>-1948729</v>
      </c>
      <c r="E48">
        <f>'Federal P&amp;L'!E64</f>
        <v>-1542021</v>
      </c>
      <c r="F48">
        <f>'Federal P&amp;L'!F64</f>
        <v>-590554</v>
      </c>
      <c r="G48">
        <f>'Federal P&amp;L'!G64</f>
        <v>-2169768</v>
      </c>
      <c r="H48">
        <f>'Federal P&amp;L'!H64</f>
        <v>1422164</v>
      </c>
      <c r="I48">
        <f>'Federal P&amp;L'!I64</f>
        <v>3135405</v>
      </c>
      <c r="J48">
        <f>'Federal P&amp;L'!J64</f>
        <v>10051919</v>
      </c>
      <c r="K48">
        <f>'Federal P&amp;L'!K64</f>
        <v>22030787</v>
      </c>
      <c r="L48">
        <f>'Federal P&amp;L'!L64</f>
        <v>57921792</v>
      </c>
      <c r="M48">
        <f>'Federal P&amp;L'!M64</f>
        <v>66277369</v>
      </c>
      <c r="N48">
        <f>'Federal P&amp;L'!N64</f>
        <v>2559177</v>
      </c>
      <c r="O48">
        <f>'Federal P&amp;L'!O64</f>
        <v>-27908193</v>
      </c>
      <c r="P48">
        <f>'Federal P&amp;L'!P64</f>
        <v>-7522106</v>
      </c>
      <c r="Q48">
        <f>'Federal P&amp;L'!Q64</f>
        <v>-17775000</v>
      </c>
      <c r="R48">
        <f>'Federal P&amp;L'!R64</f>
        <v>-8342000</v>
      </c>
      <c r="S48">
        <f>'Federal P&amp;L'!S64</f>
        <v>-14330000</v>
      </c>
      <c r="T48">
        <f>'Federal P&amp;L'!T64</f>
        <v>-4310000</v>
      </c>
      <c r="U48">
        <f>'Federal P&amp;L'!U64</f>
        <v>-5219000</v>
      </c>
      <c r="V48">
        <f>'Federal P&amp;L'!V64</f>
        <v>-2988000</v>
      </c>
      <c r="W48">
        <f>'Federal P&amp;L'!W64</f>
        <v>-1502000</v>
      </c>
      <c r="X48">
        <f>'Federal P&amp;L'!X64</f>
        <v>-952000</v>
      </c>
      <c r="Y48">
        <f>'Federal P&amp;L'!Y64</f>
        <v>-1344000</v>
      </c>
      <c r="Z48">
        <f>'Federal P&amp;L'!Z64</f>
        <v>-1877000</v>
      </c>
      <c r="AA48">
        <f>'Federal P&amp;L'!AA64</f>
        <v>-1270000</v>
      </c>
      <c r="AB48">
        <f>'Federal P&amp;L'!AB64</f>
        <v>-1006000</v>
      </c>
      <c r="AC48">
        <f>'Federal P&amp;L'!AC64</f>
        <v>-1389000</v>
      </c>
      <c r="AD48">
        <f>'Federal P&amp;L'!AD64</f>
        <v>18827000</v>
      </c>
      <c r="AE48">
        <f>'Federal P&amp;L'!AE64</f>
        <v>172792000</v>
      </c>
      <c r="AF48">
        <f>'Federal P&amp;L'!AF64</f>
        <v>-142029000</v>
      </c>
      <c r="AG48">
        <f>'Federal P&amp;L'!AG64</f>
        <v>-47390000</v>
      </c>
      <c r="AH48">
        <f>'Federal P&amp;L'!AH64</f>
        <v>28221000</v>
      </c>
      <c r="AI48">
        <f>'Federal P&amp;L'!AI64</f>
        <v>-7811000</v>
      </c>
      <c r="AJ48">
        <f>'Federal P&amp;L'!AJ64</f>
        <v>-21359000</v>
      </c>
    </row>
    <row r="49" spans="1:36">
      <c r="A49" s="5" t="s">
        <v>319</v>
      </c>
      <c r="B49">
        <f>'Federal P&amp;L'!B67</f>
        <v>1388</v>
      </c>
      <c r="C49">
        <f>'Federal P&amp;L'!C67</f>
        <v>1388</v>
      </c>
      <c r="D49">
        <f>'Federal P&amp;L'!D67</f>
        <v>1388</v>
      </c>
      <c r="E49">
        <f>'Federal P&amp;L'!E67</f>
        <v>1388</v>
      </c>
      <c r="F49">
        <f>'Federal P&amp;L'!F67</f>
        <v>1388</v>
      </c>
      <c r="G49">
        <f>'Federal P&amp;L'!G67</f>
        <v>1388</v>
      </c>
      <c r="H49">
        <f>'Federal P&amp;L'!H67</f>
        <v>1388</v>
      </c>
      <c r="I49">
        <f>'Federal P&amp;L'!I67</f>
        <v>1388</v>
      </c>
      <c r="J49">
        <f>'Federal P&amp;L'!J67</f>
        <v>1388</v>
      </c>
      <c r="K49">
        <f>'Federal P&amp;L'!K67</f>
        <v>1388</v>
      </c>
      <c r="L49">
        <f>'Federal P&amp;L'!L67</f>
        <v>1388</v>
      </c>
      <c r="M49">
        <f>'Federal P&amp;L'!M67</f>
        <v>1388</v>
      </c>
      <c r="N49">
        <f>'Federal P&amp;L'!N67</f>
        <v>1388</v>
      </c>
      <c r="O49">
        <f>'Federal P&amp;L'!O67</f>
        <v>1388</v>
      </c>
      <c r="P49">
        <f>'Federal P&amp;L'!P67</f>
        <v>1388</v>
      </c>
      <c r="Q49">
        <f>'Federal P&amp;L'!Q67</f>
        <v>1388</v>
      </c>
      <c r="R49">
        <f>'Federal P&amp;L'!R67</f>
        <v>1388</v>
      </c>
      <c r="S49">
        <f>'Federal P&amp;L'!S67</f>
        <v>1388</v>
      </c>
      <c r="T49">
        <f>'Federal P&amp;L'!T67</f>
        <v>1388</v>
      </c>
      <c r="U49">
        <f>'Federal P&amp;L'!U67</f>
        <v>1388</v>
      </c>
      <c r="V49">
        <f>'Federal P&amp;L'!V67</f>
        <v>1388</v>
      </c>
      <c r="W49">
        <f>'Federal P&amp;L'!W67</f>
        <v>1388</v>
      </c>
      <c r="X49">
        <f>'Federal P&amp;L'!X67</f>
        <v>1388</v>
      </c>
      <c r="Y49">
        <f>'Federal P&amp;L'!Y67</f>
        <v>1388</v>
      </c>
      <c r="Z49">
        <f>'Federal P&amp;L'!Z67</f>
        <v>1388</v>
      </c>
      <c r="AA49">
        <f>'Federal P&amp;L'!AA67</f>
        <v>1388</v>
      </c>
      <c r="AB49">
        <f>'Federal P&amp;L'!AB67</f>
        <v>1388</v>
      </c>
      <c r="AC49">
        <f>'Federal P&amp;L'!AC67</f>
        <v>1388</v>
      </c>
      <c r="AD49">
        <f>'Federal P&amp;L'!AD67</f>
        <v>1388</v>
      </c>
      <c r="AE49">
        <f>'Federal P&amp;L'!AE67</f>
        <v>1388</v>
      </c>
      <c r="AF49">
        <f>'Federal P&amp;L'!AF67</f>
        <v>1388</v>
      </c>
      <c r="AG49">
        <f>'Federal P&amp;L'!AG67</f>
        <v>1388</v>
      </c>
      <c r="AH49">
        <f>'Federal P&amp;L'!AH67</f>
        <v>1388</v>
      </c>
      <c r="AI49">
        <f>'Federal P&amp;L'!AI67</f>
        <v>1388</v>
      </c>
      <c r="AJ49">
        <f>'Federal P&amp;L'!AJ67</f>
        <v>1388</v>
      </c>
    </row>
    <row r="50" spans="1:36">
      <c r="A50" s="4" t="s">
        <v>304</v>
      </c>
      <c r="B50">
        <f>'Federal P&amp;L'!B68</f>
        <v>1380579</v>
      </c>
      <c r="C50">
        <f>'Federal P&amp;L'!C68</f>
        <v>1476169</v>
      </c>
      <c r="D50">
        <f>'Federal P&amp;L'!D68</f>
        <v>1606282</v>
      </c>
      <c r="E50">
        <f>'Federal P&amp;L'!E68</f>
        <v>1643742</v>
      </c>
      <c r="F50">
        <f>'Federal P&amp;L'!F68</f>
        <v>1842331</v>
      </c>
      <c r="G50">
        <f>'Federal P&amp;L'!G68</f>
        <v>2014926</v>
      </c>
      <c r="H50">
        <f>'Federal P&amp;L'!H68</f>
        <v>2206671</v>
      </c>
      <c r="I50">
        <f>'Federal P&amp;L'!I68</f>
        <v>2243217</v>
      </c>
      <c r="J50">
        <f>'Federal P&amp;L'!J68</f>
        <v>2406659</v>
      </c>
      <c r="K50">
        <f>'Federal P&amp;L'!K68</f>
        <v>2625718</v>
      </c>
      <c r="L50">
        <f>'Federal P&amp;L'!L68</f>
        <v>2817691</v>
      </c>
      <c r="M50">
        <f>'Federal P&amp;L'!M68</f>
        <v>3135511</v>
      </c>
      <c r="N50">
        <f>'Federal P&amp;L'!N68</f>
        <v>3551208</v>
      </c>
      <c r="O50">
        <f>'Federal P&amp;L'!O68</f>
        <v>3913850</v>
      </c>
      <c r="P50">
        <f>'Federal P&amp;L'!P68</f>
        <v>3825411</v>
      </c>
      <c r="Q50">
        <f>'Federal P&amp;L'!Q68</f>
        <v>4099000</v>
      </c>
      <c r="R50">
        <f>'Federal P&amp;L'!R68</f>
        <v>3991000</v>
      </c>
      <c r="S50">
        <f>'Federal P&amp;L'!S68</f>
        <v>4080000</v>
      </c>
      <c r="T50">
        <f>'Federal P&amp;L'!T68</f>
        <v>5306000</v>
      </c>
      <c r="U50">
        <f>'Federal P&amp;L'!U68</f>
        <v>5638000</v>
      </c>
      <c r="V50">
        <f>'Federal P&amp;L'!V68</f>
        <v>6167000</v>
      </c>
      <c r="W50">
        <f>'Federal P&amp;L'!W68</f>
        <v>6520000</v>
      </c>
      <c r="X50">
        <f>'Federal P&amp;L'!X68</f>
        <v>7261000</v>
      </c>
      <c r="Y50">
        <f>'Federal P&amp;L'!Y68</f>
        <v>7951000</v>
      </c>
      <c r="Z50">
        <f>'Federal P&amp;L'!Z68</f>
        <v>8392000</v>
      </c>
      <c r="AA50">
        <f>'Federal P&amp;L'!AA68</f>
        <v>8819000</v>
      </c>
      <c r="AB50">
        <f>'Federal P&amp;L'!AB68</f>
        <v>9093000</v>
      </c>
      <c r="AC50">
        <f>'Federal P&amp;L'!AC68</f>
        <v>9149000</v>
      </c>
      <c r="AD50">
        <f>'Federal P&amp;L'!AD68</f>
        <v>9573000</v>
      </c>
      <c r="AE50">
        <f>'Federal P&amp;L'!AE68</f>
        <v>10020000</v>
      </c>
      <c r="AF50">
        <f>'Federal P&amp;L'!AF68</f>
        <v>11730000</v>
      </c>
      <c r="AG50">
        <f>'Federal P&amp;L'!AG68</f>
        <v>12434000</v>
      </c>
      <c r="AH50">
        <f>'Federal P&amp;L'!AH68</f>
        <v>12458000</v>
      </c>
      <c r="AI50">
        <f>'Federal P&amp;L'!AI68</f>
        <v>12479000</v>
      </c>
      <c r="AJ50">
        <f>'Federal P&amp;L'!AJ68</f>
        <v>12011000</v>
      </c>
    </row>
    <row r="51" spans="1:36">
      <c r="A51" s="4" t="s">
        <v>67</v>
      </c>
      <c r="B51">
        <f>'Federal P&amp;L'!B69</f>
        <v>4450912</v>
      </c>
      <c r="C51">
        <f>'Federal P&amp;L'!C69</f>
        <v>4992317</v>
      </c>
      <c r="D51">
        <f>'Federal P&amp;L'!D69</f>
        <v>5592912</v>
      </c>
      <c r="E51">
        <f>'Federal P&amp;L'!E69</f>
        <v>6290357</v>
      </c>
      <c r="F51">
        <f>'Federal P&amp;L'!F69</f>
        <v>6468745</v>
      </c>
      <c r="G51">
        <f>'Federal P&amp;L'!G69</f>
        <v>6607435</v>
      </c>
      <c r="H51">
        <f>'Federal P&amp;L'!H69</f>
        <v>6755601</v>
      </c>
      <c r="I51">
        <f>'Federal P&amp;L'!I69</f>
        <v>6956517</v>
      </c>
      <c r="J51">
        <f>'Federal P&amp;L'!J69</f>
        <v>8412979</v>
      </c>
      <c r="K51">
        <f>'Federal P&amp;L'!K69</f>
        <v>10195668</v>
      </c>
      <c r="L51">
        <f>'Federal P&amp;L'!L69</f>
        <v>11608591</v>
      </c>
      <c r="M51">
        <f>'Federal P&amp;L'!M69</f>
        <v>12956683</v>
      </c>
      <c r="N51">
        <f>'Federal P&amp;L'!N69</f>
        <v>12837895</v>
      </c>
      <c r="O51">
        <f>'Federal P&amp;L'!O69</f>
        <v>13092224</v>
      </c>
      <c r="P51">
        <f>'Federal P&amp;L'!P69</f>
        <v>12363207</v>
      </c>
      <c r="Q51">
        <f>'Federal P&amp;L'!Q69</f>
        <v>12593000</v>
      </c>
      <c r="R51">
        <f>'Federal P&amp;L'!R69</f>
        <v>12693000</v>
      </c>
      <c r="S51">
        <f>'Federal P&amp;L'!S69</f>
        <v>13056000</v>
      </c>
      <c r="T51">
        <f>'Federal P&amp;L'!T69</f>
        <v>12866000</v>
      </c>
      <c r="U51">
        <f>'Federal P&amp;L'!U69</f>
        <v>12446000</v>
      </c>
      <c r="V51">
        <f>'Federal P&amp;L'!V69</f>
        <v>12427000</v>
      </c>
      <c r="W51">
        <f>'Federal P&amp;L'!W69</f>
        <v>13233000</v>
      </c>
      <c r="X51">
        <f>'Federal P&amp;L'!X69</f>
        <v>13473000</v>
      </c>
      <c r="Y51">
        <f>'Federal P&amp;L'!Y69</f>
        <v>12880000</v>
      </c>
      <c r="Z51">
        <f>'Federal P&amp;L'!Z69</f>
        <v>14637000</v>
      </c>
      <c r="AA51">
        <f>'Federal P&amp;L'!AA69</f>
        <v>14778000</v>
      </c>
      <c r="AB51">
        <f>'Federal P&amp;L'!AB69</f>
        <v>14491000</v>
      </c>
      <c r="AC51">
        <f>'Federal P&amp;L'!AC69</f>
        <v>15258000</v>
      </c>
      <c r="AD51">
        <f>'Federal P&amp;L'!AD69</f>
        <v>17200000</v>
      </c>
      <c r="AE51">
        <f>'Federal P&amp;L'!AE69</f>
        <v>18397000</v>
      </c>
      <c r="AF51">
        <f>'Federal P&amp;L'!AF69</f>
        <v>18370000</v>
      </c>
      <c r="AG51">
        <f>'Federal P&amp;L'!AG69</f>
        <v>17032000</v>
      </c>
      <c r="AH51">
        <f>'Federal P&amp;L'!AH69</f>
        <v>16602000</v>
      </c>
      <c r="AI51">
        <f>'Federal P&amp;L'!AI69</f>
        <v>16429000</v>
      </c>
      <c r="AJ51">
        <f>'Federal P&amp;L'!AJ69</f>
        <v>16559000</v>
      </c>
    </row>
    <row r="52" spans="1:36">
      <c r="A52" s="4" t="s">
        <v>305</v>
      </c>
      <c r="B52">
        <f>'Federal P&amp;L'!B70</f>
        <v>214403</v>
      </c>
      <c r="C52">
        <f>'Federal P&amp;L'!C70</f>
        <v>234295</v>
      </c>
      <c r="D52">
        <f>'Federal P&amp;L'!D70</f>
        <v>223542</v>
      </c>
      <c r="E52">
        <f>'Federal P&amp;L'!E70</f>
        <v>242330</v>
      </c>
      <c r="F52">
        <f>'Federal P&amp;L'!F70</f>
        <v>287446</v>
      </c>
      <c r="G52">
        <f>'Federal P&amp;L'!G70</f>
        <v>377786</v>
      </c>
      <c r="H52">
        <f>'Federal P&amp;L'!H70</f>
        <v>432362</v>
      </c>
      <c r="I52">
        <f>'Federal P&amp;L'!I70</f>
        <v>492130</v>
      </c>
      <c r="J52">
        <f>'Federal P&amp;L'!J70</f>
        <v>577288</v>
      </c>
      <c r="K52">
        <f>'Federal P&amp;L'!K70</f>
        <v>753431</v>
      </c>
      <c r="L52">
        <f>'Federal P&amp;L'!L70</f>
        <v>942667</v>
      </c>
      <c r="M52">
        <f>'Federal P&amp;L'!M70</f>
        <v>1058765</v>
      </c>
      <c r="N52">
        <f>'Federal P&amp;L'!N70</f>
        <v>1143527</v>
      </c>
      <c r="O52">
        <f>'Federal P&amp;L'!O70</f>
        <v>1225051</v>
      </c>
      <c r="P52">
        <f>'Federal P&amp;L'!P70</f>
        <v>1133553</v>
      </c>
      <c r="Q52">
        <f>'Federal P&amp;L'!Q70</f>
        <v>1400000</v>
      </c>
      <c r="R52">
        <f>'Federal P&amp;L'!R70</f>
        <v>1552000</v>
      </c>
      <c r="S52">
        <f>'Federal P&amp;L'!S70</f>
        <v>2612000</v>
      </c>
      <c r="T52">
        <f>'Federal P&amp;L'!T70</f>
        <v>7272000</v>
      </c>
      <c r="U52">
        <f>'Federal P&amp;L'!U70</f>
        <v>4520000</v>
      </c>
      <c r="V52">
        <f>'Federal P&amp;L'!V70</f>
        <v>1798000</v>
      </c>
      <c r="W52">
        <f>'Federal P&amp;L'!W70</f>
        <v>3429000</v>
      </c>
      <c r="X52">
        <f>'Federal P&amp;L'!X70</f>
        <v>4677000</v>
      </c>
      <c r="Y52">
        <f>'Federal P&amp;L'!Y70</f>
        <v>8423000</v>
      </c>
      <c r="Z52">
        <f>'Federal P&amp;L'!Z70</f>
        <v>3493000</v>
      </c>
      <c r="AA52">
        <f>'Federal P&amp;L'!AA70</f>
        <v>6971000</v>
      </c>
      <c r="AB52">
        <f>'Federal P&amp;L'!AB70</f>
        <v>6334000</v>
      </c>
      <c r="AC52">
        <f>'Federal P&amp;L'!AC70</f>
        <v>6809000</v>
      </c>
      <c r="AD52">
        <f>'Federal P&amp;L'!AD70</f>
        <v>7652000</v>
      </c>
      <c r="AE52">
        <f>'Federal P&amp;L'!AE70</f>
        <v>8909000</v>
      </c>
      <c r="AF52">
        <f>'Federal P&amp;L'!AF70</f>
        <v>8084000</v>
      </c>
      <c r="AG52">
        <f>'Federal P&amp;L'!AG70</f>
        <v>9137000</v>
      </c>
      <c r="AH52">
        <f>'Federal P&amp;L'!AH70</f>
        <v>10426000</v>
      </c>
      <c r="AI52">
        <f>'Federal P&amp;L'!AI70</f>
        <v>9041000</v>
      </c>
      <c r="AJ52">
        <f>'Federal P&amp;L'!AJ70</f>
        <v>8331000</v>
      </c>
    </row>
    <row r="53" spans="1:36">
      <c r="A53" s="4" t="s">
        <v>293</v>
      </c>
      <c r="B53">
        <f>'Federal P&amp;L'!B71</f>
        <v>1245551</v>
      </c>
      <c r="C53">
        <f>'Federal P&amp;L'!C71</f>
        <v>1431723</v>
      </c>
      <c r="D53">
        <f>'Federal P&amp;L'!D71</f>
        <v>154146</v>
      </c>
      <c r="E53">
        <f>'Federal P&amp;L'!E71</f>
        <v>1111294</v>
      </c>
      <c r="F53">
        <f>'Federal P&amp;L'!F71</f>
        <v>1238828</v>
      </c>
      <c r="G53">
        <f>'Federal P&amp;L'!G71</f>
        <v>1351100</v>
      </c>
      <c r="H53">
        <f>'Federal P&amp;L'!H71</f>
        <v>758085</v>
      </c>
      <c r="I53">
        <f>'Federal P&amp;L'!I71</f>
        <v>1592629</v>
      </c>
      <c r="J53">
        <f>'Federal P&amp;L'!J71</f>
        <v>2229465</v>
      </c>
      <c r="K53">
        <f>'Federal P&amp;L'!K71</f>
        <v>126798</v>
      </c>
      <c r="L53">
        <f>'Federal P&amp;L'!L71</f>
        <v>2115676</v>
      </c>
      <c r="M53">
        <f>'Federal P&amp;L'!M71</f>
        <v>1827993</v>
      </c>
      <c r="N53">
        <f>'Federal P&amp;L'!N71</f>
        <v>1169276</v>
      </c>
      <c r="O53">
        <f>'Federal P&amp;L'!O71</f>
        <v>1601631</v>
      </c>
      <c r="P53">
        <f>'Federal P&amp;L'!P71</f>
        <v>1233139</v>
      </c>
      <c r="Q53">
        <f>'Federal P&amp;L'!Q71</f>
        <v>-1839000</v>
      </c>
      <c r="R53">
        <f>'Federal P&amp;L'!R71</f>
        <v>-58000</v>
      </c>
      <c r="S53">
        <f>'Federal P&amp;L'!S71</f>
        <v>77000</v>
      </c>
      <c r="T53">
        <f>'Federal P&amp;L'!T71</f>
        <v>303000</v>
      </c>
      <c r="U53">
        <f>'Federal P&amp;L'!U71</f>
        <v>1050000</v>
      </c>
      <c r="V53">
        <f>'Federal P&amp;L'!V71</f>
        <v>2129000</v>
      </c>
      <c r="W53">
        <f>'Federal P&amp;L'!W71</f>
        <v>2395000</v>
      </c>
      <c r="X53">
        <f>'Federal P&amp;L'!X71</f>
        <v>207000</v>
      </c>
      <c r="Y53">
        <f>'Federal P&amp;L'!Y71</f>
        <v>-5169000</v>
      </c>
      <c r="Z53">
        <f>'Federal P&amp;L'!Z71</f>
        <v>-4070000</v>
      </c>
      <c r="AA53">
        <f>'Federal P&amp;L'!AA71</f>
        <v>-1223000</v>
      </c>
      <c r="AB53">
        <f>'Federal P&amp;L'!AB71</f>
        <v>-971000</v>
      </c>
      <c r="AC53">
        <f>'Federal P&amp;L'!AC71</f>
        <v>5197000</v>
      </c>
      <c r="AD53">
        <f>'Federal P&amp;L'!AD71</f>
        <v>2526000</v>
      </c>
      <c r="AE53">
        <f>'Federal P&amp;L'!AE71</f>
        <v>422000</v>
      </c>
      <c r="AF53">
        <f>'Federal P&amp;L'!AF71</f>
        <v>4818000</v>
      </c>
      <c r="AG53">
        <f>'Federal P&amp;L'!AG71</f>
        <v>909000</v>
      </c>
      <c r="AH53">
        <f>'Federal P&amp;L'!AH71</f>
        <v>2744000</v>
      </c>
      <c r="AI53">
        <f>'Federal P&amp;L'!AI71</f>
        <v>-1839000</v>
      </c>
      <c r="AJ53">
        <f>'Federal P&amp;L'!AJ71</f>
        <v>-2453000</v>
      </c>
    </row>
    <row r="54" spans="1:36">
      <c r="A54" s="4" t="s">
        <v>70</v>
      </c>
      <c r="B54">
        <f>'Federal P&amp;L'!B72</f>
        <v>2945421</v>
      </c>
      <c r="C54">
        <f>'Federal P&amp;L'!C72</f>
        <v>2870788</v>
      </c>
      <c r="D54">
        <f>'Federal P&amp;L'!D72</f>
        <v>2991174</v>
      </c>
      <c r="E54">
        <f>'Federal P&amp;L'!E72</f>
        <v>2628995</v>
      </c>
      <c r="F54">
        <f>'Federal P&amp;L'!F72</f>
        <v>2447387</v>
      </c>
      <c r="G54">
        <f>'Federal P&amp;L'!G72</f>
        <v>2529110</v>
      </c>
      <c r="H54">
        <f>'Federal P&amp;L'!H72</f>
        <v>2132617</v>
      </c>
      <c r="I54">
        <f>'Federal P&amp;L'!I72</f>
        <v>1132338</v>
      </c>
      <c r="J54">
        <f>'Federal P&amp;L'!J72</f>
        <v>1332699</v>
      </c>
      <c r="K54">
        <f>'Federal P&amp;L'!K72</f>
        <v>1551786</v>
      </c>
      <c r="L54">
        <f>'Federal P&amp;L'!L72</f>
        <v>2553954</v>
      </c>
      <c r="M54">
        <f>'Federal P&amp;L'!M72</f>
        <v>2403673</v>
      </c>
      <c r="N54">
        <f>'Federal P&amp;L'!N72</f>
        <v>1953952</v>
      </c>
      <c r="O54">
        <f>'Federal P&amp;L'!O72</f>
        <v>2250369</v>
      </c>
      <c r="P54">
        <f>'Federal P&amp;L'!P72</f>
        <v>1708969</v>
      </c>
      <c r="Q54">
        <f>'Federal P&amp;L'!Q72</f>
        <v>1799000</v>
      </c>
      <c r="R54">
        <f>'Federal P&amp;L'!R72</f>
        <v>1527000</v>
      </c>
      <c r="S54">
        <f>'Federal P&amp;L'!S72</f>
        <v>1579000</v>
      </c>
      <c r="T54">
        <f>'Federal P&amp;L'!T72</f>
        <v>1641000</v>
      </c>
      <c r="U54">
        <f>'Federal P&amp;L'!U72</f>
        <v>1325000</v>
      </c>
      <c r="V54">
        <f>'Federal P&amp;L'!V72</f>
        <v>1752000</v>
      </c>
      <c r="W54">
        <f>'Federal P&amp;L'!W72</f>
        <v>1464000</v>
      </c>
      <c r="X54">
        <f>'Federal P&amp;L'!X72</f>
        <v>1583000</v>
      </c>
      <c r="Y54">
        <f>'Federal P&amp;L'!Y72</f>
        <v>1520000</v>
      </c>
      <c r="Z54">
        <f>'Federal P&amp;L'!Z72</f>
        <v>1404000</v>
      </c>
      <c r="AA54">
        <f>'Federal P&amp;L'!AA72</f>
        <v>1980000</v>
      </c>
      <c r="AB54">
        <f>'Federal P&amp;L'!AB72</f>
        <v>1871000</v>
      </c>
      <c r="AC54">
        <f>'Federal P&amp;L'!AC72</f>
        <v>1962000</v>
      </c>
      <c r="AD54">
        <f>'Federal P&amp;L'!AD72</f>
        <v>2191000</v>
      </c>
      <c r="AE54">
        <f>'Federal P&amp;L'!AE72</f>
        <v>2640000</v>
      </c>
      <c r="AF54">
        <f>'Federal P&amp;L'!AF72</f>
        <v>2725000</v>
      </c>
      <c r="AG54">
        <f>'Federal P&amp;L'!AG72</f>
        <v>3176000</v>
      </c>
      <c r="AH54">
        <f>'Federal P&amp;L'!AH72</f>
        <v>3141000</v>
      </c>
      <c r="AI54">
        <f>'Federal P&amp;L'!AI72</f>
        <v>371000</v>
      </c>
      <c r="AJ54">
        <f>'Federal P&amp;L'!AJ72</f>
        <v>2450000</v>
      </c>
    </row>
    <row r="55" spans="1:36">
      <c r="A55" s="3" t="s">
        <v>234</v>
      </c>
      <c r="B55">
        <f>'Federal P&amp;L'!B73+'State and Local P&amp;L'!B50</f>
        <v>18873056</v>
      </c>
      <c r="C55">
        <f>'Federal P&amp;L'!C73+'State and Local P&amp;L'!C50</f>
        <v>19793862</v>
      </c>
      <c r="D55">
        <f>'Federal P&amp;L'!D73+'State and Local P&amp;L'!D50</f>
        <v>21992686</v>
      </c>
      <c r="E55">
        <f>'Federal P&amp;L'!E73+'State and Local P&amp;L'!E50</f>
        <v>23686655</v>
      </c>
      <c r="F55">
        <f>'Federal P&amp;L'!F73+'State and Local P&amp;L'!F50</f>
        <v>24188355</v>
      </c>
      <c r="G55">
        <f>'Federal P&amp;L'!G73+'State and Local P&amp;L'!G50</f>
        <v>26963424</v>
      </c>
      <c r="H55">
        <f>'Federal P&amp;L'!H73+'State and Local P&amp;L'!H50</f>
        <v>29518371</v>
      </c>
      <c r="I55">
        <f>'Federal P&amp;L'!I73+'State and Local P&amp;L'!I50</f>
        <v>31181693</v>
      </c>
      <c r="J55">
        <f>'Federal P&amp;L'!J73+'State and Local P&amp;L'!J50</f>
        <v>35569744</v>
      </c>
      <c r="K55">
        <f>'Federal P&amp;L'!K73+'State and Local P&amp;L'!K50</f>
        <v>38650092</v>
      </c>
      <c r="L55">
        <f>'Federal P&amp;L'!L73+'State and Local P&amp;L'!L50</f>
        <v>43167047</v>
      </c>
      <c r="M55">
        <f>'Federal P&amp;L'!M73+'State and Local P&amp;L'!M50</f>
        <v>46227101</v>
      </c>
      <c r="N55">
        <f>'Federal P&amp;L'!N73+'State and Local P&amp;L'!N50</f>
        <v>46193144</v>
      </c>
      <c r="O55">
        <f>'Federal P&amp;L'!O73+'State and Local P&amp;L'!O50</f>
        <v>50118534</v>
      </c>
      <c r="P55">
        <f>'Federal P&amp;L'!P73+'State and Local P&amp;L'!P50</f>
        <v>51307946</v>
      </c>
      <c r="Q55">
        <f>'Federal P&amp;L'!Q73+'State and Local P&amp;L'!Q50</f>
        <v>54715436</v>
      </c>
      <c r="R55">
        <f>'Federal P&amp;L'!R73+'State and Local P&amp;L'!R50</f>
        <v>55494821</v>
      </c>
      <c r="S55">
        <f>'Federal P&amp;L'!S73+'State and Local P&amp;L'!S50</f>
        <v>58366601</v>
      </c>
      <c r="T55">
        <f>'Federal P&amp;L'!T73+'State and Local P&amp;L'!T50</f>
        <v>62945721</v>
      </c>
      <c r="U55">
        <f>'Federal P&amp;L'!U73+'State and Local P&amp;L'!U50</f>
        <v>67529757</v>
      </c>
      <c r="V55">
        <f>'Federal P&amp;L'!V73+'State and Local P&amp;L'!V50</f>
        <v>75243466</v>
      </c>
      <c r="W55">
        <f>'Federal P&amp;L'!W73+'State and Local P&amp;L'!W50</f>
        <v>79088890</v>
      </c>
      <c r="X55">
        <f>'Federal P&amp;L'!X73+'State and Local P&amp;L'!X50</f>
        <v>89570103</v>
      </c>
      <c r="Y55">
        <f>'Federal P&amp;L'!Y73+'State and Local P&amp;L'!Y50</f>
        <v>95626217</v>
      </c>
      <c r="Z55">
        <f>'Federal P&amp;L'!Z73+'State and Local P&amp;L'!Z50</f>
        <v>101686739</v>
      </c>
      <c r="AA55">
        <f>'Federal P&amp;L'!AA73+'State and Local P&amp;L'!AA50</f>
        <v>104862677</v>
      </c>
      <c r="AB55">
        <f>'Federal P&amp;L'!AB73+'State and Local P&amp;L'!AB50</f>
        <v>110537588</v>
      </c>
      <c r="AC55">
        <f>'Federal P&amp;L'!AC73+'State and Local P&amp;L'!AC50</f>
        <v>118290176</v>
      </c>
      <c r="AD55">
        <f>'Federal P&amp;L'!AD73+'State and Local P&amp;L'!AD50</f>
        <v>132692566</v>
      </c>
      <c r="AE55">
        <f>'Federal P&amp;L'!AE73+'State and Local P&amp;L'!AE50</f>
        <v>138728829</v>
      </c>
      <c r="AF55">
        <f>'Federal P&amp;L'!AF73+'State and Local P&amp;L'!AF50</f>
        <v>143916809</v>
      </c>
      <c r="AG55">
        <f>'Federal P&amp;L'!AG73+'State and Local P&amp;L'!AG50</f>
        <v>149523813</v>
      </c>
      <c r="AH55">
        <f>'Federal P&amp;L'!AH73+'State and Local P&amp;L'!AH50</f>
        <v>150454494</v>
      </c>
      <c r="AI55">
        <f>'Federal P&amp;L'!AI73+'State and Local P&amp;L'!AI50</f>
        <v>146917571</v>
      </c>
      <c r="AJ55">
        <f>'Federal P&amp;L'!AJ73+'State and Local P&amp;L'!AJ50</f>
        <v>149316055</v>
      </c>
    </row>
    <row r="56" spans="1:36">
      <c r="A56" s="4" t="s">
        <v>56</v>
      </c>
      <c r="B56">
        <f>'Federal P&amp;L'!B74+'State and Local P&amp;L'!B51</f>
        <v>13388223</v>
      </c>
      <c r="C56">
        <f>'Federal P&amp;L'!C74+'State and Local P&amp;L'!C51</f>
        <v>14952782</v>
      </c>
      <c r="D56">
        <f>'Federal P&amp;L'!D74+'State and Local P&amp;L'!D51</f>
        <v>16258343</v>
      </c>
      <c r="E56">
        <f>'Federal P&amp;L'!E74+'State and Local P&amp;L'!E51</f>
        <v>16788393</v>
      </c>
      <c r="F56">
        <f>'Federal P&amp;L'!F74+'State and Local P&amp;L'!F51</f>
        <v>17496086</v>
      </c>
      <c r="G56">
        <f>'Federal P&amp;L'!G74+'State and Local P&amp;L'!G51</f>
        <v>19480631</v>
      </c>
      <c r="H56">
        <f>'Federal P&amp;L'!H74+'State and Local P&amp;L'!H51</f>
        <v>21900701</v>
      </c>
      <c r="I56">
        <f>'Federal P&amp;L'!I74+'State and Local P&amp;L'!I51</f>
        <v>23428001</v>
      </c>
      <c r="J56">
        <f>'Federal P&amp;L'!J74+'State and Local P&amp;L'!J51</f>
        <v>26299132</v>
      </c>
      <c r="K56">
        <f>'Federal P&amp;L'!K74+'State and Local P&amp;L'!K51</f>
        <v>29229244</v>
      </c>
      <c r="L56">
        <f>'Federal P&amp;L'!L74+'State and Local P&amp;L'!L51</f>
        <v>33690480</v>
      </c>
      <c r="M56">
        <f>'Federal P&amp;L'!M74+'State and Local P&amp;L'!M51</f>
        <v>36745798</v>
      </c>
      <c r="N56">
        <f>'Federal P&amp;L'!N74+'State and Local P&amp;L'!N51</f>
        <v>41008878</v>
      </c>
      <c r="O56">
        <f>'Federal P&amp;L'!O74+'State and Local P&amp;L'!O51</f>
        <v>44659113</v>
      </c>
      <c r="P56">
        <f>'Federal P&amp;L'!P74+'State and Local P&amp;L'!P51</f>
        <v>48104983</v>
      </c>
      <c r="Q56">
        <f>'Federal P&amp;L'!Q74+'State and Local P&amp;L'!Q51</f>
        <v>51579973</v>
      </c>
      <c r="R56">
        <f>'Federal P&amp;L'!R74+'State and Local P&amp;L'!R51</f>
        <v>53194568</v>
      </c>
      <c r="S56">
        <f>'Federal P&amp;L'!S74+'State and Local P&amp;L'!S51</f>
        <v>57644162</v>
      </c>
      <c r="T56">
        <f>'Federal P&amp;L'!T74+'State and Local P&amp;L'!T51</f>
        <v>60610577</v>
      </c>
      <c r="U56">
        <f>'Federal P&amp;L'!U74+'State and Local P&amp;L'!U51</f>
        <v>64814722</v>
      </c>
      <c r="V56">
        <f>'Federal P&amp;L'!V74+'State and Local P&amp;L'!V51</f>
        <v>70627588</v>
      </c>
      <c r="W56">
        <f>'Federal P&amp;L'!W74+'State and Local P&amp;L'!W51</f>
        <v>75847954</v>
      </c>
      <c r="X56">
        <f>'Federal P&amp;L'!X74+'State and Local P&amp;L'!X51</f>
        <v>85795759</v>
      </c>
      <c r="Y56">
        <f>'Federal P&amp;L'!Y74+'State and Local P&amp;L'!Y51</f>
        <v>91282413</v>
      </c>
      <c r="Z56">
        <f>'Federal P&amp;L'!Z74+'State and Local P&amp;L'!Z51</f>
        <v>96971318</v>
      </c>
      <c r="AA56">
        <f>'Federal P&amp;L'!AA74+'State and Local P&amp;L'!AA51</f>
        <v>99801076</v>
      </c>
      <c r="AB56">
        <f>'Federal P&amp;L'!AB74+'State and Local P&amp;L'!AB51</f>
        <v>104238659</v>
      </c>
      <c r="AC56">
        <f>'Federal P&amp;L'!AC74+'State and Local P&amp;L'!AC51</f>
        <v>109834735</v>
      </c>
      <c r="AD56">
        <f>'Federal P&amp;L'!AD74+'State and Local P&amp;L'!AD51</f>
        <v>118339721</v>
      </c>
      <c r="AE56">
        <f>'Federal P&amp;L'!AE74+'State and Local P&amp;L'!AE51</f>
        <v>123135261</v>
      </c>
      <c r="AF56">
        <f>'Federal P&amp;L'!AF74+'State and Local P&amp;L'!AF51</f>
        <v>129767671</v>
      </c>
      <c r="AG56">
        <f>'Federal P&amp;L'!AG74+'State and Local P&amp;L'!AG51</f>
        <v>130589437</v>
      </c>
      <c r="AH56">
        <f>'Federal P&amp;L'!AH74+'State and Local P&amp;L'!AH51</f>
        <v>131469898</v>
      </c>
      <c r="AI56">
        <f>'Federal P&amp;L'!AI74+'State and Local P&amp;L'!AI51</f>
        <v>132189671</v>
      </c>
      <c r="AJ56">
        <f>'Federal P&amp;L'!AJ74+'State and Local P&amp;L'!AJ51</f>
        <v>133234631</v>
      </c>
    </row>
    <row r="57" spans="1:36">
      <c r="A57" s="4" t="s">
        <v>245</v>
      </c>
      <c r="B57">
        <f>'Federal P&amp;L'!B75+'State and Local P&amp;L'!B52</f>
        <v>5351753</v>
      </c>
      <c r="C57">
        <f>'Federal P&amp;L'!C75+'State and Local P&amp;L'!C52</f>
        <v>4607346</v>
      </c>
      <c r="D57">
        <f>'Federal P&amp;L'!D75+'State and Local P&amp;L'!D52</f>
        <v>5574218</v>
      </c>
      <c r="E57">
        <f>'Federal P&amp;L'!E75+'State and Local P&amp;L'!E52</f>
        <v>6761092</v>
      </c>
      <c r="F57">
        <f>'Federal P&amp;L'!F75+'State and Local P&amp;L'!F52</f>
        <v>6563867</v>
      </c>
      <c r="G57">
        <f>'Federal P&amp;L'!G75+'State and Local P&amp;L'!G52</f>
        <v>7403874</v>
      </c>
      <c r="H57">
        <f>'Federal P&amp;L'!H75+'State and Local P&amp;L'!H52</f>
        <v>7508709</v>
      </c>
      <c r="I57">
        <f>'Federal P&amp;L'!I75+'State and Local P&amp;L'!I52</f>
        <v>7616632</v>
      </c>
      <c r="J57">
        <f>'Federal P&amp;L'!J75+'State and Local P&amp;L'!J52</f>
        <v>9170117</v>
      </c>
      <c r="K57">
        <f>'Federal P&amp;L'!K75+'State and Local P&amp;L'!K52</f>
        <v>9304547</v>
      </c>
      <c r="L57">
        <f>'Federal P&amp;L'!L75+'State and Local P&amp;L'!L52</f>
        <v>9348662</v>
      </c>
      <c r="M57">
        <f>'Federal P&amp;L'!M75+'State and Local P&amp;L'!M52</f>
        <v>9317039</v>
      </c>
      <c r="N57">
        <f>'Federal P&amp;L'!N75+'State and Local P&amp;L'!N52</f>
        <v>5197166</v>
      </c>
      <c r="O57">
        <f>'Federal P&amp;L'!O75+'State and Local P&amp;L'!O52</f>
        <v>5307117</v>
      </c>
      <c r="P57">
        <f>'Federal P&amp;L'!P75+'State and Local P&amp;L'!P52</f>
        <v>3162092</v>
      </c>
      <c r="Q57">
        <f>'Federal P&amp;L'!Q75+'State and Local P&amp;L'!Q52</f>
        <v>2873463</v>
      </c>
      <c r="R57">
        <f>'Federal P&amp;L'!R75+'State and Local P&amp;L'!R52</f>
        <v>2133253</v>
      </c>
      <c r="S57">
        <f>'Federal P&amp;L'!S75+'State and Local P&amp;L'!S52</f>
        <v>528439</v>
      </c>
      <c r="T57">
        <f>'Federal P&amp;L'!T75+'State and Local P&amp;L'!T52</f>
        <v>2113144</v>
      </c>
      <c r="U57">
        <f>'Federal P&amp;L'!U75+'State and Local P&amp;L'!U52</f>
        <v>2366035</v>
      </c>
      <c r="V57">
        <f>'Federal P&amp;L'!V75+'State and Local P&amp;L'!V52</f>
        <v>4107878</v>
      </c>
      <c r="W57">
        <f>'Federal P&amp;L'!W75+'State and Local P&amp;L'!W52</f>
        <v>2794936</v>
      </c>
      <c r="X57">
        <f>'Federal P&amp;L'!X75+'State and Local P&amp;L'!X52</f>
        <v>3030344</v>
      </c>
      <c r="Y57">
        <f>'Federal P&amp;L'!Y75+'State and Local P&amp;L'!Y52</f>
        <v>3789804</v>
      </c>
      <c r="Z57">
        <f>'Federal P&amp;L'!Z75+'State and Local P&amp;L'!Z52</f>
        <v>4194421</v>
      </c>
      <c r="AA57">
        <f>'Federal P&amp;L'!AA75+'State and Local P&amp;L'!AA52</f>
        <v>4401601</v>
      </c>
      <c r="AB57">
        <f>'Federal P&amp;L'!AB75+'State and Local P&amp;L'!AB52</f>
        <v>6038929</v>
      </c>
      <c r="AC57">
        <f>'Federal P&amp;L'!AC75+'State and Local P&amp;L'!AC52</f>
        <v>8042441</v>
      </c>
      <c r="AD57">
        <f>'Federal P&amp;L'!AD75+'State and Local P&amp;L'!AD52</f>
        <v>14026845</v>
      </c>
      <c r="AE57">
        <f>'Federal P&amp;L'!AE75+'State and Local P&amp;L'!AE52</f>
        <v>15496568</v>
      </c>
      <c r="AF57">
        <f>'Federal P&amp;L'!AF75+'State and Local P&amp;L'!AF52</f>
        <v>13766138</v>
      </c>
      <c r="AG57">
        <f>'Federal P&amp;L'!AG75+'State and Local P&amp;L'!AG52</f>
        <v>18012376</v>
      </c>
      <c r="AH57">
        <f>'Federal P&amp;L'!AH75+'State and Local P&amp;L'!AH52</f>
        <v>17662596</v>
      </c>
      <c r="AI57">
        <f>'Federal P&amp;L'!AI75+'State and Local P&amp;L'!AI52</f>
        <v>13112900</v>
      </c>
      <c r="AJ57">
        <f>'Federal P&amp;L'!AJ75+'State and Local P&amp;L'!AJ52</f>
        <v>13426424</v>
      </c>
    </row>
    <row r="58" spans="1:36">
      <c r="A58" s="5" t="s">
        <v>328</v>
      </c>
      <c r="B58">
        <f>+'State and Local P&amp;L'!B52</f>
        <v>5351753</v>
      </c>
      <c r="C58">
        <f>+'State and Local P&amp;L'!C52</f>
        <v>4607346</v>
      </c>
      <c r="D58">
        <f>+'State and Local P&amp;L'!D52</f>
        <v>5574218</v>
      </c>
      <c r="E58">
        <f>+'State and Local P&amp;L'!E52</f>
        <v>6761092</v>
      </c>
      <c r="F58">
        <f>+'State and Local P&amp;L'!F52</f>
        <v>6563867</v>
      </c>
      <c r="G58">
        <f>+'State and Local P&amp;L'!G52</f>
        <v>7403874</v>
      </c>
      <c r="H58">
        <f>+'State and Local P&amp;L'!H52</f>
        <v>7508709</v>
      </c>
      <c r="I58">
        <f>+'State and Local P&amp;L'!I52</f>
        <v>7616632</v>
      </c>
      <c r="J58">
        <f>+'State and Local P&amp;L'!J52</f>
        <v>9170117</v>
      </c>
      <c r="K58">
        <f>+'State and Local P&amp;L'!K52</f>
        <v>9304547</v>
      </c>
      <c r="L58">
        <f>+'State and Local P&amp;L'!L52</f>
        <v>9348662</v>
      </c>
      <c r="M58">
        <f>+'State and Local P&amp;L'!M52</f>
        <v>9317039</v>
      </c>
      <c r="N58">
        <f>+'State and Local P&amp;L'!N52</f>
        <v>5197166</v>
      </c>
      <c r="O58">
        <f>+'State and Local P&amp;L'!O52</f>
        <v>5146026</v>
      </c>
      <c r="P58">
        <f>+'State and Local P&amp;L'!P52</f>
        <v>2876132</v>
      </c>
      <c r="Q58">
        <f>+'State and Local P&amp;L'!Q52</f>
        <v>2537463</v>
      </c>
      <c r="R58">
        <f>+'State and Local P&amp;L'!R52</f>
        <v>1829253</v>
      </c>
      <c r="S58">
        <f>+'State and Local P&amp;L'!S52</f>
        <v>189439</v>
      </c>
      <c r="T58">
        <f>+'State and Local P&amp;L'!T52</f>
        <v>1773144</v>
      </c>
      <c r="U58">
        <f>+'State and Local P&amp;L'!U52</f>
        <v>2218035</v>
      </c>
      <c r="V58">
        <f>+'State and Local P&amp;L'!V52</f>
        <v>3952878</v>
      </c>
      <c r="W58">
        <f>+'State and Local P&amp;L'!W52</f>
        <v>2644936</v>
      </c>
      <c r="X58">
        <f>+'State and Local P&amp;L'!X52</f>
        <v>2906344</v>
      </c>
      <c r="Y58">
        <f>+'State and Local P&amp;L'!Y52</f>
        <v>3599804</v>
      </c>
      <c r="Z58">
        <f>+'State and Local P&amp;L'!Z52</f>
        <v>4067421</v>
      </c>
      <c r="AA58">
        <f>+'State and Local P&amp;L'!AA52</f>
        <v>4276601</v>
      </c>
      <c r="AB58">
        <f>+'State and Local P&amp;L'!AB52</f>
        <v>5924929</v>
      </c>
      <c r="AC58">
        <f>+'State and Local P&amp;L'!AC52</f>
        <v>7993441</v>
      </c>
      <c r="AD58">
        <f>+'State and Local P&amp;L'!AD52</f>
        <v>14034845</v>
      </c>
      <c r="AE58">
        <f>+'State and Local P&amp;L'!AE52</f>
        <v>15441568</v>
      </c>
      <c r="AF58">
        <f>+'State and Local P&amp;L'!AF52</f>
        <v>13719138</v>
      </c>
      <c r="AG58">
        <f>+'State and Local P&amp;L'!AG52</f>
        <v>14597376</v>
      </c>
      <c r="AH58">
        <f>+'State and Local P&amp;L'!AH52</f>
        <v>14162596</v>
      </c>
      <c r="AI58">
        <f>+'State and Local P&amp;L'!AI52</f>
        <v>10631900</v>
      </c>
      <c r="AJ58">
        <f>+'State and Local P&amp;L'!AJ52</f>
        <v>12505424</v>
      </c>
    </row>
    <row r="59" spans="1:36">
      <c r="A59" s="4" t="s">
        <v>59</v>
      </c>
      <c r="B59">
        <f>'Federal P&amp;L'!B76+'Federal P&amp;L'!B77</f>
        <v>133080</v>
      </c>
      <c r="C59">
        <f>'Federal P&amp;L'!C76+'Federal P&amp;L'!C77</f>
        <v>233734</v>
      </c>
      <c r="D59">
        <f>'Federal P&amp;L'!D76+'Federal P&amp;L'!D77</f>
        <v>160125</v>
      </c>
      <c r="E59">
        <f>'Federal P&amp;L'!E76+'Federal P&amp;L'!E77</f>
        <v>137170</v>
      </c>
      <c r="F59">
        <f>'Federal P&amp;L'!F76+'Federal P&amp;L'!F77</f>
        <v>128402</v>
      </c>
      <c r="G59">
        <f>'Federal P&amp;L'!G76+'Federal P&amp;L'!G77</f>
        <v>78919</v>
      </c>
      <c r="H59">
        <f>'Federal P&amp;L'!H76+'Federal P&amp;L'!H77</f>
        <v>108961</v>
      </c>
      <c r="I59">
        <f>'Federal P&amp;L'!I76+'Federal P&amp;L'!I77</f>
        <v>137060</v>
      </c>
      <c r="J59">
        <f>'Federal P&amp;L'!J76+'Federal P&amp;L'!J77</f>
        <v>100495</v>
      </c>
      <c r="K59">
        <f>'Federal P&amp;L'!K76+'Federal P&amp;L'!K77</f>
        <v>116301</v>
      </c>
      <c r="L59">
        <f>'Federal P&amp;L'!L76+'Federal P&amp;L'!L77</f>
        <v>127905</v>
      </c>
      <c r="M59">
        <f>'Federal P&amp;L'!M76+'Federal P&amp;L'!M77</f>
        <v>164264</v>
      </c>
      <c r="N59">
        <f>'Federal P&amp;L'!N76+'Federal P&amp;L'!N77</f>
        <v>-12900</v>
      </c>
      <c r="O59">
        <f>'Federal P&amp;L'!O76+'Federal P&amp;L'!O77</f>
        <v>152304</v>
      </c>
      <c r="P59">
        <f>'Federal P&amp;L'!P76+'Federal P&amp;L'!P77</f>
        <v>40871</v>
      </c>
      <c r="Q59">
        <f>'Federal P&amp;L'!Q76+'Federal P&amp;L'!Q77</f>
        <v>262000</v>
      </c>
      <c r="R59">
        <f>'Federal P&amp;L'!R76+'Federal P&amp;L'!R77</f>
        <v>167000</v>
      </c>
      <c r="S59">
        <f>'Federal P&amp;L'!S76+'Federal P&amp;L'!S77</f>
        <v>194000</v>
      </c>
      <c r="T59">
        <f>'Federal P&amp;L'!T76+'Federal P&amp;L'!T77</f>
        <v>222000</v>
      </c>
      <c r="U59">
        <f>'Federal P&amp;L'!U76+'Federal P&amp;L'!U77</f>
        <v>349000</v>
      </c>
      <c r="V59">
        <f>'Federal P&amp;L'!V76+'Federal P&amp;L'!V77</f>
        <v>508000</v>
      </c>
      <c r="W59">
        <f>'Federal P&amp;L'!W76+'Federal P&amp;L'!W77</f>
        <v>446000</v>
      </c>
      <c r="X59">
        <f>'Federal P&amp;L'!X76+'Federal P&amp;L'!X77</f>
        <v>744000</v>
      </c>
      <c r="Y59">
        <f>'Federal P&amp;L'!Y76+'Federal P&amp;L'!Y77</f>
        <v>554000</v>
      </c>
      <c r="Z59">
        <f>'Federal P&amp;L'!Z76+'Federal P&amp;L'!Z77</f>
        <v>521000</v>
      </c>
      <c r="AA59">
        <f>'Federal P&amp;L'!AA76+'Federal P&amp;L'!AA77</f>
        <v>660000</v>
      </c>
      <c r="AB59">
        <f>'Federal P&amp;L'!AB76+'Federal P&amp;L'!AB77</f>
        <v>260000</v>
      </c>
      <c r="AC59">
        <f>'Federal P&amp;L'!AC76+'Federal P&amp;L'!AC77</f>
        <v>413000</v>
      </c>
      <c r="AD59">
        <f>'Federal P&amp;L'!AD76+'Federal P&amp;L'!AD77</f>
        <v>326000</v>
      </c>
      <c r="AE59">
        <f>'Federal P&amp;L'!AE76+'Federal P&amp;L'!AE77</f>
        <v>97000</v>
      </c>
      <c r="AF59">
        <f>'Federal P&amp;L'!AF76+'Federal P&amp;L'!AF77</f>
        <v>383000</v>
      </c>
      <c r="AG59">
        <f>'Federal P&amp;L'!AG76+'Federal P&amp;L'!AG77</f>
        <v>922000</v>
      </c>
      <c r="AH59">
        <f>'Federal P&amp;L'!AH76+'Federal P&amp;L'!AH77</f>
        <v>1322000</v>
      </c>
      <c r="AI59">
        <f>'Federal P&amp;L'!AI76+'Federal P&amp;L'!AI77</f>
        <v>1615000</v>
      </c>
      <c r="AJ59">
        <f>'Federal P&amp;L'!AJ76+'Federal P&amp;L'!AJ77</f>
        <v>2655000</v>
      </c>
    </row>
    <row r="60" spans="1:36">
      <c r="A60" s="3" t="s">
        <v>39</v>
      </c>
      <c r="B60">
        <f>'Federal P&amp;L'!B78+'State and Local P&amp;L'!B53</f>
        <v>82840243</v>
      </c>
      <c r="C60">
        <f>'Federal P&amp;L'!C78+'State and Local P&amp;L'!C53</f>
        <v>94895085</v>
      </c>
      <c r="D60">
        <f>'Federal P&amp;L'!D78+'State and Local P&amp;L'!D53</f>
        <v>101517192</v>
      </c>
      <c r="E60">
        <f>'Federal P&amp;L'!E78+'State and Local P&amp;L'!E53</f>
        <v>115775600</v>
      </c>
      <c r="F60">
        <f>'Federal P&amp;L'!F78+'State and Local P&amp;L'!F53</f>
        <v>107984000</v>
      </c>
      <c r="G60">
        <f>'Federal P&amp;L'!G78+'State and Local P&amp;L'!G53</f>
        <v>126165362</v>
      </c>
      <c r="H60">
        <f>'Federal P&amp;L'!H78+'State and Local P&amp;L'!H53</f>
        <v>118489064</v>
      </c>
      <c r="I60">
        <f>'Federal P&amp;L'!I78+'State and Local P&amp;L'!I53</f>
        <v>123580640</v>
      </c>
      <c r="J60">
        <f>'Federal P&amp;L'!J78+'State and Local P&amp;L'!J53</f>
        <v>131944801</v>
      </c>
      <c r="K60">
        <f>'Federal P&amp;L'!K78+'State and Local P&amp;L'!K53</f>
        <v>143677690</v>
      </c>
      <c r="L60">
        <f>'Federal P&amp;L'!L78+'State and Local P&amp;L'!L53</f>
        <v>160669534</v>
      </c>
      <c r="M60">
        <f>'Federal P&amp;L'!M78+'State and Local P&amp;L'!M53</f>
        <v>195199426</v>
      </c>
      <c r="N60">
        <f>'Federal P&amp;L'!N78+'State and Local P&amp;L'!N53</f>
        <v>259112867</v>
      </c>
      <c r="O60">
        <f>'Federal P&amp;L'!O78+'State and Local P&amp;L'!O53</f>
        <v>278027949</v>
      </c>
      <c r="P60">
        <f>'Federal P&amp;L'!P78+'State and Local P&amp;L'!P53</f>
        <v>288418025</v>
      </c>
      <c r="Q60">
        <f>'Federal P&amp;L'!Q78+'State and Local P&amp;L'!Q53</f>
        <v>299347359</v>
      </c>
      <c r="R60">
        <f>'Federal P&amp;L'!R78+'State and Local P&amp;L'!R53</f>
        <v>304433213</v>
      </c>
      <c r="S60">
        <f>'Federal P&amp;L'!S78+'State and Local P&amp;L'!S53</f>
        <v>310435531</v>
      </c>
      <c r="T60">
        <f>'Federal P&amp;L'!T78+'State and Local P&amp;L'!T53</f>
        <v>309634189</v>
      </c>
      <c r="U60">
        <f>'Federal P&amp;L'!U78+'State and Local P&amp;L'!U53</f>
        <v>318655277</v>
      </c>
      <c r="V60">
        <f>'Federal P&amp;L'!V78+'State and Local P&amp;L'!V53</f>
        <v>340187263</v>
      </c>
      <c r="W60">
        <f>'Federal P&amp;L'!W78+'State and Local P&amp;L'!W53</f>
        <v>367561765</v>
      </c>
      <c r="X60">
        <f>'Federal P&amp;L'!X78+'State and Local P&amp;L'!X53</f>
        <v>428865264</v>
      </c>
      <c r="Y60">
        <f>'Federal P&amp;L'!Y78+'State and Local P&amp;L'!Y53</f>
        <v>471128904</v>
      </c>
      <c r="Z60">
        <f>'Federal P&amp;L'!Z78+'State and Local P&amp;L'!Z53</f>
        <v>499829195</v>
      </c>
      <c r="AA60">
        <f>'Federal P&amp;L'!AA78+'State and Local P&amp;L'!AA53</f>
        <v>534218952</v>
      </c>
      <c r="AB60">
        <f>'Federal P&amp;L'!AB78+'State and Local P&amp;L'!AB53</f>
        <v>536247306</v>
      </c>
      <c r="AC60">
        <f>'Federal P&amp;L'!AC78+'State and Local P&amp;L'!AC53</f>
        <v>562897437</v>
      </c>
      <c r="AD60">
        <f>'Federal P&amp;L'!AD78+'State and Local P&amp;L'!AD53</f>
        <v>638326617</v>
      </c>
      <c r="AE60">
        <f>'Federal P&amp;L'!AE78+'State and Local P&amp;L'!AE53</f>
        <v>754870488</v>
      </c>
      <c r="AF60">
        <f>'Federal P&amp;L'!AF78+'State and Local P&amp;L'!AF53</f>
        <v>880793849</v>
      </c>
      <c r="AG60">
        <f>'Federal P&amp;L'!AG78+'State and Local P&amp;L'!AG53</f>
        <v>891046697</v>
      </c>
      <c r="AH60">
        <f>'Federal P&amp;L'!AH78+'State and Local P&amp;L'!AH53</f>
        <v>841592571</v>
      </c>
      <c r="AI60">
        <f>'Federal P&amp;L'!AI78+'State and Local P&amp;L'!AI53</f>
        <v>852562594</v>
      </c>
      <c r="AJ60">
        <f>'Federal P&amp;L'!AJ78+'State and Local P&amp;L'!AJ53</f>
        <v>861871646</v>
      </c>
    </row>
    <row r="61" spans="1:36">
      <c r="A61" s="4" t="s">
        <v>60</v>
      </c>
      <c r="B61">
        <f>'Federal P&amp;L'!B79+'State and Local P&amp;L'!B54</f>
        <v>20598633</v>
      </c>
      <c r="C61">
        <f>'Federal P&amp;L'!C79+'State and Local P&amp;L'!C54</f>
        <v>22899625</v>
      </c>
      <c r="D61">
        <f>'Federal P&amp;L'!D79+'State and Local P&amp;L'!D54</f>
        <v>23671895</v>
      </c>
      <c r="E61">
        <f>'Federal P&amp;L'!E79+'State and Local P&amp;L'!E54</f>
        <v>25836854</v>
      </c>
      <c r="F61">
        <f>'Federal P&amp;L'!F79+'State and Local P&amp;L'!F54</f>
        <v>26458051</v>
      </c>
      <c r="G61">
        <f>'Federal P&amp;L'!G79+'State and Local P&amp;L'!G54</f>
        <v>28129240</v>
      </c>
      <c r="H61">
        <f>'Federal P&amp;L'!H79+'State and Local P&amp;L'!H54</f>
        <v>30636854</v>
      </c>
      <c r="I61">
        <f>'Federal P&amp;L'!I79+'State and Local P&amp;L'!I54</f>
        <v>31823080</v>
      </c>
      <c r="J61">
        <f>'Federal P&amp;L'!J79+'State and Local P&amp;L'!J54</f>
        <v>34935365</v>
      </c>
      <c r="K61">
        <f>'Federal P&amp;L'!K79+'State and Local P&amp;L'!K54</f>
        <v>37309262</v>
      </c>
      <c r="L61">
        <f>'Federal P&amp;L'!L79+'State and Local P&amp;L'!L54</f>
        <v>39268312</v>
      </c>
      <c r="M61">
        <f>'Federal P&amp;L'!M79+'State and Local P&amp;L'!M54</f>
        <v>45772316</v>
      </c>
      <c r="N61">
        <f>'Federal P&amp;L'!N79+'State and Local P&amp;L'!N54</f>
        <v>53448797</v>
      </c>
      <c r="O61">
        <f>'Federal P&amp;L'!O79+'State and Local P&amp;L'!O54</f>
        <v>59172920</v>
      </c>
      <c r="P61">
        <f>'Federal P&amp;L'!P79+'State and Local P&amp;L'!P54</f>
        <v>64790031</v>
      </c>
      <c r="Q61">
        <f>'Federal P&amp;L'!Q79+'State and Local P&amp;L'!Q54</f>
        <v>69652857</v>
      </c>
      <c r="R61">
        <f>'Federal P&amp;L'!R79+'State and Local P&amp;L'!R54</f>
        <v>71023236</v>
      </c>
      <c r="S61">
        <f>'Federal P&amp;L'!S79+'State and Local P&amp;L'!S54</f>
        <v>74049265</v>
      </c>
      <c r="T61">
        <f>'Federal P&amp;L'!T79+'State and Local P&amp;L'!T54</f>
        <v>73891581</v>
      </c>
      <c r="U61">
        <f>'Federal P&amp;L'!U79+'State and Local P&amp;L'!U54</f>
        <v>76780391</v>
      </c>
      <c r="V61">
        <f>'Federal P&amp;L'!V79+'State and Local P&amp;L'!V54</f>
        <v>79537502</v>
      </c>
      <c r="W61">
        <f>'Federal P&amp;L'!W79+'State and Local P&amp;L'!W54</f>
        <v>75827467</v>
      </c>
      <c r="X61">
        <f>'Federal P&amp;L'!X79+'State and Local P&amp;L'!X54</f>
        <v>84287300</v>
      </c>
      <c r="Y61">
        <f>'Federal P&amp;L'!Y79+'State and Local P&amp;L'!Y54</f>
        <v>92201581</v>
      </c>
      <c r="Z61">
        <f>'Federal P&amp;L'!Z79+'State and Local P&amp;L'!Z54</f>
        <v>97342725</v>
      </c>
      <c r="AA61">
        <f>'Federal P&amp;L'!AA79+'State and Local P&amp;L'!AA54</f>
        <v>107264556</v>
      </c>
      <c r="AB61">
        <f>'Federal P&amp;L'!AB79+'State and Local P&amp;L'!AB54</f>
        <v>108732742</v>
      </c>
      <c r="AC61">
        <f>'Federal P&amp;L'!AC79+'State and Local P&amp;L'!AC54</f>
        <v>110173640</v>
      </c>
      <c r="AD61">
        <f>'Federal P&amp;L'!AD79+'State and Local P&amp;L'!AD54</f>
        <v>149999632</v>
      </c>
      <c r="AE61">
        <f>'Federal P&amp;L'!AE79+'State and Local P&amp;L'!AE54</f>
        <v>135910056</v>
      </c>
      <c r="AF61">
        <f>'Federal P&amp;L'!AF79+'State and Local P&amp;L'!AF54</f>
        <v>161392938</v>
      </c>
      <c r="AG61">
        <f>'Federal P&amp;L'!AG79+'State and Local P&amp;L'!AG54</f>
        <v>169260302</v>
      </c>
      <c r="AH61">
        <f>'Federal P&amp;L'!AH79+'State and Local P&amp;L'!AH54</f>
        <v>148370411</v>
      </c>
      <c r="AI61">
        <f>'Federal P&amp;L'!AI79+'State and Local P&amp;L'!AI54</f>
        <v>156246769</v>
      </c>
      <c r="AJ61">
        <f>'Federal P&amp;L'!AJ79+'State and Local P&amp;L'!AJ54</f>
        <v>160801152</v>
      </c>
    </row>
    <row r="62" spans="1:36">
      <c r="A62" s="4" t="s">
        <v>61</v>
      </c>
      <c r="B62">
        <f>'Federal P&amp;L'!B86+'State and Local P&amp;L'!B55</f>
        <v>42128961</v>
      </c>
      <c r="C62">
        <f>'Federal P&amp;L'!C86+'State and Local P&amp;L'!C55</f>
        <v>50116423</v>
      </c>
      <c r="D62">
        <f>'Federal P&amp;L'!D86+'State and Local P&amp;L'!D55</f>
        <v>52074894</v>
      </c>
      <c r="E62">
        <f>'Federal P&amp;L'!E86+'State and Local P&amp;L'!E55</f>
        <v>56461728</v>
      </c>
      <c r="F62">
        <f>'Federal P&amp;L'!F86+'State and Local P&amp;L'!F55</f>
        <v>60925913</v>
      </c>
      <c r="G62">
        <f>'Federal P&amp;L'!G86+'State and Local P&amp;L'!G55</f>
        <v>78224779</v>
      </c>
      <c r="H62">
        <f>'Federal P&amp;L'!H86+'State and Local P&amp;L'!H55</f>
        <v>67685715</v>
      </c>
      <c r="I62">
        <f>'Federal P&amp;L'!I86+'State and Local P&amp;L'!I55</f>
        <v>72188919</v>
      </c>
      <c r="J62">
        <f>'Federal P&amp;L'!J86+'State and Local P&amp;L'!J55</f>
        <v>79151824</v>
      </c>
      <c r="K62">
        <f>'Federal P&amp;L'!K86+'State and Local P&amp;L'!K55</f>
        <v>88148128</v>
      </c>
      <c r="L62">
        <f>'Federal P&amp;L'!L86+'State and Local P&amp;L'!L55</f>
        <v>99719463</v>
      </c>
      <c r="M62">
        <f>'Federal P&amp;L'!M86+'State and Local P&amp;L'!M55</f>
        <v>119455395</v>
      </c>
      <c r="N62">
        <f>'Federal P&amp;L'!N86+'State and Local P&amp;L'!N55</f>
        <v>162866017</v>
      </c>
      <c r="O62">
        <f>'Federal P&amp;L'!O86+'State and Local P&amp;L'!O55</f>
        <v>177223191</v>
      </c>
      <c r="P62">
        <f>'Federal P&amp;L'!P86+'State and Local P&amp;L'!P55</f>
        <v>190827852</v>
      </c>
      <c r="Q62">
        <f>'Federal P&amp;L'!Q86+'State and Local P&amp;L'!Q55</f>
        <v>202203488</v>
      </c>
      <c r="R62">
        <f>'Federal P&amp;L'!R86+'State and Local P&amp;L'!R55</f>
        <v>204790366</v>
      </c>
      <c r="S62">
        <f>'Federal P&amp;L'!S86+'State and Local P&amp;L'!S55</f>
        <v>209613231</v>
      </c>
      <c r="T62">
        <f>'Federal P&amp;L'!T86+'State and Local P&amp;L'!T55</f>
        <v>209558425</v>
      </c>
      <c r="U62">
        <f>'Federal P&amp;L'!U86+'State and Local P&amp;L'!U55</f>
        <v>214403539</v>
      </c>
      <c r="V62">
        <f>'Federal P&amp;L'!V86+'State and Local P&amp;L'!V55</f>
        <v>233562096</v>
      </c>
      <c r="W62">
        <f>'Federal P&amp;L'!W86+'State and Local P&amp;L'!W55</f>
        <v>257130468</v>
      </c>
      <c r="X62">
        <f>'Federal P&amp;L'!X86+'State and Local P&amp;L'!X55</f>
        <v>286395834</v>
      </c>
      <c r="Y62">
        <f>'Federal P&amp;L'!Y86+'State and Local P&amp;L'!Y55</f>
        <v>316376273</v>
      </c>
      <c r="Z62">
        <f>'Federal P&amp;L'!Z86+'State and Local P&amp;L'!Z55</f>
        <v>352730844</v>
      </c>
      <c r="AA62">
        <f>'Federal P&amp;L'!AA86+'State and Local P&amp;L'!AA55</f>
        <v>387152851</v>
      </c>
      <c r="AB62">
        <f>'Federal P&amp;L'!AB86+'State and Local P&amp;L'!AB55</f>
        <v>389632471</v>
      </c>
      <c r="AC62">
        <f>'Federal P&amp;L'!AC86+'State and Local P&amp;L'!AC55</f>
        <v>412667893</v>
      </c>
      <c r="AD62">
        <f>'Federal P&amp;L'!AD86+'State and Local P&amp;L'!AD55</f>
        <v>438101162</v>
      </c>
      <c r="AE62">
        <f>'Federal P&amp;L'!AE86+'State and Local P&amp;L'!AE55</f>
        <v>491537524</v>
      </c>
      <c r="AF62">
        <f>'Federal P&amp;L'!AF86+'State and Local P&amp;L'!AF55</f>
        <v>553408191</v>
      </c>
      <c r="AG62">
        <f>'Federal P&amp;L'!AG86+'State and Local P&amp;L'!AG55</f>
        <v>595407538</v>
      </c>
      <c r="AH62">
        <f>'Federal P&amp;L'!AH86+'State and Local P&amp;L'!AH55</f>
        <v>591468018</v>
      </c>
      <c r="AI62">
        <f>'Federal P&amp;L'!AI86+'State and Local P&amp;L'!AI55</f>
        <v>620035988</v>
      </c>
      <c r="AJ62">
        <f>'Federal P&amp;L'!AJ86+'State and Local P&amp;L'!AJ55</f>
        <v>650157465</v>
      </c>
    </row>
    <row r="63" spans="1:36">
      <c r="A63" s="4" t="s">
        <v>306</v>
      </c>
      <c r="B63">
        <f>'Federal P&amp;L'!B94+'State and Local P&amp;L'!B59</f>
        <v>18921911</v>
      </c>
      <c r="C63">
        <f>'Federal P&amp;L'!C94+'State and Local P&amp;L'!C59</f>
        <v>20617416</v>
      </c>
      <c r="D63">
        <f>'Federal P&amp;L'!D94+'State and Local P&amp;L'!D59</f>
        <v>24627613</v>
      </c>
      <c r="E63">
        <f>'Federal P&amp;L'!E94+'State and Local P&amp;L'!E59</f>
        <v>32466849</v>
      </c>
      <c r="F63">
        <f>'Federal P&amp;L'!F94+'State and Local P&amp;L'!F59</f>
        <v>19593739</v>
      </c>
      <c r="G63">
        <f>'Federal P&amp;L'!G94+'State and Local P&amp;L'!G59</f>
        <v>18832869</v>
      </c>
      <c r="H63">
        <f>'Federal P&amp;L'!H94+'State and Local P&amp;L'!H59</f>
        <v>19183040</v>
      </c>
      <c r="I63">
        <f>'Federal P&amp;L'!I94+'State and Local P&amp;L'!I59</f>
        <v>18557712</v>
      </c>
      <c r="J63">
        <f>'Federal P&amp;L'!J94+'State and Local P&amp;L'!J59</f>
        <v>16730074</v>
      </c>
      <c r="K63">
        <f>'Federal P&amp;L'!K94+'State and Local P&amp;L'!K59</f>
        <v>17092460</v>
      </c>
      <c r="L63">
        <f>'Federal P&amp;L'!L94+'State and Local P&amp;L'!L59</f>
        <v>20478906</v>
      </c>
      <c r="M63">
        <f>'Federal P&amp;L'!M94+'State and Local P&amp;L'!M59</f>
        <v>28719026</v>
      </c>
      <c r="N63">
        <f>'Federal P&amp;L'!N94+'State and Local P&amp;L'!N59</f>
        <v>41439275</v>
      </c>
      <c r="O63">
        <f>'Federal P&amp;L'!O94+'State and Local P&amp;L'!O59</f>
        <v>40175290</v>
      </c>
      <c r="P63">
        <f>'Federal P&amp;L'!P94+'State and Local P&amp;L'!P59</f>
        <v>31292998</v>
      </c>
      <c r="Q63">
        <f>'Federal P&amp;L'!Q94+'State and Local P&amp;L'!Q59</f>
        <v>25928014</v>
      </c>
      <c r="R63">
        <f>'Federal P&amp;L'!R94+'State and Local P&amp;L'!R59</f>
        <v>27129611</v>
      </c>
      <c r="S63">
        <f>'Federal P&amp;L'!S94+'State and Local P&amp;L'!S59</f>
        <v>25206035</v>
      </c>
      <c r="T63">
        <f>'Federal P&amp;L'!T94+'State and Local P&amp;L'!T59</f>
        <v>24384183</v>
      </c>
      <c r="U63">
        <f>'Federal P&amp;L'!U94+'State and Local P&amp;L'!U59</f>
        <v>25668347</v>
      </c>
      <c r="V63">
        <f>'Federal P&amp;L'!V94+'State and Local P&amp;L'!V59</f>
        <v>25227665</v>
      </c>
      <c r="W63">
        <f>'Federal P&amp;L'!W94+'State and Local P&amp;L'!W59</f>
        <v>32668830</v>
      </c>
      <c r="X63">
        <f>'Federal P&amp;L'!X94+'State and Local P&amp;L'!X59</f>
        <v>55995130</v>
      </c>
      <c r="Y63">
        <f>'Federal P&amp;L'!Y94+'State and Local P&amp;L'!Y59</f>
        <v>60323050</v>
      </c>
      <c r="Z63">
        <f>'Federal P&amp;L'!Z94+'State and Local P&amp;L'!Z59</f>
        <v>47451626</v>
      </c>
      <c r="AA63">
        <f>'Federal P&amp;L'!AA94+'State and Local P&amp;L'!AA59</f>
        <v>37274545</v>
      </c>
      <c r="AB63">
        <f>'Federal P&amp;L'!AB94+'State and Local P&amp;L'!AB59</f>
        <v>36530093</v>
      </c>
      <c r="AC63">
        <f>'Federal P&amp;L'!AC94+'State and Local P&amp;L'!AC59</f>
        <v>37316904</v>
      </c>
      <c r="AD63">
        <f>'Federal P&amp;L'!AD94+'State and Local P&amp;L'!AD59</f>
        <v>47565823</v>
      </c>
      <c r="AE63">
        <f>'Federal P&amp;L'!AE94+'State and Local P&amp;L'!AE59</f>
        <v>124259908</v>
      </c>
      <c r="AF63">
        <f>'Federal P&amp;L'!AF94+'State and Local P&amp;L'!AF59</f>
        <v>161706720</v>
      </c>
      <c r="AG63">
        <f>'Federal P&amp;L'!AG94+'State and Local P&amp;L'!AG59</f>
        <v>121858857</v>
      </c>
      <c r="AH63">
        <f>'Federal P&amp;L'!AH94+'State and Local P&amp;L'!AH59</f>
        <v>97757142</v>
      </c>
      <c r="AI63">
        <f>'Federal P&amp;L'!AI94+'State and Local P&amp;L'!AI59</f>
        <v>73052837</v>
      </c>
      <c r="AJ63">
        <f>'Federal P&amp;L'!AJ94+'State and Local P&amp;L'!AJ59</f>
        <v>48146029</v>
      </c>
    </row>
    <row r="64" spans="1:36">
      <c r="A64" s="4" t="s">
        <v>62</v>
      </c>
      <c r="B64">
        <f>'Federal P&amp;L'!B95</f>
        <v>1190738</v>
      </c>
      <c r="C64">
        <f>'Federal P&amp;L'!C95</f>
        <v>1261621</v>
      </c>
      <c r="D64">
        <f>'Federal P&amp;L'!D95</f>
        <v>1142790</v>
      </c>
      <c r="E64">
        <f>'Federal P&amp;L'!E95</f>
        <v>1010169</v>
      </c>
      <c r="F64">
        <f>'Federal P&amp;L'!F95</f>
        <v>1006297</v>
      </c>
      <c r="G64">
        <f>'Federal P&amp;L'!G95</f>
        <v>978474</v>
      </c>
      <c r="H64">
        <f>'Federal P&amp;L'!H95</f>
        <v>983455</v>
      </c>
      <c r="I64">
        <f>'Federal P&amp;L'!I95</f>
        <v>1010929</v>
      </c>
      <c r="J64">
        <f>'Federal P&amp;L'!J95</f>
        <v>1127538</v>
      </c>
      <c r="K64">
        <f>'Federal P&amp;L'!K95</f>
        <v>1127840</v>
      </c>
      <c r="L64">
        <f>'Federal P&amp;L'!L95</f>
        <v>1202853</v>
      </c>
      <c r="M64">
        <f>'Federal P&amp;L'!M95</f>
        <v>1252689</v>
      </c>
      <c r="N64">
        <f>'Federal P&amp;L'!N95</f>
        <v>1358778</v>
      </c>
      <c r="O64">
        <f>'Federal P&amp;L'!O95</f>
        <v>1456548</v>
      </c>
      <c r="P64">
        <f>'Federal P&amp;L'!P95</f>
        <v>1507144</v>
      </c>
      <c r="Q64">
        <f>'Federal P&amp;L'!Q95</f>
        <v>1563000</v>
      </c>
      <c r="R64">
        <f>'Federal P&amp;L'!R95</f>
        <v>1490000</v>
      </c>
      <c r="S64">
        <f>'Federal P&amp;L'!S95</f>
        <v>1567000</v>
      </c>
      <c r="T64">
        <f>'Federal P&amp;L'!T95</f>
        <v>1800000</v>
      </c>
      <c r="U64">
        <f>'Federal P&amp;L'!U95</f>
        <v>1803000</v>
      </c>
      <c r="V64">
        <f>'Federal P&amp;L'!V95</f>
        <v>1860000</v>
      </c>
      <c r="W64">
        <f>'Federal P&amp;L'!W95</f>
        <v>1935000</v>
      </c>
      <c r="X64">
        <f>'Federal P&amp;L'!X95</f>
        <v>2187000</v>
      </c>
      <c r="Y64">
        <f>'Federal P&amp;L'!Y95</f>
        <v>2228000</v>
      </c>
      <c r="Z64">
        <f>'Federal P&amp;L'!Z95</f>
        <v>2304000</v>
      </c>
      <c r="AA64">
        <f>'Federal P&amp;L'!AA95</f>
        <v>2527000</v>
      </c>
      <c r="AB64">
        <f>'Federal P&amp;L'!AB95</f>
        <v>1352000</v>
      </c>
      <c r="AC64">
        <f>'Federal P&amp;L'!AC95</f>
        <v>2739000</v>
      </c>
      <c r="AD64">
        <f>'Federal P&amp;L'!AD95</f>
        <v>2660000</v>
      </c>
      <c r="AE64">
        <f>'Federal P&amp;L'!AE95</f>
        <v>2452000</v>
      </c>
      <c r="AF64">
        <f>'Federal P&amp;L'!AF95</f>
        <v>3206000</v>
      </c>
      <c r="AG64">
        <f>'Federal P&amp;L'!AG95</f>
        <v>3342000</v>
      </c>
      <c r="AH64">
        <f>'Federal P&amp;L'!AH95</f>
        <v>3016000</v>
      </c>
      <c r="AI64">
        <f>'Federal P&amp;L'!AI95</f>
        <v>2915000</v>
      </c>
      <c r="AJ64">
        <f>'Federal P&amp;L'!AJ95</f>
        <v>2642000</v>
      </c>
    </row>
    <row r="65" spans="1:36">
      <c r="A65" s="4" t="s">
        <v>63</v>
      </c>
      <c r="B65">
        <f>'Federal P&amp;L'!B96</f>
        <v>0</v>
      </c>
      <c r="C65">
        <f>'Federal P&amp;L'!C96</f>
        <v>0</v>
      </c>
      <c r="D65">
        <f>'Federal P&amp;L'!D96</f>
        <v>0</v>
      </c>
      <c r="E65">
        <f>'Federal P&amp;L'!E96</f>
        <v>0</v>
      </c>
      <c r="F65">
        <f>'Federal P&amp;L'!F96</f>
        <v>0</v>
      </c>
      <c r="G65">
        <f>'Federal P&amp;L'!G96</f>
        <v>0</v>
      </c>
      <c r="H65">
        <f>'Federal P&amp;L'!H96</f>
        <v>0</v>
      </c>
      <c r="I65">
        <f>'Federal P&amp;L'!I96</f>
        <v>0</v>
      </c>
      <c r="J65">
        <f>'Federal P&amp;L'!J96</f>
        <v>0</v>
      </c>
      <c r="K65">
        <f>'Federal P&amp;L'!K96</f>
        <v>0</v>
      </c>
      <c r="L65">
        <f>'Federal P&amp;L'!L96</f>
        <v>0</v>
      </c>
      <c r="M65">
        <f>'Federal P&amp;L'!M96</f>
        <v>0</v>
      </c>
      <c r="N65">
        <f>'Federal P&amp;L'!N96</f>
        <v>0</v>
      </c>
      <c r="O65">
        <f>'Federal P&amp;L'!O96</f>
        <v>0</v>
      </c>
      <c r="P65">
        <f>'Federal P&amp;L'!P96</f>
        <v>0</v>
      </c>
      <c r="Q65">
        <f>'Federal P&amp;L'!Q96</f>
        <v>0</v>
      </c>
      <c r="R65">
        <f>'Federal P&amp;L'!R96</f>
        <v>0</v>
      </c>
      <c r="S65">
        <f>'Federal P&amp;L'!S96</f>
        <v>0</v>
      </c>
      <c r="T65">
        <f>'Federal P&amp;L'!T96</f>
        <v>0</v>
      </c>
      <c r="U65">
        <f>'Federal P&amp;L'!U96</f>
        <v>0</v>
      </c>
      <c r="V65">
        <f>'Federal P&amp;L'!V96</f>
        <v>0</v>
      </c>
      <c r="W65">
        <f>'Federal P&amp;L'!W96</f>
        <v>0</v>
      </c>
      <c r="X65">
        <f>'Federal P&amp;L'!X96</f>
        <v>0</v>
      </c>
      <c r="Y65">
        <f>'Federal P&amp;L'!Y96</f>
        <v>0</v>
      </c>
      <c r="Z65">
        <f>'Federal P&amp;L'!Z96</f>
        <v>0</v>
      </c>
      <c r="AA65">
        <f>'Federal P&amp;L'!AA96</f>
        <v>0</v>
      </c>
      <c r="AB65">
        <f>'Federal P&amp;L'!AB96</f>
        <v>0</v>
      </c>
      <c r="AC65">
        <f>'Federal P&amp;L'!AC96</f>
        <v>0</v>
      </c>
      <c r="AD65">
        <f>'Federal P&amp;L'!AD96</f>
        <v>0</v>
      </c>
      <c r="AE65">
        <f>'Federal P&amp;L'!AE96</f>
        <v>711000</v>
      </c>
      <c r="AF65">
        <f>'Federal P&amp;L'!AF96</f>
        <v>1080000</v>
      </c>
      <c r="AG65">
        <f>'Federal P&amp;L'!AG96</f>
        <v>1178000</v>
      </c>
      <c r="AH65">
        <f>'Federal P&amp;L'!AH96</f>
        <v>981000</v>
      </c>
      <c r="AI65">
        <f>'Federal P&amp;L'!AI96</f>
        <v>312000</v>
      </c>
      <c r="AJ65">
        <f>'Federal P&amp;L'!AJ96</f>
        <v>125000</v>
      </c>
    </row>
    <row r="66" spans="1:36">
      <c r="A66" s="2" t="s">
        <v>263</v>
      </c>
      <c r="B66">
        <f>'Federal P&amp;L'!B97+'State and Local P&amp;L'!B60</f>
        <v>423086782</v>
      </c>
      <c r="C66">
        <f>'Federal P&amp;L'!C97+'State and Local P&amp;L'!C60</f>
        <v>496928031</v>
      </c>
      <c r="D66">
        <f>'Federal P&amp;L'!D97+'State and Local P&amp;L'!D60</f>
        <v>550164876</v>
      </c>
      <c r="E66">
        <f>'Federal P&amp;L'!E97+'State and Local P&amp;L'!E60</f>
        <v>592760449</v>
      </c>
      <c r="F66">
        <f>'Federal P&amp;L'!F97+'State and Local P&amp;L'!F60</f>
        <v>634705076</v>
      </c>
      <c r="G66">
        <f>'Federal P&amp;L'!G97+'State and Local P&amp;L'!G60</f>
        <v>701367043</v>
      </c>
      <c r="H66">
        <f>'Federal P&amp;L'!H97+'State and Local P&amp;L'!H60</f>
        <v>755415783</v>
      </c>
      <c r="I66">
        <f>'Federal P&amp;L'!I97+'State and Local P&amp;L'!I60</f>
        <v>793949132</v>
      </c>
      <c r="J66">
        <f>'Federal P&amp;L'!J97+'State and Local P&amp;L'!J60</f>
        <v>829714776</v>
      </c>
      <c r="K66">
        <f>'Federal P&amp;L'!K97+'State and Local P&amp;L'!K60</f>
        <v>892411331</v>
      </c>
      <c r="L66">
        <f>'Federal P&amp;L'!L97+'State and Local P&amp;L'!L60</f>
        <v>965843617</v>
      </c>
      <c r="M66">
        <f>'Federal P&amp;L'!M97+'State and Local P&amp;L'!M60</f>
        <v>1038810330</v>
      </c>
      <c r="N66">
        <f>'Federal P&amp;L'!N97+'State and Local P&amp;L'!N60</f>
        <v>1051155291</v>
      </c>
      <c r="O66">
        <f>'Federal P&amp;L'!O97+'State and Local P&amp;L'!O60</f>
        <v>1111099864</v>
      </c>
      <c r="P66">
        <f>'Federal P&amp;L'!P97+'State and Local P&amp;L'!P60</f>
        <v>1147149939</v>
      </c>
      <c r="Q66">
        <f>'Federal P&amp;L'!Q97+'State and Local P&amp;L'!Q60</f>
        <v>1239498805</v>
      </c>
      <c r="R66">
        <f>'Federal P&amp;L'!R97+'State and Local P&amp;L'!R60</f>
        <v>1293779305</v>
      </c>
      <c r="S66">
        <f>'Federal P&amp;L'!S97+'State and Local P&amp;L'!S60</f>
        <v>1354789207</v>
      </c>
      <c r="T66">
        <f>'Federal P&amp;L'!T97+'State and Local P&amp;L'!T60</f>
        <v>1413373496</v>
      </c>
      <c r="U66">
        <f>'Federal P&amp;L'!U97+'State and Local P&amp;L'!U60</f>
        <v>1456420742</v>
      </c>
      <c r="V66">
        <f>'Federal P&amp;L'!V97+'State and Local P&amp;L'!V60</f>
        <v>1533142242</v>
      </c>
      <c r="W66">
        <f>'Federal P&amp;L'!W97+'State and Local P&amp;L'!W60</f>
        <v>1604593496</v>
      </c>
      <c r="X66">
        <f>'Federal P&amp;L'!X97+'State and Local P&amp;L'!X60</f>
        <v>1661460741</v>
      </c>
      <c r="Y66">
        <f>'Federal P&amp;L'!Y97+'State and Local P&amp;L'!Y60</f>
        <v>1728242384</v>
      </c>
      <c r="Z66">
        <f>'Federal P&amp;L'!Z97+'State and Local P&amp;L'!Z60</f>
        <v>1827516390</v>
      </c>
      <c r="AA66">
        <f>'Federal P&amp;L'!AA97+'State and Local P&amp;L'!AA60</f>
        <v>1948689617</v>
      </c>
      <c r="AB66">
        <f>'Federal P&amp;L'!AB97+'State and Local P&amp;L'!AB60</f>
        <v>2114688301</v>
      </c>
      <c r="AC66">
        <f>'Federal P&amp;L'!AC97+'State and Local P&amp;L'!AC60</f>
        <v>2220610755</v>
      </c>
      <c r="AD66">
        <f>'Federal P&amp;L'!AD97+'State and Local P&amp;L'!AD60</f>
        <v>2366168524</v>
      </c>
      <c r="AE66">
        <f>'Federal P&amp;L'!AE97+'State and Local P&amp;L'!AE60</f>
        <v>2553798166</v>
      </c>
      <c r="AF66">
        <f>'Federal P&amp;L'!AF97+'State and Local P&amp;L'!AF60</f>
        <v>2578071746</v>
      </c>
      <c r="AG66">
        <f>'Federal P&amp;L'!AG97+'State and Local P&amp;L'!AG60</f>
        <v>2642146938</v>
      </c>
      <c r="AH66">
        <f>'Federal P&amp;L'!AH97+'State and Local P&amp;L'!AH60</f>
        <v>2675872157</v>
      </c>
      <c r="AI66">
        <f>'Federal P&amp;L'!AI97+'State and Local P&amp;L'!AI60</f>
        <v>2682559100</v>
      </c>
      <c r="AJ66">
        <f>'Federal P&amp;L'!AJ97+'State and Local P&amp;L'!AJ60</f>
        <v>2792414887</v>
      </c>
    </row>
    <row r="67" spans="1:36">
      <c r="A67" s="3" t="s">
        <v>158</v>
      </c>
      <c r="B67">
        <f>'Federal P&amp;L'!B98+'State and Local P&amp;L'!B61</f>
        <v>125477665</v>
      </c>
      <c r="C67">
        <f>'Federal P&amp;L'!C98+'State and Local P&amp;L'!C61</f>
        <v>138529735</v>
      </c>
      <c r="D67">
        <f>'Federal P&amp;L'!D98+'State and Local P&amp;L'!D61</f>
        <v>144952810</v>
      </c>
      <c r="E67">
        <f>'Federal P&amp;L'!E98+'State and Local P&amp;L'!E61</f>
        <v>151796259</v>
      </c>
      <c r="F67">
        <f>'Federal P&amp;L'!F98+'State and Local P&amp;L'!F61</f>
        <v>163128289</v>
      </c>
      <c r="G67">
        <f>'Federal P&amp;L'!G98+'State and Local P&amp;L'!G61</f>
        <v>178890875</v>
      </c>
      <c r="H67">
        <f>'Federal P&amp;L'!H98+'State and Local P&amp;L'!H61</f>
        <v>195105654</v>
      </c>
      <c r="I67">
        <f>'Federal P&amp;L'!I98+'State and Local P&amp;L'!I61</f>
        <v>209099430</v>
      </c>
      <c r="J67">
        <f>'Federal P&amp;L'!J98+'State and Local P&amp;L'!J61</f>
        <v>223671499</v>
      </c>
      <c r="K67">
        <f>'Federal P&amp;L'!K98+'State and Local P&amp;L'!K61</f>
        <v>244019505</v>
      </c>
      <c r="L67">
        <f>'Federal P&amp;L'!L98+'State and Local P&amp;L'!L61</f>
        <v>266328250</v>
      </c>
      <c r="M67">
        <f>'Federal P&amp;L'!M98+'State and Local P&amp;L'!M61</f>
        <v>285926548</v>
      </c>
      <c r="N67">
        <f>'Federal P&amp;L'!N98+'State and Local P&amp;L'!N61</f>
        <v>296820335</v>
      </c>
      <c r="O67">
        <f>'Federal P&amp;L'!O98+'State and Local P&amp;L'!O61</f>
        <v>314290247</v>
      </c>
      <c r="P67">
        <f>'Federal P&amp;L'!P98+'State and Local P&amp;L'!P61</f>
        <v>317152313</v>
      </c>
      <c r="Q67">
        <f>'Federal P&amp;L'!Q98+'State and Local P&amp;L'!Q61</f>
        <v>345935895</v>
      </c>
      <c r="R67">
        <f>'Federal P&amp;L'!R98+'State and Local P&amp;L'!R61</f>
        <v>362875286</v>
      </c>
      <c r="S67">
        <f>'Federal P&amp;L'!S98+'State and Local P&amp;L'!S61</f>
        <v>380275204</v>
      </c>
      <c r="T67">
        <f>'Federal P&amp;L'!T98+'State and Local P&amp;L'!T61</f>
        <v>407091205</v>
      </c>
      <c r="U67">
        <f>'Federal P&amp;L'!U98+'State and Local P&amp;L'!U61</f>
        <v>434024947</v>
      </c>
      <c r="V67">
        <f>'Federal P&amp;L'!V98+'State and Local P&amp;L'!V61</f>
        <v>467287679</v>
      </c>
      <c r="W67">
        <f>'Federal P&amp;L'!W98+'State and Local P&amp;L'!W61</f>
        <v>504167420</v>
      </c>
      <c r="X67">
        <f>'Federal P&amp;L'!X98+'State and Local P&amp;L'!X61</f>
        <v>539386565</v>
      </c>
      <c r="Y67">
        <f>'Federal P&amp;L'!Y98+'State and Local P&amp;L'!Y61</f>
        <v>562668095</v>
      </c>
      <c r="Z67">
        <f>'Federal P&amp;L'!Z98+'State and Local P&amp;L'!Z61</f>
        <v>595042204</v>
      </c>
      <c r="AA67">
        <f>'Federal P&amp;L'!AA98+'State and Local P&amp;L'!AA61</f>
        <v>628025525</v>
      </c>
      <c r="AB67">
        <f>'Federal P&amp;L'!AB98+'State and Local P&amp;L'!AB61</f>
        <v>680210656</v>
      </c>
      <c r="AC67">
        <f>'Federal P&amp;L'!AC98+'State and Local P&amp;L'!AC61</f>
        <v>696067146</v>
      </c>
      <c r="AD67">
        <f>'Federal P&amp;L'!AD98+'State and Local P&amp;L'!AD61</f>
        <v>738677677</v>
      </c>
      <c r="AE67">
        <f>'Federal P&amp;L'!AE98+'State and Local P&amp;L'!AE61</f>
        <v>724910083</v>
      </c>
      <c r="AF67">
        <f>'Federal P&amp;L'!AF98+'State and Local P&amp;L'!AF61</f>
        <v>740774217</v>
      </c>
      <c r="AG67">
        <f>'Federal P&amp;L'!AG98+'State and Local P&amp;L'!AG61</f>
        <v>711378381</v>
      </c>
      <c r="AH67">
        <f>'Federal P&amp;L'!AH98+'State and Local P&amp;L'!AH61</f>
        <v>747659398</v>
      </c>
      <c r="AI67">
        <f>'Federal P&amp;L'!AI98+'State and Local P&amp;L'!AI61</f>
        <v>739802450</v>
      </c>
      <c r="AJ67">
        <f>'Federal P&amp;L'!AJ98+'State and Local P&amp;L'!AJ61</f>
        <v>785891005</v>
      </c>
    </row>
    <row r="68" spans="1:36">
      <c r="A68" s="4" t="s">
        <v>44</v>
      </c>
      <c r="B68">
        <f>'Federal P&amp;L'!B99+'State and Local P&amp;L'!B62</f>
        <v>122922200</v>
      </c>
      <c r="C68">
        <f>'Federal P&amp;L'!C99+'State and Local P&amp;L'!C62</f>
        <v>135775523</v>
      </c>
      <c r="D68">
        <f>'Federal P&amp;L'!D99+'State and Local P&amp;L'!D62</f>
        <v>142037603</v>
      </c>
      <c r="E68">
        <f>'Federal P&amp;L'!E99+'State and Local P&amp;L'!E62</f>
        <v>148741382</v>
      </c>
      <c r="F68">
        <f>'Federal P&amp;L'!F99+'State and Local P&amp;L'!F62</f>
        <v>159649680</v>
      </c>
      <c r="G68">
        <f>'Federal P&amp;L'!G99+'State and Local P&amp;L'!G62</f>
        <v>175245243</v>
      </c>
      <c r="H68">
        <f>'Federal P&amp;L'!H99+'State and Local P&amp;L'!H62</f>
        <v>191210804</v>
      </c>
      <c r="I68">
        <f>'Federal P&amp;L'!I99+'State and Local P&amp;L'!I62</f>
        <v>204823396</v>
      </c>
      <c r="J68">
        <f>'Federal P&amp;L'!J99+'State and Local P&amp;L'!J62</f>
        <v>219168388</v>
      </c>
      <c r="K68">
        <f>'Federal P&amp;L'!K99+'State and Local P&amp;L'!K62</f>
        <v>239144430</v>
      </c>
      <c r="L68">
        <f>'Federal P&amp;L'!L99+'State and Local P&amp;L'!L62</f>
        <v>261069291</v>
      </c>
      <c r="M68">
        <f>'Federal P&amp;L'!M99+'State and Local P&amp;L'!M62</f>
        <v>280203815</v>
      </c>
      <c r="N68">
        <f>'Federal P&amp;L'!N99+'State and Local P&amp;L'!N62</f>
        <v>290438011</v>
      </c>
      <c r="O68">
        <f>'Federal P&amp;L'!O99+'State and Local P&amp;L'!O62</f>
        <v>307906883</v>
      </c>
      <c r="P68">
        <f>'Federal P&amp;L'!P99+'State and Local P&amp;L'!P62</f>
        <v>310412192</v>
      </c>
      <c r="Q68">
        <f>'Federal P&amp;L'!Q99+'State and Local P&amp;L'!Q62</f>
        <v>338826218</v>
      </c>
      <c r="R68">
        <f>'Federal P&amp;L'!R99+'State and Local P&amp;L'!R62</f>
        <v>355281247</v>
      </c>
      <c r="S68">
        <f>'Federal P&amp;L'!S99+'State and Local P&amp;L'!S62</f>
        <v>372174685</v>
      </c>
      <c r="T68">
        <f>'Federal P&amp;L'!T99+'State and Local P&amp;L'!T62</f>
        <v>398658082</v>
      </c>
      <c r="U68">
        <f>'Federal P&amp;L'!U99+'State and Local P&amp;L'!U62</f>
        <v>425259965</v>
      </c>
      <c r="V68">
        <f>'Federal P&amp;L'!V99+'State and Local P&amp;L'!V62</f>
        <v>458154323</v>
      </c>
      <c r="W68">
        <f>'Federal P&amp;L'!W99+'State and Local P&amp;L'!W62</f>
        <v>494329329</v>
      </c>
      <c r="X68">
        <f>'Federal P&amp;L'!X99+'State and Local P&amp;L'!X62</f>
        <v>528903494</v>
      </c>
      <c r="Y68">
        <f>'Federal P&amp;L'!Y99+'State and Local P&amp;L'!Y62</f>
        <v>552935411</v>
      </c>
      <c r="Z68">
        <f>'Federal P&amp;L'!Z99+'State and Local P&amp;L'!Z62</f>
        <v>583491621</v>
      </c>
      <c r="AA68">
        <f>'Federal P&amp;L'!AA99+'State and Local P&amp;L'!AA62</f>
        <v>615907147</v>
      </c>
      <c r="AB68">
        <f>'Federal P&amp;L'!AB99+'State and Local P&amp;L'!AB62</f>
        <v>669086996</v>
      </c>
      <c r="AC68">
        <f>'Federal P&amp;L'!AC99+'State and Local P&amp;L'!AC62</f>
        <v>682936206</v>
      </c>
      <c r="AD68">
        <f>'Federal P&amp;L'!AD99+'State and Local P&amp;L'!AD62</f>
        <v>724745487</v>
      </c>
      <c r="AE68">
        <f>'Federal P&amp;L'!AE99+'State and Local P&amp;L'!AE62</f>
        <v>711139822</v>
      </c>
      <c r="AF68">
        <f>'Federal P&amp;L'!AF99+'State and Local P&amp;L'!AF62</f>
        <v>727012205</v>
      </c>
      <c r="AG68">
        <f>'Federal P&amp;L'!AG99+'State and Local P&amp;L'!AG62</f>
        <v>697823870</v>
      </c>
      <c r="AH68">
        <f>'Federal P&amp;L'!AH99+'State and Local P&amp;L'!AH62</f>
        <v>733335667</v>
      </c>
      <c r="AI68">
        <f>'Federal P&amp;L'!AI99+'State and Local P&amp;L'!AI62</f>
        <v>725784999</v>
      </c>
      <c r="AJ68">
        <f>'Federal P&amp;L'!AJ99+'State and Local P&amp;L'!AJ62</f>
        <v>771977716</v>
      </c>
    </row>
    <row r="69" spans="1:36">
      <c r="A69" s="5" t="s">
        <v>292</v>
      </c>
      <c r="B69">
        <f>'Federal P&amp;L'!B100+'State and Local P&amp;L'!B63</f>
        <v>92315252</v>
      </c>
      <c r="C69">
        <f>'Federal P&amp;L'!C100+'State and Local P&amp;L'!C63</f>
        <v>99982865</v>
      </c>
      <c r="D69">
        <f>'Federal P&amp;L'!D100+'State and Local P&amp;L'!D63</f>
        <v>105298912</v>
      </c>
      <c r="E69">
        <f>'Federal P&amp;L'!E100+'State and Local P&amp;L'!E63</f>
        <v>112259745</v>
      </c>
      <c r="F69">
        <f>'Federal P&amp;L'!F100+'State and Local P&amp;L'!F63</f>
        <v>120135193</v>
      </c>
      <c r="G69">
        <f>'Federal P&amp;L'!G100+'State and Local P&amp;L'!G63</f>
        <v>131379789</v>
      </c>
      <c r="H69">
        <f>'Federal P&amp;L'!H100+'State and Local P&amp;L'!H63</f>
        <v>144491312</v>
      </c>
      <c r="I69">
        <f>'Federal P&amp;L'!I100+'State and Local P&amp;L'!I63</f>
        <v>156770795</v>
      </c>
      <c r="J69">
        <f>'Federal P&amp;L'!J100+'State and Local P&amp;L'!J63</f>
        <v>168867583</v>
      </c>
      <c r="K69">
        <f>'Federal P&amp;L'!K100+'State and Local P&amp;L'!K63</f>
        <v>183983593</v>
      </c>
      <c r="L69">
        <f>'Federal P&amp;L'!L100+'State and Local P&amp;L'!L63</f>
        <v>201015955</v>
      </c>
      <c r="M69">
        <f>'Federal P&amp;L'!M100+'State and Local P&amp;L'!M63</f>
        <v>217265333</v>
      </c>
      <c r="N69">
        <f>'Federal P&amp;L'!N100+'State and Local P&amp;L'!N63</f>
        <v>226571601</v>
      </c>
      <c r="O69">
        <f>'Federal P&amp;L'!O100+'State and Local P&amp;L'!O63</f>
        <v>240271671</v>
      </c>
      <c r="P69">
        <f>'Federal P&amp;L'!P100+'State and Local P&amp;L'!P63</f>
        <v>247369147</v>
      </c>
      <c r="Q69">
        <f>'Federal P&amp;L'!Q100+'State and Local P&amp;L'!Q63</f>
        <v>265486206</v>
      </c>
      <c r="R69">
        <f>'Federal P&amp;L'!R100+'State and Local P&amp;L'!R63</f>
        <v>281217469</v>
      </c>
      <c r="S69">
        <f>'Federal P&amp;L'!S100+'State and Local P&amp;L'!S63</f>
        <v>295650894</v>
      </c>
      <c r="T69">
        <f>'Federal P&amp;L'!T100+'State and Local P&amp;L'!T63</f>
        <v>319148990</v>
      </c>
      <c r="U69">
        <f>'Federal P&amp;L'!U100+'State and Local P&amp;L'!U63</f>
        <v>341090405</v>
      </c>
      <c r="V69">
        <f>'Federal P&amp;L'!V100+'State and Local P&amp;L'!V63</f>
        <v>366828809</v>
      </c>
      <c r="W69">
        <f>'Federal P&amp;L'!W100+'State and Local P&amp;L'!W63</f>
        <v>395319363</v>
      </c>
      <c r="X69">
        <f>'Federal P&amp;L'!X100+'State and Local P&amp;L'!X63</f>
        <v>416071575</v>
      </c>
      <c r="Y69">
        <f>'Federal P&amp;L'!Y100+'State and Local P&amp;L'!Y63</f>
        <v>433091698</v>
      </c>
      <c r="Z69">
        <f>'Federal P&amp;L'!Z100+'State and Local P&amp;L'!Z63</f>
        <v>457088585</v>
      </c>
      <c r="AA69">
        <f>'Federal P&amp;L'!AA100+'State and Local P&amp;L'!AA63</f>
        <v>479887102</v>
      </c>
      <c r="AB69">
        <f>'Federal P&amp;L'!AB100+'State and Local P&amp;L'!AB63</f>
        <v>508497584</v>
      </c>
      <c r="AC69">
        <f>'Federal P&amp;L'!AC100+'State and Local P&amp;L'!AC63</f>
        <v>540881458</v>
      </c>
      <c r="AD69">
        <f>'Federal P&amp;L'!AD100+'State and Local P&amp;L'!AD63</f>
        <v>572566344</v>
      </c>
      <c r="AE69">
        <f>'Federal P&amp;L'!AE100+'State and Local P&amp;L'!AE63</f>
        <v>586413702</v>
      </c>
      <c r="AF69">
        <f>'Federal P&amp;L'!AF100+'State and Local P&amp;L'!AF63</f>
        <v>584446574</v>
      </c>
      <c r="AG69">
        <f>'Federal P&amp;L'!AG100+'State and Local P&amp;L'!AG63</f>
        <v>578090339</v>
      </c>
      <c r="AH69">
        <f>'Federal P&amp;L'!AH100+'State and Local P&amp;L'!AH63</f>
        <v>578976319</v>
      </c>
      <c r="AI69">
        <f>'Federal P&amp;L'!AI100+'State and Local P&amp;L'!AI63</f>
        <v>584606623</v>
      </c>
      <c r="AJ69">
        <f>'Federal P&amp;L'!AJ100+'State and Local P&amp;L'!AJ63</f>
        <v>603060209</v>
      </c>
    </row>
    <row r="70" spans="1:36">
      <c r="A70" s="5" t="s">
        <v>246</v>
      </c>
      <c r="B70">
        <f>'Federal P&amp;L'!B101+'State and Local P&amp;L'!B64</f>
        <v>26531281</v>
      </c>
      <c r="C70">
        <f>'Federal P&amp;L'!C101+'State and Local P&amp;L'!C64</f>
        <v>31161623</v>
      </c>
      <c r="D70">
        <f>'Federal P&amp;L'!D101+'State and Local P&amp;L'!D64</f>
        <v>32425938</v>
      </c>
      <c r="E70">
        <f>'Federal P&amp;L'!E101+'State and Local P&amp;L'!E64</f>
        <v>32148845</v>
      </c>
      <c r="F70">
        <f>'Federal P&amp;L'!F101+'State and Local P&amp;L'!F64</f>
        <v>34825558</v>
      </c>
      <c r="G70">
        <f>'Federal P&amp;L'!G101+'State and Local P&amp;L'!G64</f>
        <v>38761322</v>
      </c>
      <c r="H70">
        <f>'Federal P&amp;L'!H101+'State and Local P&amp;L'!H64</f>
        <v>41242487</v>
      </c>
      <c r="I70">
        <f>'Federal P&amp;L'!I101+'State and Local P&amp;L'!I64</f>
        <v>42385498</v>
      </c>
      <c r="J70">
        <f>'Federal P&amp;L'!J101+'State and Local P&amp;L'!J64</f>
        <v>44027138</v>
      </c>
      <c r="K70">
        <f>'Federal P&amp;L'!K101+'State and Local P&amp;L'!K64</f>
        <v>48204129</v>
      </c>
      <c r="L70">
        <f>'Federal P&amp;L'!L101+'State and Local P&amp;L'!L64</f>
        <v>52241236</v>
      </c>
      <c r="M70">
        <f>'Federal P&amp;L'!M101+'State and Local P&amp;L'!M64</f>
        <v>55506816</v>
      </c>
      <c r="N70">
        <f>'Federal P&amp;L'!N101+'State and Local P&amp;L'!N64</f>
        <v>56283255</v>
      </c>
      <c r="O70">
        <f>'Federal P&amp;L'!O101+'State and Local P&amp;L'!O64</f>
        <v>59919839</v>
      </c>
      <c r="P70">
        <f>'Federal P&amp;L'!P101+'State and Local P&amp;L'!P64</f>
        <v>54538775</v>
      </c>
      <c r="Q70">
        <f>'Federal P&amp;L'!Q101+'State and Local P&amp;L'!Q64</f>
        <v>64387710</v>
      </c>
      <c r="R70">
        <f>'Federal P&amp;L'!R101+'State and Local P&amp;L'!R64</f>
        <v>64489988</v>
      </c>
      <c r="S70">
        <f>'Federal P&amp;L'!S101+'State and Local P&amp;L'!S64</f>
        <v>66847911</v>
      </c>
      <c r="T70">
        <f>'Federal P&amp;L'!T101+'State and Local P&amp;L'!T64</f>
        <v>69467084</v>
      </c>
      <c r="U70">
        <f>'Federal P&amp;L'!U101+'State and Local P&amp;L'!U64</f>
        <v>73554963</v>
      </c>
      <c r="V70">
        <f>'Federal P&amp;L'!V101+'State and Local P&amp;L'!V64</f>
        <v>79945205</v>
      </c>
      <c r="W70">
        <f>'Federal P&amp;L'!W101+'State and Local P&amp;L'!W64</f>
        <v>86111971</v>
      </c>
      <c r="X70">
        <f>'Federal P&amp;L'!X101+'State and Local P&amp;L'!X64</f>
        <v>99793625</v>
      </c>
      <c r="Y70">
        <f>'Federal P&amp;L'!Y101+'State and Local P&amp;L'!Y64</f>
        <v>105581570</v>
      </c>
      <c r="Z70">
        <f>'Federal P&amp;L'!Z101+'State and Local P&amp;L'!Z64</f>
        <v>111919499</v>
      </c>
      <c r="AA70">
        <f>'Federal P&amp;L'!AA101+'State and Local P&amp;L'!AA64</f>
        <v>121284713</v>
      </c>
      <c r="AB70">
        <f>'Federal P&amp;L'!AB101+'State and Local P&amp;L'!AB64</f>
        <v>144851107</v>
      </c>
      <c r="AC70">
        <f>'Federal P&amp;L'!AC101+'State and Local P&amp;L'!AC64</f>
        <v>126767686</v>
      </c>
      <c r="AD70">
        <f>'Federal P&amp;L'!AD101+'State and Local P&amp;L'!AD64</f>
        <v>135988447</v>
      </c>
      <c r="AE70">
        <f>'Federal P&amp;L'!AE101+'State and Local P&amp;L'!AE64</f>
        <v>108290241</v>
      </c>
      <c r="AF70">
        <f>'Federal P&amp;L'!AF101+'State and Local P&amp;L'!AF64</f>
        <v>124506872</v>
      </c>
      <c r="AG70">
        <f>'Federal P&amp;L'!AG101+'State and Local P&amp;L'!AG64</f>
        <v>101982220</v>
      </c>
      <c r="AH70">
        <f>'Federal P&amp;L'!AH101+'State and Local P&amp;L'!AH64</f>
        <v>137322261</v>
      </c>
      <c r="AI70">
        <f>'Federal P&amp;L'!AI101+'State and Local P&amp;L'!AI64</f>
        <v>123976758</v>
      </c>
      <c r="AJ70">
        <f>'Federal P&amp;L'!AJ101+'State and Local P&amp;L'!AJ64</f>
        <v>150635632</v>
      </c>
    </row>
    <row r="71" spans="1:36">
      <c r="A71" s="5" t="s">
        <v>47</v>
      </c>
      <c r="B71">
        <f>'Federal P&amp;L'!B102</f>
        <v>10288</v>
      </c>
      <c r="C71">
        <f>'Federal P&amp;L'!C102</f>
        <v>5520</v>
      </c>
      <c r="D71">
        <f>'Federal P&amp;L'!D102</f>
        <v>15639</v>
      </c>
      <c r="E71">
        <f>'Federal P&amp;L'!E102</f>
        <v>12551</v>
      </c>
      <c r="F71">
        <f>'Federal P&amp;L'!F102</f>
        <v>23841</v>
      </c>
      <c r="G71">
        <f>'Federal P&amp;L'!G102</f>
        <v>25170</v>
      </c>
      <c r="H71">
        <f>'Federal P&amp;L'!H102</f>
        <v>26792</v>
      </c>
      <c r="I71">
        <f>'Federal P&amp;L'!I102</f>
        <v>5561</v>
      </c>
      <c r="J71">
        <f>'Federal P&amp;L'!J102</f>
        <v>14724</v>
      </c>
      <c r="K71">
        <f>'Federal P&amp;L'!K102</f>
        <v>17953</v>
      </c>
      <c r="L71">
        <f>'Federal P&amp;L'!L102</f>
        <v>19596</v>
      </c>
      <c r="M71">
        <f>'Federal P&amp;L'!M102</f>
        <v>52896</v>
      </c>
      <c r="N71">
        <f>'Federal P&amp;L'!N102</f>
        <v>59239</v>
      </c>
      <c r="O71">
        <f>'Federal P&amp;L'!O102</f>
        <v>57329</v>
      </c>
      <c r="P71">
        <f>'Federal P&amp;L'!P102</f>
        <v>48551</v>
      </c>
      <c r="Q71">
        <f>'Federal P&amp;L'!Q102</f>
        <v>33000</v>
      </c>
      <c r="R71">
        <f>'Federal P&amp;L'!R102</f>
        <v>25000</v>
      </c>
      <c r="S71">
        <f>'Federal P&amp;L'!S102</f>
        <v>20000</v>
      </c>
      <c r="T71">
        <f>'Federal P&amp;L'!T102</f>
        <v>26000</v>
      </c>
      <c r="U71">
        <f>'Federal P&amp;L'!U102</f>
        <v>26000</v>
      </c>
      <c r="V71">
        <f>'Federal P&amp;L'!V102</f>
        <v>14000</v>
      </c>
      <c r="W71">
        <f>'Federal P&amp;L'!W102</f>
        <v>28000</v>
      </c>
      <c r="X71">
        <f>'Federal P&amp;L'!X102</f>
        <v>36000</v>
      </c>
      <c r="Y71">
        <f>'Federal P&amp;L'!Y102</f>
        <v>35000</v>
      </c>
      <c r="Z71">
        <f>'Federal P&amp;L'!Z102</f>
        <v>36000</v>
      </c>
      <c r="AA71">
        <f>'Federal P&amp;L'!AA102</f>
        <v>37000</v>
      </c>
      <c r="AB71">
        <f>'Federal P&amp;L'!AB102</f>
        <v>29000</v>
      </c>
      <c r="AC71">
        <f>'Federal P&amp;L'!AC102</f>
        <v>29000</v>
      </c>
      <c r="AD71">
        <f>'Federal P&amp;L'!AD102</f>
        <v>24000</v>
      </c>
      <c r="AE71">
        <f>'Federal P&amp;L'!AE102</f>
        <v>29000</v>
      </c>
      <c r="AF71">
        <f>'Federal P&amp;L'!AF102</f>
        <v>22000</v>
      </c>
      <c r="AG71">
        <f>'Federal P&amp;L'!AG102</f>
        <v>22000</v>
      </c>
      <c r="AH71">
        <f>'Federal P&amp;L'!AH102</f>
        <v>20000</v>
      </c>
      <c r="AI71">
        <f>'Federal P&amp;L'!AI102</f>
        <v>17000</v>
      </c>
      <c r="AJ71">
        <f>'Federal P&amp;L'!AJ102</f>
        <v>16000</v>
      </c>
    </row>
    <row r="72" spans="1:36">
      <c r="A72" s="5" t="s">
        <v>48</v>
      </c>
      <c r="B72">
        <f>'State and Local P&amp;L'!B65</f>
        <v>4065379</v>
      </c>
      <c r="C72">
        <f>'State and Local P&amp;L'!C65</f>
        <v>4625515</v>
      </c>
      <c r="D72">
        <f>'State and Local P&amp;L'!D65</f>
        <v>4297114</v>
      </c>
      <c r="E72">
        <f>'State and Local P&amp;L'!E65</f>
        <v>4320241</v>
      </c>
      <c r="F72">
        <f>'State and Local P&amp;L'!F65</f>
        <v>4665088</v>
      </c>
      <c r="G72">
        <f>'State and Local P&amp;L'!G65</f>
        <v>5078962</v>
      </c>
      <c r="H72">
        <f>'State and Local P&amp;L'!H65</f>
        <v>5450213</v>
      </c>
      <c r="I72">
        <f>'State and Local P&amp;L'!I65</f>
        <v>5661542</v>
      </c>
      <c r="J72">
        <f>'State and Local P&amp;L'!J65</f>
        <v>6258943</v>
      </c>
      <c r="K72">
        <f>'State and Local P&amp;L'!K65</f>
        <v>6938755</v>
      </c>
      <c r="L72">
        <f>'State and Local P&amp;L'!L65</f>
        <v>7792504</v>
      </c>
      <c r="M72">
        <f>'State and Local P&amp;L'!M65</f>
        <v>7378770</v>
      </c>
      <c r="N72">
        <f>'State and Local P&amp;L'!N65</f>
        <v>7523916</v>
      </c>
      <c r="O72">
        <f>'State and Local P&amp;L'!O65</f>
        <v>7658044</v>
      </c>
      <c r="P72">
        <f>'State and Local P&amp;L'!P65</f>
        <v>8455719</v>
      </c>
      <c r="Q72">
        <f>'State and Local P&amp;L'!Q65</f>
        <v>8919302</v>
      </c>
      <c r="R72">
        <f>'State and Local P&amp;L'!R65</f>
        <v>9548790</v>
      </c>
      <c r="S72">
        <f>'State and Local P&amp;L'!S65</f>
        <v>9655880</v>
      </c>
      <c r="T72">
        <f>'State and Local P&amp;L'!T65</f>
        <v>10016008</v>
      </c>
      <c r="U72">
        <f>'State and Local P&amp;L'!U65</f>
        <v>10588597</v>
      </c>
      <c r="V72">
        <f>'State and Local P&amp;L'!V65</f>
        <v>11366309</v>
      </c>
      <c r="W72">
        <f>'State and Local P&amp;L'!W65</f>
        <v>12869995</v>
      </c>
      <c r="X72">
        <f>'State and Local P&amp;L'!X65</f>
        <v>13002294</v>
      </c>
      <c r="Y72">
        <f>'State and Local P&amp;L'!Y65</f>
        <v>14227143</v>
      </c>
      <c r="Z72">
        <f>'State and Local P&amp;L'!Z65</f>
        <v>14447537</v>
      </c>
      <c r="AA72">
        <f>'State and Local P&amp;L'!AA65</f>
        <v>14698332</v>
      </c>
      <c r="AB72">
        <f>'State and Local P&amp;L'!AB65</f>
        <v>15709305</v>
      </c>
      <c r="AC72">
        <f>'State and Local P&amp;L'!AC65</f>
        <v>15258062</v>
      </c>
      <c r="AD72">
        <f>'State and Local P&amp;L'!AD65</f>
        <v>16166696</v>
      </c>
      <c r="AE72">
        <f>'State and Local P&amp;L'!AE65</f>
        <v>16406879</v>
      </c>
      <c r="AF72">
        <f>'State and Local P&amp;L'!AF65</f>
        <v>18036759</v>
      </c>
      <c r="AG72">
        <f>'State and Local P&amp;L'!AG65</f>
        <v>17729311</v>
      </c>
      <c r="AH72">
        <f>'State and Local P&amp;L'!AH65</f>
        <v>17017087</v>
      </c>
      <c r="AI72">
        <f>'State and Local P&amp;L'!AI65</f>
        <v>17184618</v>
      </c>
      <c r="AJ72">
        <f>'State and Local P&amp;L'!AJ65</f>
        <v>18265875</v>
      </c>
    </row>
    <row r="73" spans="1:36">
      <c r="A73" s="4" t="s">
        <v>307</v>
      </c>
      <c r="B73">
        <f>'Federal P&amp;L'!B103+'State and Local P&amp;L'!B66</f>
        <v>2555465</v>
      </c>
      <c r="C73">
        <f>'Federal P&amp;L'!C103+'State and Local P&amp;L'!C66</f>
        <v>2754212</v>
      </c>
      <c r="D73">
        <f>'Federal P&amp;L'!D103+'State and Local P&amp;L'!D66</f>
        <v>2915207</v>
      </c>
      <c r="E73">
        <f>'Federal P&amp;L'!E103+'State and Local P&amp;L'!E66</f>
        <v>3054877</v>
      </c>
      <c r="F73">
        <f>'Federal P&amp;L'!F103+'State and Local P&amp;L'!F66</f>
        <v>3478609</v>
      </c>
      <c r="G73">
        <f>'Federal P&amp;L'!G103+'State and Local P&amp;L'!G66</f>
        <v>3645632</v>
      </c>
      <c r="H73">
        <f>'Federal P&amp;L'!H103+'State and Local P&amp;L'!H66</f>
        <v>3894850</v>
      </c>
      <c r="I73">
        <f>'Federal P&amp;L'!I103+'State and Local P&amp;L'!I66</f>
        <v>4276034</v>
      </c>
      <c r="J73">
        <f>'Federal P&amp;L'!J103+'State and Local P&amp;L'!J66</f>
        <v>4503111</v>
      </c>
      <c r="K73">
        <f>'Federal P&amp;L'!K103+'State and Local P&amp;L'!K66</f>
        <v>4875075</v>
      </c>
      <c r="L73">
        <f>'Federal P&amp;L'!L103+'State and Local P&amp;L'!L66</f>
        <v>5258959</v>
      </c>
      <c r="M73">
        <f>'Federal P&amp;L'!M103+'State and Local P&amp;L'!M66</f>
        <v>5722733</v>
      </c>
      <c r="N73">
        <f>'Federal P&amp;L'!N103+'State and Local P&amp;L'!N66</f>
        <v>6382324</v>
      </c>
      <c r="O73">
        <f>'Federal P&amp;L'!O103+'State and Local P&amp;L'!O66</f>
        <v>6383364</v>
      </c>
      <c r="P73">
        <f>'Federal P&amp;L'!P103+'State and Local P&amp;L'!P66</f>
        <v>6740121</v>
      </c>
      <c r="Q73">
        <f>'Federal P&amp;L'!Q103+'State and Local P&amp;L'!Q66</f>
        <v>7109677</v>
      </c>
      <c r="R73">
        <f>'Federal P&amp;L'!R103+'State and Local P&amp;L'!R66</f>
        <v>7594039</v>
      </c>
      <c r="S73">
        <f>'Federal P&amp;L'!S103+'State and Local P&amp;L'!S66</f>
        <v>8100519</v>
      </c>
      <c r="T73">
        <f>'Federal P&amp;L'!T103+'State and Local P&amp;L'!T66</f>
        <v>8433123</v>
      </c>
      <c r="U73">
        <f>'Federal P&amp;L'!U103+'State and Local P&amp;L'!U66</f>
        <v>8764982</v>
      </c>
      <c r="V73">
        <f>'Federal P&amp;L'!V103+'State and Local P&amp;L'!V66</f>
        <v>9133356</v>
      </c>
      <c r="W73">
        <f>'Federal P&amp;L'!W103+'State and Local P&amp;L'!W66</f>
        <v>9838091</v>
      </c>
      <c r="X73">
        <f>'Federal P&amp;L'!X103+'State and Local P&amp;L'!X66</f>
        <v>10483071</v>
      </c>
      <c r="Y73">
        <f>'Federal P&amp;L'!Y103+'State and Local P&amp;L'!Y66</f>
        <v>9732684</v>
      </c>
      <c r="Z73">
        <f>'Federal P&amp;L'!Z103+'State and Local P&amp;L'!Z66</f>
        <v>11550583</v>
      </c>
      <c r="AA73">
        <f>'Federal P&amp;L'!AA103+'State and Local P&amp;L'!AA66</f>
        <v>12118378</v>
      </c>
      <c r="AB73">
        <f>'Federal P&amp;L'!AB103+'State and Local P&amp;L'!AB66</f>
        <v>11123660</v>
      </c>
      <c r="AC73">
        <f>'Federal P&amp;L'!AC103+'State and Local P&amp;L'!AC66</f>
        <v>13130940</v>
      </c>
      <c r="AD73">
        <f>'Federal P&amp;L'!AD103+'State and Local P&amp;L'!AD66</f>
        <v>13932190</v>
      </c>
      <c r="AE73">
        <f>'Federal P&amp;L'!AE103+'State and Local P&amp;L'!AE66</f>
        <v>13770261</v>
      </c>
      <c r="AF73">
        <f>'Federal P&amp;L'!AF103+'State and Local P&amp;L'!AF66</f>
        <v>13762012</v>
      </c>
      <c r="AG73">
        <f>'Federal P&amp;L'!AG103+'State and Local P&amp;L'!AG66</f>
        <v>13554511</v>
      </c>
      <c r="AH73">
        <f>'Federal P&amp;L'!AH103+'State and Local P&amp;L'!AH66</f>
        <v>14323731</v>
      </c>
      <c r="AI73">
        <f>'Federal P&amp;L'!AI103+'State and Local P&amp;L'!AI66</f>
        <v>14017451</v>
      </c>
      <c r="AJ73">
        <f>'Federal P&amp;L'!AJ103+'State and Local P&amp;L'!AJ66</f>
        <v>13913289</v>
      </c>
    </row>
    <row r="74" spans="1:36">
      <c r="A74" s="3" t="s">
        <v>159</v>
      </c>
      <c r="B74">
        <f>'Federal P&amp;L'!B104+'State and Local P&amp;L'!B67</f>
        <v>48951422</v>
      </c>
      <c r="C74">
        <f>'Federal P&amp;L'!C104+'State and Local P&amp;L'!C67</f>
        <v>58554549</v>
      </c>
      <c r="D74">
        <f>'Federal P&amp;L'!D104+'State and Local P&amp;L'!D67</f>
        <v>60462214</v>
      </c>
      <c r="E74">
        <f>'Federal P&amp;L'!E104+'State and Local P&amp;L'!E67</f>
        <v>62480657</v>
      </c>
      <c r="F74">
        <f>'Federal P&amp;L'!F104+'State and Local P&amp;L'!F67</f>
        <v>48697999</v>
      </c>
      <c r="G74">
        <f>'Federal P&amp;L'!G104+'State and Local P&amp;L'!G67</f>
        <v>60385548</v>
      </c>
      <c r="H74">
        <f>'Federal P&amp;L'!H104+'State and Local P&amp;L'!H67</f>
        <v>69694949</v>
      </c>
      <c r="I74">
        <f>'Federal P&amp;L'!I104+'State and Local P&amp;L'!I67</f>
        <v>65577666</v>
      </c>
      <c r="J74">
        <f>'Federal P&amp;L'!J104+'State and Local P&amp;L'!J67</f>
        <v>55509820</v>
      </c>
      <c r="K74">
        <f>'Federal P&amp;L'!K104+'State and Local P&amp;L'!K67</f>
        <v>58999552</v>
      </c>
      <c r="L74">
        <f>'Federal P&amp;L'!L104+'State and Local P&amp;L'!L67</f>
        <v>58220232</v>
      </c>
      <c r="M74">
        <f>'Federal P&amp;L'!M104+'State and Local P&amp;L'!M67</f>
        <v>63996400</v>
      </c>
      <c r="N74">
        <f>'Federal P&amp;L'!N104+'State and Local P&amp;L'!N67</f>
        <v>67661797</v>
      </c>
      <c r="O74">
        <f>'Federal P&amp;L'!O104+'State and Local P&amp;L'!O67</f>
        <v>72109596</v>
      </c>
      <c r="P74">
        <f>'Federal P&amp;L'!P104+'State and Local P&amp;L'!P67</f>
        <v>66240491</v>
      </c>
      <c r="Q74">
        <f>'Federal P&amp;L'!Q104+'State and Local P&amp;L'!Q67</f>
        <v>64406878</v>
      </c>
      <c r="R74">
        <f>'Federal P&amp;L'!R104+'State and Local P&amp;L'!R67</f>
        <v>60282155</v>
      </c>
      <c r="S74">
        <f>'Federal P&amp;L'!S104+'State and Local P&amp;L'!S67</f>
        <v>61929234</v>
      </c>
      <c r="T74">
        <f>'Federal P&amp;L'!T104+'State and Local P&amp;L'!T67</f>
        <v>67468304</v>
      </c>
      <c r="U74">
        <f>'Federal P&amp;L'!U104+'State and Local P&amp;L'!U67</f>
        <v>80221771</v>
      </c>
      <c r="V74">
        <f>'Federal P&amp;L'!V104+'State and Local P&amp;L'!V67</f>
        <v>97049698</v>
      </c>
      <c r="W74">
        <f>'Federal P&amp;L'!W104+'State and Local P&amp;L'!W67</f>
        <v>99093567</v>
      </c>
      <c r="X74">
        <f>'Federal P&amp;L'!X104+'State and Local P&amp;L'!X67</f>
        <v>100615084</v>
      </c>
      <c r="Y74">
        <f>'Federal P&amp;L'!Y104+'State and Local P&amp;L'!Y67</f>
        <v>99581281</v>
      </c>
      <c r="Z74">
        <f>'Federal P&amp;L'!Z104+'State and Local P&amp;L'!Z67</f>
        <v>98950332</v>
      </c>
      <c r="AA74">
        <f>'Federal P&amp;L'!AA104+'State and Local P&amp;L'!AA67</f>
        <v>107159129</v>
      </c>
      <c r="AB74">
        <f>'Federal P&amp;L'!AB104+'State and Local P&amp;L'!AB67</f>
        <v>116038731</v>
      </c>
      <c r="AC74">
        <f>'Federal P&amp;L'!AC104+'State and Local P&amp;L'!AC67</f>
        <v>117337260</v>
      </c>
      <c r="AD74">
        <f>'Federal P&amp;L'!AD104+'State and Local P&amp;L'!AD67</f>
        <v>124302640</v>
      </c>
      <c r="AE74">
        <f>'Federal P&amp;L'!AE104+'State and Local P&amp;L'!AE67</f>
        <v>142008766</v>
      </c>
      <c r="AF74">
        <f>'Federal P&amp;L'!AF104+'State and Local P&amp;L'!AF67</f>
        <v>141091636</v>
      </c>
      <c r="AG74">
        <f>'Federal P&amp;L'!AG104+'State and Local P&amp;L'!AG67</f>
        <v>135480830</v>
      </c>
      <c r="AH74">
        <f>'Federal P&amp;L'!AH104+'State and Local P&amp;L'!AH67</f>
        <v>124694628</v>
      </c>
      <c r="AI74">
        <f>'Federal P&amp;L'!AI104+'State and Local P&amp;L'!AI67</f>
        <v>127377549</v>
      </c>
      <c r="AJ74">
        <f>'Federal P&amp;L'!AJ104+'State and Local P&amp;L'!AJ67</f>
        <v>109360828</v>
      </c>
    </row>
    <row r="75" spans="1:36">
      <c r="A75" s="4" t="s">
        <v>295</v>
      </c>
      <c r="B75">
        <f>'Federal P&amp;L'!B105+'State and Local P&amp;L'!B68</f>
        <v>11799267</v>
      </c>
      <c r="C75">
        <f>'Federal P&amp;L'!C105+'State and Local P&amp;L'!C68</f>
        <v>16927011</v>
      </c>
      <c r="D75">
        <f>'Federal P&amp;L'!D105+'State and Local P&amp;L'!D68</f>
        <v>14917816</v>
      </c>
      <c r="E75">
        <f>'Federal P&amp;L'!E105+'State and Local P&amp;L'!E68</f>
        <v>10153170</v>
      </c>
      <c r="F75">
        <f>'Federal P&amp;L'!F105+'State and Local P&amp;L'!F68</f>
        <v>6529742</v>
      </c>
      <c r="G75">
        <f>'Federal P&amp;L'!G105+'State and Local P&amp;L'!G68</f>
        <v>4616347</v>
      </c>
      <c r="H75">
        <f>'Federal P&amp;L'!H105+'State and Local P&amp;L'!H68</f>
        <v>4903096</v>
      </c>
      <c r="I75">
        <f>'Federal P&amp;L'!I105+'State and Local P&amp;L'!I68</f>
        <v>2502191</v>
      </c>
      <c r="J75">
        <f>'Federal P&amp;L'!J105+'State and Local P&amp;L'!J68</f>
        <v>-639310</v>
      </c>
      <c r="K75">
        <f>'Federal P&amp;L'!K105+'State and Local P&amp;L'!K68</f>
        <v>-1158979</v>
      </c>
      <c r="L75">
        <f>'Federal P&amp;L'!L105+'State and Local P&amp;L'!L68</f>
        <v>-854743</v>
      </c>
      <c r="M75">
        <f>'Federal P&amp;L'!M105+'State and Local P&amp;L'!M68</f>
        <v>-2678813</v>
      </c>
      <c r="N75">
        <f>'Federal P&amp;L'!N105+'State and Local P&amp;L'!N68</f>
        <v>-116719</v>
      </c>
      <c r="O75">
        <f>'Federal P&amp;L'!O105+'State and Local P&amp;L'!O68</f>
        <v>-1043355</v>
      </c>
      <c r="P75">
        <f>'Federal P&amp;L'!P105+'State and Local P&amp;L'!P68</f>
        <v>-267922</v>
      </c>
      <c r="Q75">
        <f>'Federal P&amp;L'!Q105+'State and Local P&amp;L'!Q68</f>
        <v>-1100958</v>
      </c>
      <c r="R75">
        <f>'Federal P&amp;L'!R105+'State and Local P&amp;L'!R68</f>
        <v>-4187537</v>
      </c>
      <c r="S75">
        <f>'Federal P&amp;L'!S105+'State and Local P&amp;L'!S68</f>
        <v>-5254882</v>
      </c>
      <c r="T75">
        <f>'Federal P&amp;L'!T105+'State and Local P&amp;L'!T68</f>
        <v>-5784744</v>
      </c>
      <c r="U75">
        <f>'Federal P&amp;L'!U105+'State and Local P&amp;L'!U68</f>
        <v>-7125171</v>
      </c>
      <c r="V75">
        <f>'Federal P&amp;L'!V105+'State and Local P&amp;L'!V68</f>
        <v>-8788397</v>
      </c>
      <c r="W75">
        <f>'Federal P&amp;L'!W105+'State and Local P&amp;L'!W68</f>
        <v>-1117368</v>
      </c>
      <c r="X75">
        <f>'Federal P&amp;L'!X105+'State and Local P&amp;L'!X68</f>
        <v>-3596137</v>
      </c>
      <c r="Y75">
        <f>'Federal P&amp;L'!Y105+'State and Local P&amp;L'!Y68</f>
        <v>-5911194</v>
      </c>
      <c r="Z75">
        <f>'Federal P&amp;L'!Z105+'State and Local P&amp;L'!Z68</f>
        <v>-2126072</v>
      </c>
      <c r="AA75">
        <f>'Federal P&amp;L'!AA105+'State and Local P&amp;L'!AA68</f>
        <v>-5121850</v>
      </c>
      <c r="AB75">
        <f>'Federal P&amp;L'!AB105+'State and Local P&amp;L'!AB68</f>
        <v>-3628181</v>
      </c>
      <c r="AC75">
        <f>'Federal P&amp;L'!AC105+'State and Local P&amp;L'!AC68</f>
        <v>-3803722</v>
      </c>
      <c r="AD75">
        <f>'Federal P&amp;L'!AD105+'State and Local P&amp;L'!AD68</f>
        <v>-1166401</v>
      </c>
      <c r="AE75">
        <f>'Federal P&amp;L'!AE105+'State and Local P&amp;L'!AE68</f>
        <v>1534455</v>
      </c>
      <c r="AF75">
        <f>'Federal P&amp;L'!AF105+'State and Local P&amp;L'!AF68</f>
        <v>5476826</v>
      </c>
      <c r="AG75">
        <f>'Federal P&amp;L'!AG105+'State and Local P&amp;L'!AG68</f>
        <v>3295534</v>
      </c>
      <c r="AH75">
        <f>'Federal P&amp;L'!AH105+'State and Local P&amp;L'!AH68</f>
        <v>5486738</v>
      </c>
      <c r="AI75">
        <f>'Federal P&amp;L'!AI105+'State and Local P&amp;L'!AI68</f>
        <v>4914391</v>
      </c>
      <c r="AJ75">
        <f>'Federal P&amp;L'!AJ105+'State and Local P&amp;L'!AJ68</f>
        <v>-2171265</v>
      </c>
    </row>
    <row r="76" spans="1:36">
      <c r="A76" s="4" t="s">
        <v>51</v>
      </c>
      <c r="B76">
        <f>'Federal P&amp;L'!B106+'State and Local P&amp;L'!B69</f>
        <v>27185091</v>
      </c>
      <c r="C76">
        <f>'Federal P&amp;L'!C106+'State and Local P&amp;L'!C69</f>
        <v>29226789</v>
      </c>
      <c r="D76">
        <f>'Federal P&amp;L'!D106+'State and Local P&amp;L'!D69</f>
        <v>28498113</v>
      </c>
      <c r="E76">
        <f>'Federal P&amp;L'!E106+'State and Local P&amp;L'!E69</f>
        <v>29066576</v>
      </c>
      <c r="F76">
        <f>'Federal P&amp;L'!F106+'State and Local P&amp;L'!F69</f>
        <v>28105384</v>
      </c>
      <c r="G76">
        <f>'Federal P&amp;L'!G106+'State and Local P&amp;L'!G69</f>
        <v>30140027</v>
      </c>
      <c r="H76">
        <f>'Federal P&amp;L'!H106+'State and Local P&amp;L'!H69</f>
        <v>32568887</v>
      </c>
      <c r="I76">
        <f>'Federal P&amp;L'!I106+'State and Local P&amp;L'!I69</f>
        <v>35666497</v>
      </c>
      <c r="J76">
        <f>'Federal P&amp;L'!J106+'State and Local P&amp;L'!J69</f>
        <v>38071166</v>
      </c>
      <c r="K76">
        <f>'Federal P&amp;L'!K106+'State and Local P&amp;L'!K69</f>
        <v>41416938</v>
      </c>
      <c r="L76">
        <f>'Federal P&amp;L'!L106+'State and Local P&amp;L'!L69</f>
        <v>45024002</v>
      </c>
      <c r="M76">
        <f>'Federal P&amp;L'!M106+'State and Local P&amp;L'!M69</f>
        <v>49205291</v>
      </c>
      <c r="N76">
        <f>'Federal P&amp;L'!N106+'State and Local P&amp;L'!N69</f>
        <v>50180362</v>
      </c>
      <c r="O76">
        <f>'Federal P&amp;L'!O106+'State and Local P&amp;L'!O69</f>
        <v>50275483</v>
      </c>
      <c r="P76">
        <f>'Federal P&amp;L'!P106+'State and Local P&amp;L'!P69</f>
        <v>48735908</v>
      </c>
      <c r="Q76">
        <f>'Federal P&amp;L'!Q106+'State and Local P&amp;L'!Q69</f>
        <v>52750028</v>
      </c>
      <c r="R76">
        <f>'Federal P&amp;L'!R106+'State and Local P&amp;L'!R69</f>
        <v>52073285</v>
      </c>
      <c r="S76">
        <f>'Federal P&amp;L'!S106+'State and Local P&amp;L'!S69</f>
        <v>53033396</v>
      </c>
      <c r="T76">
        <f>'Federal P&amp;L'!T106+'State and Local P&amp;L'!T69</f>
        <v>55567015</v>
      </c>
      <c r="U76">
        <f>'Federal P&amp;L'!U106+'State and Local P&amp;L'!U69</f>
        <v>58725029</v>
      </c>
      <c r="V76">
        <f>'Federal P&amp;L'!V106+'State and Local P&amp;L'!V69</f>
        <v>62873821</v>
      </c>
      <c r="W76">
        <f>'Federal P&amp;L'!W106+'State and Local P&amp;L'!W69</f>
        <v>67130306</v>
      </c>
      <c r="X76">
        <f>'Federal P&amp;L'!X106+'State and Local P&amp;L'!X69</f>
        <v>75419357</v>
      </c>
      <c r="Y76">
        <f>'Federal P&amp;L'!Y106+'State and Local P&amp;L'!Y69</f>
        <v>76231122</v>
      </c>
      <c r="Z76">
        <f>'Federal P&amp;L'!Z106+'State and Local P&amp;L'!Z69</f>
        <v>79159786</v>
      </c>
      <c r="AA76">
        <f>'Federal P&amp;L'!AA106+'State and Local P&amp;L'!AA69</f>
        <v>84797979</v>
      </c>
      <c r="AB76">
        <f>'Federal P&amp;L'!AB106+'State and Local P&amp;L'!AB69</f>
        <v>92538912</v>
      </c>
      <c r="AC76">
        <f>'Federal P&amp;L'!AC106+'State and Local P&amp;L'!AC69</f>
        <v>102303982</v>
      </c>
      <c r="AD76">
        <f>'Federal P&amp;L'!AD106+'State and Local P&amp;L'!AD69</f>
        <v>105939041</v>
      </c>
      <c r="AE76">
        <f>'Federal P&amp;L'!AE106+'State and Local P&amp;L'!AE69</f>
        <v>117248311</v>
      </c>
      <c r="AF76">
        <f>'Federal P&amp;L'!AF106+'State and Local P&amp;L'!AF69</f>
        <v>113242810</v>
      </c>
      <c r="AG76">
        <f>'Federal P&amp;L'!AG106+'State and Local P&amp;L'!AG69</f>
        <v>110542296</v>
      </c>
      <c r="AH76">
        <f>'Federal P&amp;L'!AH106+'State and Local P&amp;L'!AH69</f>
        <v>100126890</v>
      </c>
      <c r="AI76">
        <f>'Federal P&amp;L'!AI106+'State and Local P&amp;L'!AI69</f>
        <v>91523158</v>
      </c>
      <c r="AJ76">
        <f>'Federal P&amp;L'!AJ106+'State and Local P&amp;L'!AJ69</f>
        <v>80250304.010971516</v>
      </c>
    </row>
    <row r="77" spans="1:36">
      <c r="A77" s="4" t="s">
        <v>50</v>
      </c>
      <c r="B77">
        <f>'Federal P&amp;L'!B107+'State and Local P&amp;L'!B73</f>
        <v>9967064</v>
      </c>
      <c r="C77">
        <f>'Federal P&amp;L'!C107+'State and Local P&amp;L'!C73</f>
        <v>12400749</v>
      </c>
      <c r="D77">
        <f>'Federal P&amp;L'!D107+'State and Local P&amp;L'!D73</f>
        <v>17046285</v>
      </c>
      <c r="E77">
        <f>'Federal P&amp;L'!E107+'State and Local P&amp;L'!E73</f>
        <v>23260911</v>
      </c>
      <c r="F77">
        <f>'Federal P&amp;L'!F107+'State and Local P&amp;L'!F73</f>
        <v>14062873</v>
      </c>
      <c r="G77">
        <f>'Federal P&amp;L'!G107+'State and Local P&amp;L'!G73</f>
        <v>25629174</v>
      </c>
      <c r="H77">
        <f>'Federal P&amp;L'!H107+'State and Local P&amp;L'!H73</f>
        <v>32222966</v>
      </c>
      <c r="I77">
        <f>'Federal P&amp;L'!I107+'State and Local P&amp;L'!I73</f>
        <v>27408978</v>
      </c>
      <c r="J77">
        <f>'Federal P&amp;L'!J107+'State and Local P&amp;L'!J73</f>
        <v>18077964</v>
      </c>
      <c r="K77">
        <f>'Federal P&amp;L'!K107+'State and Local P&amp;L'!K73</f>
        <v>18741593</v>
      </c>
      <c r="L77">
        <f>'Federal P&amp;L'!L107+'State and Local P&amp;L'!L73</f>
        <v>14050973</v>
      </c>
      <c r="M77">
        <f>'Federal P&amp;L'!M107+'State and Local P&amp;L'!M73</f>
        <v>17469922</v>
      </c>
      <c r="N77">
        <f>'Federal P&amp;L'!N107+'State and Local P&amp;L'!N73</f>
        <v>17598154</v>
      </c>
      <c r="O77">
        <f>'Federal P&amp;L'!O107+'State and Local P&amp;L'!O73</f>
        <v>22877468</v>
      </c>
      <c r="P77">
        <f>'Federal P&amp;L'!P107+'State and Local P&amp;L'!P73</f>
        <v>17772505</v>
      </c>
      <c r="Q77">
        <f>'Federal P&amp;L'!Q107+'State and Local P&amp;L'!Q73</f>
        <v>12757808</v>
      </c>
      <c r="R77">
        <f>'Federal P&amp;L'!R107+'State and Local P&amp;L'!R73</f>
        <v>12396407</v>
      </c>
      <c r="S77">
        <f>'Federal P&amp;L'!S107+'State and Local P&amp;L'!S73</f>
        <v>14150720</v>
      </c>
      <c r="T77">
        <f>'Federal P&amp;L'!T107+'State and Local P&amp;L'!T73</f>
        <v>17686033</v>
      </c>
      <c r="U77">
        <f>'Federal P&amp;L'!U107+'State and Local P&amp;L'!U73</f>
        <v>28621913</v>
      </c>
      <c r="V77">
        <f>'Federal P&amp;L'!V107+'State and Local P&amp;L'!V73</f>
        <v>42964274</v>
      </c>
      <c r="W77">
        <f>'Federal P&amp;L'!W107+'State and Local P&amp;L'!W73</f>
        <v>33080629</v>
      </c>
      <c r="X77">
        <f>'Federal P&amp;L'!X107+'State and Local P&amp;L'!X73</f>
        <v>28791864</v>
      </c>
      <c r="Y77">
        <f>'Federal P&amp;L'!Y107+'State and Local P&amp;L'!Y73</f>
        <v>29261353</v>
      </c>
      <c r="Z77">
        <f>'Federal P&amp;L'!Z107+'State and Local P&amp;L'!Z73</f>
        <v>21916618</v>
      </c>
      <c r="AA77">
        <f>'Federal P&amp;L'!AA107+'State and Local P&amp;L'!AA73</f>
        <v>33084272.380769469</v>
      </c>
      <c r="AB77">
        <f>'Federal P&amp;L'!AB107+'State and Local P&amp;L'!AB73</f>
        <v>32756926.761538941</v>
      </c>
      <c r="AC77">
        <f>'Federal P&amp;L'!AC107+'State and Local P&amp;L'!AC73</f>
        <v>24493581.142308414</v>
      </c>
      <c r="AD77">
        <f>'Federal P&amp;L'!AD107+'State and Local P&amp;L'!AD73</f>
        <v>25214235.523077883</v>
      </c>
      <c r="AE77">
        <f>'Federal P&amp;L'!AE107+'State and Local P&amp;L'!AE73</f>
        <v>28937889.903847355</v>
      </c>
      <c r="AF77">
        <f>'Federal P&amp;L'!AF107+'State and Local P&amp;L'!AF73</f>
        <v>28111544.284616828</v>
      </c>
      <c r="AG77">
        <f>'Federal P&amp;L'!AG107+'State and Local P&amp;L'!AG73</f>
        <v>27410198.665386297</v>
      </c>
      <c r="AH77">
        <f>'Federal P&amp;L'!AH107+'State and Local P&amp;L'!AH73</f>
        <v>24875853.046155766</v>
      </c>
      <c r="AI77">
        <f>'Federal P&amp;L'!AI107+'State and Local P&amp;L'!AI73</f>
        <v>36762507.426925242</v>
      </c>
      <c r="AJ77">
        <f>'Federal P&amp;L'!AJ107+'State and Local P&amp;L'!AJ73</f>
        <v>31281788.989028484</v>
      </c>
    </row>
    <row r="78" spans="1:36">
      <c r="A78" s="3" t="s">
        <v>157</v>
      </c>
      <c r="B78">
        <f>'Federal P&amp;L'!B108+'State and Local P&amp;L'!B74</f>
        <v>248657695</v>
      </c>
      <c r="C78">
        <f>'Federal P&amp;L'!C108+'State and Local P&amp;L'!C74</f>
        <v>299843747</v>
      </c>
      <c r="D78">
        <f>'Federal P&amp;L'!D108+'State and Local P&amp;L'!D74</f>
        <v>344749852</v>
      </c>
      <c r="E78">
        <f>'Federal P&amp;L'!E108+'State and Local P&amp;L'!E74</f>
        <v>378483533</v>
      </c>
      <c r="F78">
        <f>'Federal P&amp;L'!F108+'State and Local P&amp;L'!F74</f>
        <v>422878788</v>
      </c>
      <c r="G78">
        <f>'Federal P&amp;L'!G108+'State and Local P&amp;L'!G74</f>
        <v>462090620</v>
      </c>
      <c r="H78">
        <f>'Federal P&amp;L'!H108+'State and Local P&amp;L'!H74</f>
        <v>490615180</v>
      </c>
      <c r="I78">
        <f>'Federal P&amp;L'!I108+'State and Local P&amp;L'!I74</f>
        <v>519272036</v>
      </c>
      <c r="J78">
        <f>'Federal P&amp;L'!J108+'State and Local P&amp;L'!J74</f>
        <v>550533457</v>
      </c>
      <c r="K78">
        <f>'Federal P&amp;L'!K108+'State and Local P&amp;L'!K74</f>
        <v>589392274</v>
      </c>
      <c r="L78">
        <f>'Federal P&amp;L'!L108+'State and Local P&amp;L'!L74</f>
        <v>641295135</v>
      </c>
      <c r="M78">
        <f>'Federal P&amp;L'!M108+'State and Local P&amp;L'!M74</f>
        <v>688887382</v>
      </c>
      <c r="N78">
        <f>'Federal P&amp;L'!N108+'State and Local P&amp;L'!N74</f>
        <v>686673159</v>
      </c>
      <c r="O78">
        <f>'Federal P&amp;L'!O108+'State and Local P&amp;L'!O74</f>
        <v>724700021</v>
      </c>
      <c r="P78">
        <f>'Federal P&amp;L'!P108+'State and Local P&amp;L'!P74</f>
        <v>763757135</v>
      </c>
      <c r="Q78">
        <f>'Federal P&amp;L'!Q108+'State and Local P&amp;L'!Q74</f>
        <v>829156032</v>
      </c>
      <c r="R78">
        <f>'Federal P&amp;L'!R108+'State and Local P&amp;L'!R74</f>
        <v>870621864</v>
      </c>
      <c r="S78">
        <f>'Federal P&amp;L'!S108+'State and Local P&amp;L'!S74</f>
        <v>912584769</v>
      </c>
      <c r="T78">
        <f>'Federal P&amp;L'!T108+'State and Local P&amp;L'!T74</f>
        <v>938813987</v>
      </c>
      <c r="U78">
        <f>'Federal P&amp;L'!U108+'State and Local P&amp;L'!U74</f>
        <v>942174024</v>
      </c>
      <c r="V78">
        <f>'Federal P&amp;L'!V108+'State and Local P&amp;L'!V74</f>
        <v>968804865</v>
      </c>
      <c r="W78">
        <f>'Federal P&amp;L'!W108+'State and Local P&amp;L'!W74</f>
        <v>1001332509</v>
      </c>
      <c r="X78">
        <f>'Federal P&amp;L'!X108+'State and Local P&amp;L'!X74</f>
        <v>1021459092</v>
      </c>
      <c r="Y78">
        <f>'Federal P&amp;L'!Y108+'State and Local P&amp;L'!Y74</f>
        <v>1065993008</v>
      </c>
      <c r="Z78">
        <f>'Federal P&amp;L'!Z108+'State and Local P&amp;L'!Z74</f>
        <v>1133523854</v>
      </c>
      <c r="AA78">
        <f>'Federal P&amp;L'!AA108+'State and Local P&amp;L'!AA74</f>
        <v>1213504963</v>
      </c>
      <c r="AB78">
        <f>'Federal P&amp;L'!AB108+'State and Local P&amp;L'!AB74</f>
        <v>1318438914</v>
      </c>
      <c r="AC78">
        <f>'Federal P&amp;L'!AC108+'State and Local P&amp;L'!AC74</f>
        <v>1407206349</v>
      </c>
      <c r="AD78">
        <f>'Federal P&amp;L'!AD108+'State and Local P&amp;L'!AD74</f>
        <v>1503188207</v>
      </c>
      <c r="AE78">
        <f>'Federal P&amp;L'!AE108+'State and Local P&amp;L'!AE74</f>
        <v>1686879317</v>
      </c>
      <c r="AF78">
        <f>'Federal P&amp;L'!AF108+'State and Local P&amp;L'!AF74</f>
        <v>1696205893</v>
      </c>
      <c r="AG78">
        <f>'Federal P&amp;L'!AG108+'State and Local P&amp;L'!AG74</f>
        <v>1795287727</v>
      </c>
      <c r="AH78">
        <f>'Federal P&amp;L'!AH108+'State and Local P&amp;L'!AH74</f>
        <v>1803518131</v>
      </c>
      <c r="AI78">
        <f>'Federal P&amp;L'!AI108+'State and Local P&amp;L'!AI74</f>
        <v>1815379101</v>
      </c>
      <c r="AJ78">
        <f>'Federal P&amp;L'!AJ108+'State and Local P&amp;L'!AJ74</f>
        <v>1897163054</v>
      </c>
    </row>
    <row r="79" spans="1:36">
      <c r="A79" s="4" t="s">
        <v>54</v>
      </c>
      <c r="B79">
        <f>'Federal P&amp;L'!B109</f>
        <v>118546801</v>
      </c>
      <c r="C79">
        <f>'Federal P&amp;L'!C109</f>
        <v>139584428</v>
      </c>
      <c r="D79">
        <f>'Federal P&amp;L'!D109</f>
        <v>155963940</v>
      </c>
      <c r="E79">
        <f>'Federal P&amp;L'!E109</f>
        <v>170723539</v>
      </c>
      <c r="F79">
        <f>'Federal P&amp;L'!F109</f>
        <v>178222816</v>
      </c>
      <c r="G79">
        <f>'Federal P&amp;L'!G109</f>
        <v>188623082</v>
      </c>
      <c r="H79">
        <f>'Federal P&amp;L'!H109</f>
        <v>198756366</v>
      </c>
      <c r="I79">
        <f>'Federal P&amp;L'!I109</f>
        <v>207351976</v>
      </c>
      <c r="J79">
        <f>'Federal P&amp;L'!J109</f>
        <v>219340581</v>
      </c>
      <c r="K79">
        <f>'Federal P&amp;L'!K109</f>
        <v>232542077</v>
      </c>
      <c r="L79">
        <f>'Federal P&amp;L'!L109</f>
        <v>248622598</v>
      </c>
      <c r="M79">
        <f>'Federal P&amp;L'!M109</f>
        <v>269014328</v>
      </c>
      <c r="N79">
        <f>'Federal P&amp;L'!N109</f>
        <v>287584387</v>
      </c>
      <c r="O79">
        <f>'Federal P&amp;L'!O109</f>
        <v>304584743</v>
      </c>
      <c r="P79">
        <f>'Federal P&amp;L'!P109</f>
        <v>319564709</v>
      </c>
      <c r="Q79">
        <f>'Federal P&amp;L'!Q109</f>
        <v>335846000</v>
      </c>
      <c r="R79">
        <f>'Federal P&amp;L'!R109</f>
        <v>349671000</v>
      </c>
      <c r="S79">
        <f>'Federal P&amp;L'!S109</f>
        <v>365251000</v>
      </c>
      <c r="T79">
        <f>'Federal P&amp;L'!T109</f>
        <v>379215000</v>
      </c>
      <c r="U79">
        <f>'Federal P&amp;L'!U109</f>
        <v>390037000</v>
      </c>
      <c r="V79">
        <f>'Federal P&amp;L'!V109</f>
        <v>409417000</v>
      </c>
      <c r="W79">
        <f>'Federal P&amp;L'!W109</f>
        <v>432958000</v>
      </c>
      <c r="X79">
        <f>'Federal P&amp;L'!X109</f>
        <v>455979000</v>
      </c>
      <c r="Y79">
        <f>'Federal P&amp;L'!Y109</f>
        <v>474678000</v>
      </c>
      <c r="Z79">
        <f>'Federal P&amp;L'!Z109</f>
        <v>495541000</v>
      </c>
      <c r="AA79">
        <f>'Federal P&amp;L'!AA109</f>
        <v>523303000</v>
      </c>
      <c r="AB79">
        <f>'Federal P&amp;L'!AB109</f>
        <v>548540000</v>
      </c>
      <c r="AC79">
        <f>'Federal P&amp;L'!AC109</f>
        <v>586137000</v>
      </c>
      <c r="AD79">
        <f>'Federal P&amp;L'!AD109</f>
        <v>617004000</v>
      </c>
      <c r="AE79">
        <f>'Federal P&amp;L'!AE109</f>
        <v>682918000</v>
      </c>
      <c r="AF79">
        <f>'Federal P&amp;L'!AF109</f>
        <v>706709000</v>
      </c>
      <c r="AG79">
        <f>'Federal P&amp;L'!AG109</f>
        <v>730784000</v>
      </c>
      <c r="AH79">
        <f>'Federal P&amp;L'!AH109</f>
        <v>773261000</v>
      </c>
      <c r="AI79">
        <f>'Federal P&amp;L'!AI109</f>
        <v>813529000</v>
      </c>
      <c r="AJ79">
        <f>'Federal P&amp;L'!AJ109</f>
        <v>850517000</v>
      </c>
    </row>
    <row r="80" spans="1:36">
      <c r="A80" s="5" t="s">
        <v>72</v>
      </c>
      <c r="B80">
        <f>'Federal P&amp;L'!B110</f>
        <v>102669877</v>
      </c>
      <c r="C80">
        <f>'Federal P&amp;L'!C110</f>
        <v>121764112</v>
      </c>
      <c r="D80">
        <f>'Federal P&amp;L'!D110</f>
        <v>137253355</v>
      </c>
      <c r="E80">
        <f>'Federal P&amp;L'!E110</f>
        <v>135209189</v>
      </c>
      <c r="F80">
        <f>'Federal P&amp;L'!F110</f>
        <v>153323671</v>
      </c>
      <c r="G80">
        <f>'Federal P&amp;L'!G110</f>
        <v>164252414</v>
      </c>
      <c r="H80">
        <f>'Federal P&amp;L'!H110</f>
        <v>171556101</v>
      </c>
      <c r="I80">
        <f>'Federal P&amp;L'!I110</f>
        <v>180676586</v>
      </c>
      <c r="J80">
        <f>'Federal P&amp;L'!J110</f>
        <v>191559286</v>
      </c>
      <c r="K80">
        <f>'Federal P&amp;L'!K110</f>
        <v>203332152</v>
      </c>
      <c r="L80">
        <f>'Federal P&amp;L'!L110</f>
        <v>219087132</v>
      </c>
      <c r="M80">
        <f>'Federal P&amp;L'!M110</f>
        <v>235403689</v>
      </c>
      <c r="N80">
        <f>'Federal P&amp;L'!N110</f>
        <v>250339747</v>
      </c>
      <c r="O80">
        <f>'Federal P&amp;L'!O110</f>
        <v>263988277</v>
      </c>
      <c r="P80">
        <f>'Federal P&amp;L'!P110</f>
        <v>276207426</v>
      </c>
      <c r="Q80">
        <f>'Federal P&amp;L'!Q110</f>
        <v>289331000</v>
      </c>
      <c r="R80">
        <f>'Federal P&amp;L'!R110</f>
        <v>299560000</v>
      </c>
      <c r="S80">
        <f>'Federal P&amp;L'!S110</f>
        <v>312083000</v>
      </c>
      <c r="T80">
        <f>'Federal P&amp;L'!T110</f>
        <v>321149000</v>
      </c>
      <c r="U80">
        <f>'Federal P&amp;L'!U110</f>
        <v>327718000</v>
      </c>
      <c r="V80">
        <f>'Federal P&amp;L'!V110</f>
        <v>340918000</v>
      </c>
      <c r="W80">
        <f>'Federal P&amp;L'!W110</f>
        <v>361229000</v>
      </c>
      <c r="X80">
        <f>'Federal P&amp;L'!X110</f>
        <v>376540000</v>
      </c>
      <c r="Y80">
        <f>'Federal P&amp;L'!Y110</f>
        <v>390330000</v>
      </c>
      <c r="Z80">
        <f>'Federal P&amp;L'!Z110</f>
        <v>404005000</v>
      </c>
      <c r="AA80">
        <f>'Federal P&amp;L'!AA110</f>
        <v>421467000</v>
      </c>
      <c r="AB80">
        <f>'Federal P&amp;L'!AB110</f>
        <v>440413000</v>
      </c>
      <c r="AC80">
        <f>'Federal P&amp;L'!AC110</f>
        <v>468456000</v>
      </c>
      <c r="AD80">
        <f>'Federal P&amp;L'!AD110</f>
        <v>493467000</v>
      </c>
      <c r="AE80">
        <f>'Federal P&amp;L'!AE110</f>
        <v>532671000</v>
      </c>
      <c r="AF80">
        <f>'Federal P&amp;L'!AF110</f>
        <v>558820000</v>
      </c>
      <c r="AG80">
        <f>'Federal P&amp;L'!AG110</f>
        <v>510613000</v>
      </c>
      <c r="AH80">
        <f>'Federal P&amp;L'!AH110</f>
        <v>511071000</v>
      </c>
      <c r="AI80">
        <f>'Federal P&amp;L'!AI110</f>
        <v>620374000</v>
      </c>
      <c r="AJ80">
        <f>'Federal P&amp;L'!AJ110</f>
        <v>681134000</v>
      </c>
    </row>
    <row r="81" spans="1:36">
      <c r="A81" s="5" t="s">
        <v>118</v>
      </c>
      <c r="B81">
        <f>'Federal P&amp;L'!B111</f>
        <v>15201844</v>
      </c>
      <c r="C81">
        <f>'Federal P&amp;L'!C111</f>
        <v>17149860</v>
      </c>
      <c r="D81">
        <f>'Federal P&amp;L'!D111</f>
        <v>17867070</v>
      </c>
      <c r="E81">
        <f>'Federal P&amp;L'!E111</f>
        <v>15412330</v>
      </c>
      <c r="F81">
        <f>'Federal P&amp;L'!F111</f>
        <v>17082978</v>
      </c>
      <c r="G81">
        <f>'Federal P&amp;L'!G111</f>
        <v>18390511</v>
      </c>
      <c r="H81">
        <f>'Federal P&amp;L'!H111</f>
        <v>18611831</v>
      </c>
      <c r="I81">
        <f>'Federal P&amp;L'!I111</f>
        <v>21060196</v>
      </c>
      <c r="J81">
        <f>'Federal P&amp;L'!J111</f>
        <v>22013695</v>
      </c>
      <c r="K81">
        <f>'Federal P&amp;L'!K111</f>
        <v>23055898</v>
      </c>
      <c r="L81">
        <f>'Federal P&amp;L'!L111</f>
        <v>24828217</v>
      </c>
      <c r="M81">
        <f>'Federal P&amp;L'!M111</f>
        <v>27639512</v>
      </c>
      <c r="N81">
        <f>'Federal P&amp;L'!N111</f>
        <v>31078594</v>
      </c>
      <c r="O81">
        <f>'Federal P&amp;L'!O111</f>
        <v>34360665</v>
      </c>
      <c r="P81">
        <f>'Federal P&amp;L'!P111</f>
        <v>37673832</v>
      </c>
      <c r="Q81">
        <f>'Federal P&amp;L'!Q111</f>
        <v>41039000</v>
      </c>
      <c r="R81">
        <f>'Federal P&amp;L'!R111</f>
        <v>43977000</v>
      </c>
      <c r="S81">
        <f>'Federal P&amp;L'!S111</f>
        <v>46289000</v>
      </c>
      <c r="T81">
        <f>'Federal P&amp;L'!T111</f>
        <v>48920000</v>
      </c>
      <c r="U81">
        <f>'Federal P&amp;L'!U111</f>
        <v>51495000</v>
      </c>
      <c r="V81">
        <f>'Federal P&amp;L'!V111</f>
        <v>55245000</v>
      </c>
      <c r="W81">
        <f>'Federal P&amp;L'!W111</f>
        <v>59198000</v>
      </c>
      <c r="X81">
        <f>'Federal P&amp;L'!X111</f>
        <v>65423000</v>
      </c>
      <c r="Y81">
        <f>'Federal P&amp;L'!Y111</f>
        <v>70991000</v>
      </c>
      <c r="Z81">
        <f>'Federal P&amp;L'!Z111</f>
        <v>77415000</v>
      </c>
      <c r="AA81">
        <f>'Federal P&amp;L'!AA111</f>
        <v>85249000</v>
      </c>
      <c r="AB81">
        <f>'Federal P&amp;L'!AB111</f>
        <v>91757000</v>
      </c>
      <c r="AC81">
        <f>'Federal P&amp;L'!AC111</f>
        <v>98295000</v>
      </c>
      <c r="AD81">
        <f>'Federal P&amp;L'!AD111</f>
        <v>105754000</v>
      </c>
      <c r="AE81">
        <f>'Federal P&amp;L'!AE111</f>
        <v>116151000</v>
      </c>
      <c r="AF81">
        <f>'Federal P&amp;L'!AF111</f>
        <v>124567000</v>
      </c>
      <c r="AG81">
        <f>'Federal P&amp;L'!AG111</f>
        <v>118097000</v>
      </c>
      <c r="AH81">
        <f>'Federal P&amp;L'!AH111</f>
        <v>121805000</v>
      </c>
      <c r="AI81">
        <f>'Federal P&amp;L'!AI111</f>
        <v>137076000</v>
      </c>
      <c r="AJ81">
        <f>'Federal P&amp;L'!AJ111</f>
        <v>143490000</v>
      </c>
    </row>
    <row r="82" spans="1:36">
      <c r="A82" s="5" t="s">
        <v>119</v>
      </c>
      <c r="B82">
        <f>'Federal P&amp;L'!B112</f>
        <v>675080</v>
      </c>
      <c r="C82">
        <f>'Federal P&amp;L'!C112</f>
        <v>670456</v>
      </c>
      <c r="D82">
        <f>'Federal P&amp;L'!D112</f>
        <v>843515</v>
      </c>
      <c r="E82">
        <f>'Federal P&amp;L'!E112</f>
        <v>20102020</v>
      </c>
      <c r="F82">
        <f>'Federal P&amp;L'!F112</f>
        <v>7816167</v>
      </c>
      <c r="G82">
        <f>'Federal P&amp;L'!G112</f>
        <v>5980157</v>
      </c>
      <c r="H82">
        <f>'Federal P&amp;L'!H112</f>
        <v>8588434</v>
      </c>
      <c r="I82">
        <f>'Federal P&amp;L'!I112</f>
        <v>5615194</v>
      </c>
      <c r="J82">
        <f>'Federal P&amp;L'!J112</f>
        <v>5767600</v>
      </c>
      <c r="K82">
        <f>'Federal P&amp;L'!K112</f>
        <v>6154027</v>
      </c>
      <c r="L82">
        <f>'Federal P&amp;L'!L112</f>
        <v>4707249</v>
      </c>
      <c r="M82">
        <f>'Federal P&amp;L'!M112</f>
        <v>5971127</v>
      </c>
      <c r="N82">
        <f>'Federal P&amp;L'!N112</f>
        <v>6166046</v>
      </c>
      <c r="O82">
        <f>'Federal P&amp;L'!O112</f>
        <v>6235801</v>
      </c>
      <c r="P82">
        <f>'Federal P&amp;L'!P112</f>
        <v>5683451</v>
      </c>
      <c r="Q82">
        <f>'Federal P&amp;L'!Q112</f>
        <v>5476000</v>
      </c>
      <c r="R82">
        <f>'Federal P&amp;L'!R112</f>
        <v>6134000</v>
      </c>
      <c r="S82">
        <f>'Federal P&amp;L'!S112</f>
        <v>6879000</v>
      </c>
      <c r="T82">
        <f>'Federal P&amp;L'!T112</f>
        <v>9146000</v>
      </c>
      <c r="U82">
        <f>'Federal P&amp;L'!U112</f>
        <v>10824000</v>
      </c>
      <c r="V82">
        <f>'Federal P&amp;L'!V112</f>
        <v>13254000</v>
      </c>
      <c r="W82">
        <f>'Federal P&amp;L'!W112</f>
        <v>12531000</v>
      </c>
      <c r="X82">
        <f>'Federal P&amp;L'!X112</f>
        <v>14016000</v>
      </c>
      <c r="Y82">
        <f>'Federal P&amp;L'!Y112</f>
        <v>13357000</v>
      </c>
      <c r="Z82">
        <f>'Federal P&amp;L'!Z112</f>
        <v>14121000</v>
      </c>
      <c r="AA82">
        <f>'Federal P&amp;L'!AA112</f>
        <v>16587000</v>
      </c>
      <c r="AB82">
        <f>'Federal P&amp;L'!AB112</f>
        <v>16370000</v>
      </c>
      <c r="AC82">
        <f>'Federal P&amp;L'!AC112</f>
        <v>19386000</v>
      </c>
      <c r="AD82">
        <f>'Federal P&amp;L'!AD112</f>
        <v>17783000</v>
      </c>
      <c r="AE82">
        <f>'Federal P&amp;L'!AE112</f>
        <v>34096000</v>
      </c>
      <c r="AF82">
        <f>'Federal P&amp;L'!AF112</f>
        <v>23322000</v>
      </c>
      <c r="AG82">
        <f>'Federal P&amp;L'!AG112</f>
        <v>102074000</v>
      </c>
      <c r="AH82">
        <f>'Federal P&amp;L'!AH112</f>
        <v>140385000</v>
      </c>
      <c r="AI82">
        <f>'Federal P&amp;L'!AI112</f>
        <v>56079000</v>
      </c>
      <c r="AJ82">
        <f>'Federal P&amp;L'!AJ112</f>
        <v>25893000</v>
      </c>
    </row>
    <row r="83" spans="1:36">
      <c r="A83" s="4" t="s">
        <v>247</v>
      </c>
      <c r="B83">
        <f>'Federal P&amp;L'!B113</f>
        <v>32089580</v>
      </c>
      <c r="C83">
        <f>'Federal P&amp;L'!C113</f>
        <v>39148729</v>
      </c>
      <c r="D83">
        <f>'Federal P&amp;L'!D113</f>
        <v>46567472</v>
      </c>
      <c r="E83">
        <f>'Federal P&amp;L'!E113</f>
        <v>52587740</v>
      </c>
      <c r="F83">
        <f>'Federal P&amp;L'!F113</f>
        <v>57537672</v>
      </c>
      <c r="G83">
        <f>'Federal P&amp;L'!G113</f>
        <v>65822367</v>
      </c>
      <c r="H83">
        <f>'Federal P&amp;L'!H113</f>
        <v>70163956</v>
      </c>
      <c r="I83">
        <f>'Federal P&amp;L'!I113</f>
        <v>75120105</v>
      </c>
      <c r="J83">
        <f>'Federal P&amp;L'!J113</f>
        <v>78878475</v>
      </c>
      <c r="K83">
        <f>'Federal P&amp;L'!K113</f>
        <v>84964394</v>
      </c>
      <c r="L83">
        <f>'Federal P&amp;L'!L113</f>
        <v>98101537</v>
      </c>
      <c r="M83">
        <f>'Federal P&amp;L'!M113</f>
        <v>104489292</v>
      </c>
      <c r="N83">
        <f>'Federal P&amp;L'!N113</f>
        <v>119023572</v>
      </c>
      <c r="O83">
        <f>'Federal P&amp;L'!O113</f>
        <v>130551946</v>
      </c>
      <c r="P83">
        <f>'Federal P&amp;L'!P113</f>
        <v>144747722</v>
      </c>
      <c r="Q83">
        <f>'Federal P&amp;L'!Q113</f>
        <v>159854000</v>
      </c>
      <c r="R83">
        <f>'Federal P&amp;L'!R113</f>
        <v>174226000</v>
      </c>
      <c r="S83">
        <f>'Federal P&amp;L'!S113</f>
        <v>190016000</v>
      </c>
      <c r="T83">
        <f>'Federal P&amp;L'!T113</f>
        <v>192823000</v>
      </c>
      <c r="U83">
        <f>'Federal P&amp;L'!U113</f>
        <v>190447000</v>
      </c>
      <c r="V83">
        <f>'Federal P&amp;L'!V113</f>
        <v>197113000</v>
      </c>
      <c r="W83">
        <f>'Federal P&amp;L'!W113</f>
        <v>217384000</v>
      </c>
      <c r="X83">
        <f>'Federal P&amp;L'!X113</f>
        <v>230855000</v>
      </c>
      <c r="Y83">
        <f>'Federal P&amp;L'!Y113</f>
        <v>249433000</v>
      </c>
      <c r="Z83">
        <f>'Federal P&amp;L'!Z113</f>
        <v>269360000</v>
      </c>
      <c r="AA83">
        <f>'Federal P&amp;L'!AA113</f>
        <v>298638000</v>
      </c>
      <c r="AB83">
        <f>'Federal P&amp;L'!AB113</f>
        <v>329838000</v>
      </c>
      <c r="AC83">
        <f>'Federal P&amp;L'!AC113</f>
        <v>375401000</v>
      </c>
      <c r="AD83">
        <f>'Federal P&amp;L'!AD113</f>
        <v>390775000</v>
      </c>
      <c r="AE83">
        <f>'Federal P&amp;L'!AE113</f>
        <v>430095000</v>
      </c>
      <c r="AF83">
        <f>'Federal P&amp;L'!AF113</f>
        <v>451629000</v>
      </c>
      <c r="AG83">
        <f>'Federal P&amp;L'!AG113</f>
        <v>485744000</v>
      </c>
      <c r="AH83">
        <f>'Federal P&amp;L'!AH113</f>
        <v>472081000</v>
      </c>
      <c r="AI83">
        <f>'Federal P&amp;L'!AI113</f>
        <v>497740000</v>
      </c>
      <c r="AJ83">
        <f>'Federal P&amp;L'!AJ113</f>
        <v>511550000</v>
      </c>
    </row>
    <row r="84" spans="1:36">
      <c r="A84" s="4" t="s">
        <v>308</v>
      </c>
      <c r="B84">
        <f>'Federal P&amp;L'!B114</f>
        <v>5083081</v>
      </c>
      <c r="C84">
        <f>'Federal P&amp;L'!C114</f>
        <v>5439462</v>
      </c>
      <c r="D84">
        <f>'Federal P&amp;L'!D114</f>
        <v>5570663</v>
      </c>
      <c r="E84">
        <f>'Federal P&amp;L'!E114</f>
        <v>5581077</v>
      </c>
      <c r="F84">
        <f>'Federal P&amp;L'!F114</f>
        <v>5441411</v>
      </c>
      <c r="G84">
        <f>'Federal P&amp;L'!G114</f>
        <v>5616954</v>
      </c>
      <c r="H84">
        <f>'Federal P&amp;L'!H114</f>
        <v>5329680</v>
      </c>
      <c r="I84">
        <f>'Federal P&amp;L'!I114</f>
        <v>5564665</v>
      </c>
      <c r="J84">
        <f>'Federal P&amp;L'!J114</f>
        <v>5294174</v>
      </c>
      <c r="K84">
        <f>'Federal P&amp;L'!K114</f>
        <v>5650358</v>
      </c>
      <c r="L84">
        <f>'Federal P&amp;L'!L114</f>
        <v>5148327</v>
      </c>
      <c r="M84">
        <f>'Federal P&amp;L'!M114</f>
        <v>4945054</v>
      </c>
      <c r="N84">
        <f>'Federal P&amp;L'!N114</f>
        <v>5482621</v>
      </c>
      <c r="O84">
        <f>'Federal P&amp;L'!O114</f>
        <v>4346698</v>
      </c>
      <c r="P84">
        <f>'Federal P&amp;L'!P114</f>
        <v>5720012</v>
      </c>
      <c r="Q84">
        <f>'Federal P&amp;L'!Q114</f>
        <v>5106000</v>
      </c>
      <c r="R84">
        <f>'Federal P&amp;L'!R114</f>
        <v>5281000</v>
      </c>
      <c r="S84">
        <f>'Federal P&amp;L'!S114</f>
        <v>4752000</v>
      </c>
      <c r="T84">
        <f>'Federal P&amp;L'!T114</f>
        <v>4665000</v>
      </c>
      <c r="U84">
        <f>'Federal P&amp;L'!U114</f>
        <v>1959000</v>
      </c>
      <c r="V84">
        <f>'Federal P&amp;L'!V114</f>
        <v>5298000</v>
      </c>
      <c r="W84">
        <f>'Federal P&amp;L'!W114</f>
        <v>5943000</v>
      </c>
      <c r="X84">
        <f>'Federal P&amp;L'!X114</f>
        <v>5855000</v>
      </c>
      <c r="Y84">
        <f>'Federal P&amp;L'!Y114</f>
        <v>7103000</v>
      </c>
      <c r="Z84">
        <f>'Federal P&amp;L'!Z114</f>
        <v>6588000</v>
      </c>
      <c r="AA84">
        <f>'Federal P&amp;L'!AA114</f>
        <v>7043000</v>
      </c>
      <c r="AB84">
        <f>'Federal P&amp;L'!AB114</f>
        <v>4651000</v>
      </c>
      <c r="AC84">
        <f>'Federal P&amp;L'!AC114</f>
        <v>7943000</v>
      </c>
      <c r="AD84">
        <f>'Federal P&amp;L'!AD114</f>
        <v>9066000</v>
      </c>
      <c r="AE84">
        <f>'Federal P&amp;L'!AE114</f>
        <v>8342000</v>
      </c>
      <c r="AF84">
        <f>'Federal P&amp;L'!AF114</f>
        <v>6737000</v>
      </c>
      <c r="AG84">
        <f>'Federal P&amp;L'!AG114</f>
        <v>6913000</v>
      </c>
      <c r="AH84">
        <f>'Federal P&amp;L'!AH114</f>
        <v>8014000</v>
      </c>
      <c r="AI84">
        <f>'Federal P&amp;L'!AI114</f>
        <v>7165000</v>
      </c>
      <c r="AJ84">
        <f>'Federal P&amp;L'!AJ114</f>
        <v>8889000</v>
      </c>
    </row>
    <row r="85" spans="1:36">
      <c r="A85" s="4" t="s">
        <v>52</v>
      </c>
      <c r="B85">
        <f>'Federal P&amp;L'!B115</f>
        <v>5785043</v>
      </c>
      <c r="C85">
        <f>'Federal P&amp;L'!C115</f>
        <v>5922533</v>
      </c>
      <c r="D85">
        <f>'Federal P&amp;L'!D115</f>
        <v>5883215</v>
      </c>
      <c r="E85">
        <f>'Federal P&amp;L'!E115</f>
        <v>4966470</v>
      </c>
      <c r="F85">
        <f>'Federal P&amp;L'!F115</f>
        <v>4136065</v>
      </c>
      <c r="G85">
        <f>'Federal P&amp;L'!G115</f>
        <v>2748261</v>
      </c>
      <c r="H85">
        <f>'Federal P&amp;L'!H115</f>
        <v>643752</v>
      </c>
      <c r="I85">
        <f>'Federal P&amp;L'!I115</f>
        <v>-451029</v>
      </c>
      <c r="J85">
        <f>'Federal P&amp;L'!J115</f>
        <v>4815748</v>
      </c>
      <c r="K85">
        <f>'Federal P&amp;L'!K115</f>
        <v>5266072</v>
      </c>
      <c r="L85">
        <f>'Federal P&amp;L'!L115</f>
        <v>3887411</v>
      </c>
      <c r="M85">
        <f>'Federal P&amp;L'!M115</f>
        <v>5369324</v>
      </c>
      <c r="N85">
        <f>'Federal P&amp;L'!N115</f>
        <v>4329100</v>
      </c>
      <c r="O85">
        <f>'Federal P&amp;L'!O115</f>
        <v>1562123</v>
      </c>
      <c r="P85">
        <f>'Federal P&amp;L'!P115</f>
        <v>-491567</v>
      </c>
      <c r="Q85">
        <f>'Federal P&amp;L'!Q115</f>
        <v>-1025000</v>
      </c>
      <c r="R85">
        <f>'Federal P&amp;L'!R115</f>
        <v>-5013000</v>
      </c>
      <c r="S85">
        <f>'Federal P&amp;L'!S115</f>
        <v>-3993000</v>
      </c>
      <c r="T85">
        <f>'Federal P&amp;L'!T115</f>
        <v>150000</v>
      </c>
      <c r="U85">
        <f>'Federal P&amp;L'!U115</f>
        <v>1506000</v>
      </c>
      <c r="V85">
        <f>'Federal P&amp;L'!V115</f>
        <v>-3289000</v>
      </c>
      <c r="W85">
        <f>'Federal P&amp;L'!W115</f>
        <v>-1121000</v>
      </c>
      <c r="X85">
        <f>'Federal P&amp;L'!X115</f>
        <v>-6963000</v>
      </c>
      <c r="Y85">
        <f>'Federal P&amp;L'!Y115</f>
        <v>-3292000</v>
      </c>
      <c r="Z85">
        <f>'Federal P&amp;L'!Z115</f>
        <v>1615000</v>
      </c>
      <c r="AA85">
        <f>'Federal P&amp;L'!AA115</f>
        <v>-1678000</v>
      </c>
      <c r="AB85">
        <f>'Federal P&amp;L'!AB115</f>
        <v>-1040000</v>
      </c>
      <c r="AC85">
        <f>'Federal P&amp;L'!AC115</f>
        <v>-5487000</v>
      </c>
      <c r="AD85">
        <f>'Federal P&amp;L'!AD115</f>
        <v>-681000</v>
      </c>
      <c r="AE85">
        <f>'Federal P&amp;L'!AE115</f>
        <v>99222000</v>
      </c>
      <c r="AF85">
        <f>'Federal P&amp;L'!AF115</f>
        <v>35186000</v>
      </c>
      <c r="AG85">
        <f>'Federal P&amp;L'!AG115</f>
        <v>13853000</v>
      </c>
      <c r="AH85">
        <f>'Federal P&amp;L'!AH115</f>
        <v>-8213000</v>
      </c>
      <c r="AI85">
        <f>'Federal P&amp;L'!AI115</f>
        <v>-88201000</v>
      </c>
      <c r="AJ85">
        <f>'Federal P&amp;L'!AJ115</f>
        <v>-84349000</v>
      </c>
    </row>
    <row r="86" spans="1:36">
      <c r="A86" s="5" t="s">
        <v>296</v>
      </c>
      <c r="B86">
        <f>'Federal P&amp;L'!B117</f>
        <v>0</v>
      </c>
      <c r="C86">
        <f>'Federal P&amp;L'!C117</f>
        <v>0</v>
      </c>
      <c r="D86">
        <f>'Federal P&amp;L'!D117</f>
        <v>0</v>
      </c>
      <c r="E86">
        <f>'Federal P&amp;L'!E117</f>
        <v>0</v>
      </c>
      <c r="F86">
        <f>'Federal P&amp;L'!F117</f>
        <v>0</v>
      </c>
      <c r="G86">
        <f>'Federal P&amp;L'!G117</f>
        <v>0</v>
      </c>
      <c r="H86">
        <f>'Federal P&amp;L'!H117</f>
        <v>0</v>
      </c>
      <c r="I86">
        <f>'Federal P&amp;L'!I117</f>
        <v>0</v>
      </c>
      <c r="J86">
        <f>'Federal P&amp;L'!J117</f>
        <v>0</v>
      </c>
      <c r="K86">
        <f>'Federal P&amp;L'!K117</f>
        <v>0</v>
      </c>
      <c r="L86">
        <f>'Federal P&amp;L'!L117</f>
        <v>0</v>
      </c>
      <c r="M86">
        <f>'Federal P&amp;L'!M117</f>
        <v>0</v>
      </c>
      <c r="N86">
        <f>'Federal P&amp;L'!N117</f>
        <v>0</v>
      </c>
      <c r="O86">
        <f>'Federal P&amp;L'!O117</f>
        <v>0</v>
      </c>
      <c r="P86">
        <f>'Federal P&amp;L'!P117</f>
        <v>0</v>
      </c>
      <c r="Q86">
        <f>'Federal P&amp;L'!Q117</f>
        <v>0</v>
      </c>
      <c r="R86">
        <f>'Federal P&amp;L'!R117</f>
        <v>0</v>
      </c>
      <c r="S86">
        <f>'Federal P&amp;L'!S117</f>
        <v>0</v>
      </c>
      <c r="T86">
        <f>'Federal P&amp;L'!T117</f>
        <v>0</v>
      </c>
      <c r="U86">
        <f>'Federal P&amp;L'!U117</f>
        <v>0</v>
      </c>
      <c r="V86">
        <f>'Federal P&amp;L'!V117</f>
        <v>0</v>
      </c>
      <c r="W86">
        <f>'Federal P&amp;L'!W117</f>
        <v>0</v>
      </c>
      <c r="X86">
        <f>'Federal P&amp;L'!X117</f>
        <v>0</v>
      </c>
      <c r="Y86">
        <f>'Federal P&amp;L'!Y117</f>
        <v>0</v>
      </c>
      <c r="Z86">
        <f>'Federal P&amp;L'!Z117</f>
        <v>0</v>
      </c>
      <c r="AA86">
        <f>'Federal P&amp;L'!AA117</f>
        <v>0</v>
      </c>
      <c r="AB86">
        <f>'Federal P&amp;L'!AB117</f>
        <v>0</v>
      </c>
      <c r="AC86">
        <f>'Federal P&amp;L'!AC117</f>
        <v>0</v>
      </c>
      <c r="AD86">
        <f>'Federal P&amp;L'!AD117</f>
        <v>-54000</v>
      </c>
      <c r="AE86">
        <f>'Federal P&amp;L'!AE117</f>
        <v>86776000</v>
      </c>
      <c r="AF86">
        <f>'Federal P&amp;L'!AF117</f>
        <v>30876000</v>
      </c>
      <c r="AG86">
        <f>'Federal P&amp;L'!AG117</f>
        <v>12633000</v>
      </c>
      <c r="AH86">
        <f>'Federal P&amp;L'!AH117</f>
        <v>-7527000</v>
      </c>
      <c r="AI86">
        <f>'Federal P&amp;L'!AI117</f>
        <v>-96888000</v>
      </c>
      <c r="AJ86">
        <f>'Federal P&amp;L'!AJ117</f>
        <v>-74463000</v>
      </c>
    </row>
    <row r="87" spans="1:36">
      <c r="A87" s="4" t="s">
        <v>41</v>
      </c>
      <c r="B87">
        <f>'Federal P&amp;L'!B119+'State and Local P&amp;L'!B75</f>
        <v>87153190</v>
      </c>
      <c r="C87">
        <f>'Federal P&amp;L'!C119+'State and Local P&amp;L'!C75</f>
        <v>109748595</v>
      </c>
      <c r="D87">
        <f>'Federal P&amp;L'!D119+'State and Local P&amp;L'!D75</f>
        <v>130764562</v>
      </c>
      <c r="E87">
        <f>'Federal P&amp;L'!E119+'State and Local P&amp;L'!E75</f>
        <v>144624707</v>
      </c>
      <c r="F87">
        <f>'Federal P&amp;L'!F119+'State and Local P&amp;L'!F75</f>
        <v>177540824</v>
      </c>
      <c r="G87">
        <f>'Federal P&amp;L'!G119+'State and Local P&amp;L'!G75</f>
        <v>199279956</v>
      </c>
      <c r="H87">
        <f>'Federal P&amp;L'!H119+'State and Local P&amp;L'!H75</f>
        <v>215721426</v>
      </c>
      <c r="I87">
        <f>'Federal P&amp;L'!I119+'State and Local P&amp;L'!I75</f>
        <v>231686319</v>
      </c>
      <c r="J87">
        <f>'Federal P&amp;L'!J119+'State and Local P&amp;L'!J75</f>
        <v>242204479</v>
      </c>
      <c r="K87">
        <f>'Federal P&amp;L'!K119+'State and Local P&amp;L'!K75</f>
        <v>260969373</v>
      </c>
      <c r="L87">
        <f>'Federal P&amp;L'!L119+'State and Local P&amp;L'!L75</f>
        <v>285535262</v>
      </c>
      <c r="M87">
        <f>'Federal P&amp;L'!M119+'State and Local P&amp;L'!M75</f>
        <v>305069384</v>
      </c>
      <c r="N87">
        <f>'Federal P&amp;L'!N119+'State and Local P&amp;L'!N75</f>
        <v>270253479</v>
      </c>
      <c r="O87">
        <f>'Federal P&amp;L'!O119+'State and Local P&amp;L'!O75</f>
        <v>283654511</v>
      </c>
      <c r="P87">
        <f>'Federal P&amp;L'!P119+'State and Local P&amp;L'!P75</f>
        <v>294216259</v>
      </c>
      <c r="Q87">
        <f>'Federal P&amp;L'!Q119+'State and Local P&amp;L'!Q75</f>
        <v>329375032</v>
      </c>
      <c r="R87">
        <f>'Federal P&amp;L'!R119+'State and Local P&amp;L'!R75</f>
        <v>346456864</v>
      </c>
      <c r="S87">
        <f>'Federal P&amp;L'!S119+'State and Local P&amp;L'!S75</f>
        <v>356558769</v>
      </c>
      <c r="T87">
        <f>'Federal P&amp;L'!T119+'State and Local P&amp;L'!T75</f>
        <v>361960987</v>
      </c>
      <c r="U87">
        <f>'Federal P&amp;L'!U119+'State and Local P&amp;L'!U75</f>
        <v>358225024</v>
      </c>
      <c r="V87">
        <f>'Federal P&amp;L'!V119+'State and Local P&amp;L'!V75</f>
        <v>360265865</v>
      </c>
      <c r="W87">
        <f>'Federal P&amp;L'!W119+'State and Local P&amp;L'!W75</f>
        <v>346168509</v>
      </c>
      <c r="X87">
        <f>'Federal P&amp;L'!X119+'State and Local P&amp;L'!X75</f>
        <v>335733092</v>
      </c>
      <c r="Y87">
        <f>'Federal P&amp;L'!Y119+'State and Local P&amp;L'!Y75</f>
        <v>338071008</v>
      </c>
      <c r="Z87">
        <f>'Federal P&amp;L'!Z119+'State and Local P&amp;L'!Z75</f>
        <v>360419854</v>
      </c>
      <c r="AA87">
        <f>'Federal P&amp;L'!AA119+'State and Local P&amp;L'!AA75</f>
        <v>386198963</v>
      </c>
      <c r="AB87">
        <f>'Federal P&amp;L'!AB119+'State and Local P&amp;L'!AB75</f>
        <v>436449914</v>
      </c>
      <c r="AC87">
        <f>'Federal P&amp;L'!AC119+'State and Local P&amp;L'!AC75</f>
        <v>443212349</v>
      </c>
      <c r="AD87">
        <f>'Federal P&amp;L'!AD119+'State and Local P&amp;L'!AD75</f>
        <v>487024207</v>
      </c>
      <c r="AE87">
        <f>'Federal P&amp;L'!AE119+'State and Local P&amp;L'!AE75</f>
        <v>466302317</v>
      </c>
      <c r="AF87">
        <f>'Federal P&amp;L'!AF119+'State and Local P&amp;L'!AF75</f>
        <v>495944893</v>
      </c>
      <c r="AG87">
        <f>'Federal P&amp;L'!AG119+'State and Local P&amp;L'!AG75</f>
        <v>557993727</v>
      </c>
      <c r="AH87">
        <f>'Federal P&amp;L'!AH119+'State and Local P&amp;L'!AH75</f>
        <v>558375131</v>
      </c>
      <c r="AI87">
        <f>'Federal P&amp;L'!AI119+'State and Local P&amp;L'!AI75</f>
        <v>585146101</v>
      </c>
      <c r="AJ87">
        <f>'Federal P&amp;L'!AJ119+'State and Local P&amp;L'!AJ75</f>
        <v>610556054</v>
      </c>
    </row>
    <row r="88" spans="1:36">
      <c r="A88" s="5" t="s">
        <v>42</v>
      </c>
      <c r="B88">
        <f>'Federal P&amp;L'!B120+'State and Local P&amp;L'!B76</f>
        <v>44017543</v>
      </c>
      <c r="C88">
        <f>'Federal P&amp;L'!C120+'State and Local P&amp;L'!C76</f>
        <v>50833905</v>
      </c>
      <c r="D88">
        <f>'Federal P&amp;L'!D120+'State and Local P&amp;L'!D76</f>
        <v>56690349</v>
      </c>
      <c r="E88">
        <f>'Federal P&amp;L'!E120+'State and Local P&amp;L'!E76</f>
        <v>60785745</v>
      </c>
      <c r="F88">
        <f>'Federal P&amp;L'!F120+'State and Local P&amp;L'!F76</f>
        <v>65587410</v>
      </c>
      <c r="G88">
        <f>'Federal P&amp;L'!G120+'State and Local P&amp;L'!G76</f>
        <v>69107593</v>
      </c>
      <c r="H88">
        <f>'Federal P&amp;L'!H120+'State and Local P&amp;L'!H76</f>
        <v>73761179</v>
      </c>
      <c r="I88">
        <f>'Federal P&amp;L'!I120+'State and Local P&amp;L'!I76</f>
        <v>81219296</v>
      </c>
      <c r="J88">
        <f>'Federal P&amp;L'!J120+'State and Local P&amp;L'!J76</f>
        <v>87551725</v>
      </c>
      <c r="K88">
        <f>'Federal P&amp;L'!K120+'State and Local P&amp;L'!K76</f>
        <v>92060624</v>
      </c>
      <c r="L88">
        <f>'Federal P&amp;L'!L120+'State and Local P&amp;L'!L76</f>
        <v>100606359</v>
      </c>
      <c r="M88">
        <f>'Federal P&amp;L'!M120+'State and Local P&amp;L'!M76</f>
        <v>110601376</v>
      </c>
      <c r="N88">
        <f>'Federal P&amp;L'!N120+'State and Local P&amp;L'!N76</f>
        <v>118052959</v>
      </c>
      <c r="O88">
        <f>'Federal P&amp;L'!O120+'State and Local P&amp;L'!O76</f>
        <v>126502848</v>
      </c>
      <c r="P88">
        <f>'Federal P&amp;L'!P120+'State and Local P&amp;L'!P76</f>
        <v>132778647</v>
      </c>
      <c r="Q88">
        <f>'Federal P&amp;L'!Q120+'State and Local P&amp;L'!Q76</f>
        <v>141863714</v>
      </c>
      <c r="R88">
        <f>'Federal P&amp;L'!R120+'State and Local P&amp;L'!R76</f>
        <v>151636399</v>
      </c>
      <c r="S88">
        <f>'Federal P&amp;L'!S120+'State and Local P&amp;L'!S76</f>
        <v>159563583</v>
      </c>
      <c r="T88">
        <f>'Federal P&amp;L'!T120+'State and Local P&amp;L'!T76</f>
        <v>168826254</v>
      </c>
      <c r="U88">
        <f>'Federal P&amp;L'!U120+'State and Local P&amp;L'!U76</f>
        <v>176168025</v>
      </c>
      <c r="V88">
        <f>'Federal P&amp;L'!V120+'State and Local P&amp;L'!V76</f>
        <v>188790171</v>
      </c>
      <c r="W88">
        <f>'Federal P&amp;L'!W120+'State and Local P&amp;L'!W76</f>
        <v>202511397</v>
      </c>
      <c r="X88">
        <f>'Federal P&amp;L'!X120+'State and Local P&amp;L'!X76</f>
        <v>217322440</v>
      </c>
      <c r="Y88">
        <f>'Federal P&amp;L'!Y120+'State and Local P&amp;L'!Y76</f>
        <v>236612972</v>
      </c>
      <c r="Z88">
        <f>'Federal P&amp;L'!Z120+'State and Local P&amp;L'!Z76</f>
        <v>254336283</v>
      </c>
      <c r="AA88">
        <f>'Federal P&amp;L'!AA120+'State and Local P&amp;L'!AA76</f>
        <v>271922533</v>
      </c>
      <c r="AB88">
        <f>'Federal P&amp;L'!AB120+'State and Local P&amp;L'!AB76</f>
        <v>287762997</v>
      </c>
      <c r="AC88">
        <f>'Federal P&amp;L'!AC120+'State and Local P&amp;L'!AC76</f>
        <v>304328909</v>
      </c>
      <c r="AD88">
        <f>'Federal P&amp;L'!AD120+'State and Local P&amp;L'!AD76</f>
        <v>325986225</v>
      </c>
      <c r="AE88">
        <f>'Federal P&amp;L'!AE120+'State and Local P&amp;L'!AE76</f>
        <v>347060021</v>
      </c>
      <c r="AF88">
        <f>'Federal P&amp;L'!AF120+'State and Local P&amp;L'!AF76</f>
        <v>360996874</v>
      </c>
      <c r="AG88">
        <f>'Federal P&amp;L'!AG120+'State and Local P&amp;L'!AG76</f>
        <v>379766752</v>
      </c>
      <c r="AH88">
        <f>'Federal P&amp;L'!AH120+'State and Local P&amp;L'!AH76</f>
        <v>389690210</v>
      </c>
      <c r="AI88">
        <f>'Federal P&amp;L'!AI120+'State and Local P&amp;L'!AI76</f>
        <v>412875303</v>
      </c>
      <c r="AJ88">
        <f>'Federal P&amp;L'!AJ120+'State and Local P&amp;L'!AJ76</f>
        <v>432082940</v>
      </c>
    </row>
    <row r="89" spans="1:36" s="18" customFormat="1">
      <c r="A89" s="17" t="s">
        <v>314</v>
      </c>
      <c r="B89" s="18">
        <f>'Federal P&amp;L'!B121+'State and Local P&amp;L'!B77</f>
        <v>-10335303</v>
      </c>
      <c r="C89" s="18">
        <f>'Federal P&amp;L'!C121+'State and Local P&amp;L'!C77</f>
        <v>-10894517</v>
      </c>
      <c r="D89" s="18">
        <f>'Federal P&amp;L'!D121+'State and Local P&amp;L'!D77</f>
        <v>-11887489</v>
      </c>
      <c r="E89" s="18">
        <f>'Federal P&amp;L'!E121+'State and Local P&amp;L'!E77</f>
        <v>-12528720</v>
      </c>
      <c r="F89" s="18">
        <f>'Federal P&amp;L'!F121+'State and Local P&amp;L'!F77</f>
        <v>-12913795</v>
      </c>
      <c r="G89" s="18">
        <f>'Federal P&amp;L'!G121+'State and Local P&amp;L'!G77</f>
        <v>-14047155</v>
      </c>
      <c r="H89" s="18">
        <f>'Federal P&amp;L'!H121+'State and Local P&amp;L'!H77</f>
        <v>-15758488</v>
      </c>
      <c r="I89" s="18">
        <f>'Federal P&amp;L'!I121+'State and Local P&amp;L'!I77</f>
        <v>-17725324</v>
      </c>
      <c r="J89" s="18">
        <f>'Federal P&amp;L'!J121+'State and Local P&amp;L'!J77</f>
        <v>-19420311</v>
      </c>
      <c r="K89" s="18">
        <f>'Federal P&amp;L'!K121+'State and Local P&amp;L'!K77</f>
        <v>-21251402</v>
      </c>
      <c r="L89" s="18">
        <f>'Federal P&amp;L'!L121+'State and Local P&amp;L'!L77</f>
        <v>-22848992</v>
      </c>
      <c r="M89" s="18">
        <f>'Federal P&amp;L'!M121+'State and Local P&amp;L'!M77</f>
        <v>-26481732</v>
      </c>
      <c r="N89" s="18">
        <f>'Federal P&amp;L'!N121+'State and Local P&amp;L'!N77</f>
        <v>-27760841</v>
      </c>
      <c r="O89" s="18">
        <f>'Federal P&amp;L'!O121+'State and Local P&amp;L'!O77</f>
        <v>-29326048</v>
      </c>
      <c r="P89" s="18">
        <f>'Federal P&amp;L'!P121+'State and Local P&amp;L'!P77</f>
        <v>-30964392</v>
      </c>
      <c r="Q89" s="18">
        <f>'Federal P&amp;L'!Q121+'State and Local P&amp;L'!Q77</f>
        <v>-31723411</v>
      </c>
      <c r="R89" s="18">
        <f>'Federal P&amp;L'!R121+'State and Local P&amp;L'!R77</f>
        <v>-32123809</v>
      </c>
      <c r="S89" s="18">
        <f>'Federal P&amp;L'!S121+'State and Local P&amp;L'!S77</f>
        <v>-31795676</v>
      </c>
      <c r="T89" s="18">
        <f>'Federal P&amp;L'!T121+'State and Local P&amp;L'!T77</f>
        <v>-31493901</v>
      </c>
      <c r="U89" s="18">
        <f>'Federal P&amp;L'!U121+'State and Local P&amp;L'!U77</f>
        <v>-33299480</v>
      </c>
      <c r="V89" s="18">
        <f>'Federal P&amp;L'!V121+'State and Local P&amp;L'!V77</f>
        <v>-33887563</v>
      </c>
      <c r="W89" s="18">
        <f>'Federal P&amp;L'!W121+'State and Local P&amp;L'!W77</f>
        <v>-38771656</v>
      </c>
      <c r="X89" s="18">
        <f>'Federal P&amp;L'!X121+'State and Local P&amp;L'!X77</f>
        <v>-41734573</v>
      </c>
      <c r="Y89" s="18">
        <f>'Federal P&amp;L'!Y121+'State and Local P&amp;L'!Y77</f>
        <v>-45536446</v>
      </c>
      <c r="Z89" s="18">
        <f>'Federal P&amp;L'!Z121+'State and Local P&amp;L'!Z77</f>
        <v>-54665833</v>
      </c>
      <c r="AA89" s="18">
        <f>'Federal P&amp;L'!AA121+'State and Local P&amp;L'!AA77</f>
        <v>-57439174</v>
      </c>
      <c r="AB89" s="18">
        <f>'Federal P&amp;L'!AB121+'State and Local P&amp;L'!AB77</f>
        <v>-57688305</v>
      </c>
      <c r="AC89" s="18">
        <f>'Federal P&amp;L'!AC121+'State and Local P&amp;L'!AC77</f>
        <v>-58153090</v>
      </c>
      <c r="AD89" s="18">
        <f>'Federal P&amp;L'!AD121+'State and Local P&amp;L'!AD77</f>
        <v>-56337574</v>
      </c>
      <c r="AE89" s="18">
        <f>'Federal P&amp;L'!AE121+'State and Local P&amp;L'!AE77</f>
        <v>-59356093</v>
      </c>
      <c r="AF89" s="18">
        <f>'Federal P&amp;L'!AF121+'State and Local P&amp;L'!AF77</f>
        <v>-57799064</v>
      </c>
      <c r="AG89" s="18">
        <f>'Federal P&amp;L'!AG121+'State and Local P&amp;L'!AG77</f>
        <v>-58372058</v>
      </c>
      <c r="AH89" s="18">
        <f>'Federal P&amp;L'!AH121+'State and Local P&amp;L'!AH77</f>
        <v>-61699123</v>
      </c>
      <c r="AI89" s="18">
        <f>'Federal P&amp;L'!AI121+'State and Local P&amp;L'!AI77</f>
        <v>-62272034</v>
      </c>
      <c r="AJ89" s="18">
        <f>'Federal P&amp;L'!AJ121+'State and Local P&amp;L'!AJ77</f>
        <v>-64260027</v>
      </c>
    </row>
    <row r="90" spans="1:36">
      <c r="A90" s="5" t="s">
        <v>309</v>
      </c>
      <c r="B90">
        <f>'Federal P&amp;L'!B122</f>
        <v>-14388585</v>
      </c>
      <c r="C90">
        <f>'Federal P&amp;L'!C122</f>
        <v>-16141176</v>
      </c>
      <c r="D90">
        <f>'Federal P&amp;L'!D122</f>
        <v>-17806303</v>
      </c>
      <c r="E90">
        <f>'Federal P&amp;L'!E122</f>
        <v>-20652280</v>
      </c>
      <c r="F90">
        <f>'Federal P&amp;L'!F122</f>
        <v>-21913457</v>
      </c>
      <c r="G90">
        <f>'Federal P&amp;L'!G122</f>
        <v>-23198583</v>
      </c>
      <c r="H90">
        <f>'Federal P&amp;L'!H122</f>
        <v>-23830209</v>
      </c>
      <c r="I90">
        <f>'Federal P&amp;L'!I122</f>
        <v>-25559200</v>
      </c>
      <c r="J90">
        <f>'Federal P&amp;L'!J122</f>
        <v>-27543842</v>
      </c>
      <c r="K90">
        <f>'Federal P&amp;L'!K122</f>
        <v>-27838466</v>
      </c>
      <c r="L90">
        <f>'Federal P&amp;L'!L122</f>
        <v>-26498406</v>
      </c>
      <c r="M90">
        <f>'Federal P&amp;L'!M122</f>
        <v>-28679189</v>
      </c>
      <c r="N90">
        <f>'Federal P&amp;L'!N122</f>
        <v>-28804719</v>
      </c>
      <c r="O90">
        <f>'Federal P&amp;L'!O122</f>
        <v>-26231465</v>
      </c>
      <c r="P90">
        <f>'Federal P&amp;L'!P122</f>
        <v>-26337981</v>
      </c>
      <c r="Q90">
        <f>'Federal P&amp;L'!Q122</f>
        <v>-25865000</v>
      </c>
      <c r="R90">
        <f>'Federal P&amp;L'!R122</f>
        <v>-25260000</v>
      </c>
      <c r="S90">
        <f>'Federal P&amp;L'!S122</f>
        <v>-25678000</v>
      </c>
      <c r="T90">
        <f>'Federal P&amp;L'!T122</f>
        <v>-25670000</v>
      </c>
      <c r="U90">
        <f>'Federal P&amp;L'!U122</f>
        <v>-25968000</v>
      </c>
      <c r="V90">
        <f>'Federal P&amp;L'!V122</f>
        <v>-27595000</v>
      </c>
      <c r="W90">
        <f>'Federal P&amp;L'!W122</f>
        <v>-28190000</v>
      </c>
      <c r="X90">
        <f>'Federal P&amp;L'!X122</f>
        <v>-30576000</v>
      </c>
      <c r="Y90">
        <f>'Federal P&amp;L'!Y122</f>
        <v>-36702000</v>
      </c>
      <c r="Z90">
        <f>'Federal P&amp;L'!Z122</f>
        <v>-39580000</v>
      </c>
      <c r="AA90">
        <f>'Federal P&amp;L'!AA122</f>
        <v>-44675000</v>
      </c>
      <c r="AB90">
        <f>'Federal P&amp;L'!AB122</f>
        <v>-45827000</v>
      </c>
      <c r="AC90">
        <f>'Federal P&amp;L'!AC122</f>
        <v>-54296000</v>
      </c>
      <c r="AD90">
        <f>'Federal P&amp;L'!AD122</f>
        <v>-54931000</v>
      </c>
      <c r="AE90">
        <f>'Federal P&amp;L'!AE122</f>
        <v>-53896000</v>
      </c>
      <c r="AF90">
        <f>'Federal P&amp;L'!AF122</f>
        <v>-63558000</v>
      </c>
      <c r="AG90">
        <f>'Federal P&amp;L'!AG122</f>
        <v>-60556000</v>
      </c>
      <c r="AH90">
        <f>'Federal P&amp;L'!AH122</f>
        <v>-64254000</v>
      </c>
      <c r="AI90">
        <f>'Federal P&amp;L'!AI122</f>
        <v>-60977000</v>
      </c>
      <c r="AJ90">
        <f>'Federal P&amp;L'!AJ122</f>
        <v>-59560000</v>
      </c>
    </row>
    <row r="91" spans="1:36">
      <c r="A91" s="5" t="s">
        <v>310</v>
      </c>
      <c r="B91">
        <f>'Federal P&amp;L'!B123+'State and Local P&amp;L'!B78</f>
        <v>67859535</v>
      </c>
      <c r="C91">
        <f>'Federal P&amp;L'!C123+'State and Local P&amp;L'!C78</f>
        <v>85950383</v>
      </c>
      <c r="D91">
        <f>'Federal P&amp;L'!D123+'State and Local P&amp;L'!D78</f>
        <v>103768005</v>
      </c>
      <c r="E91">
        <f>'Federal P&amp;L'!E123+'State and Local P&amp;L'!E78</f>
        <v>117019962</v>
      </c>
      <c r="F91">
        <f>'Federal P&amp;L'!F123+'State and Local P&amp;L'!F78</f>
        <v>146780666</v>
      </c>
      <c r="G91">
        <f>'Federal P&amp;L'!G123+'State and Local P&amp;L'!G78</f>
        <v>167418101</v>
      </c>
      <c r="H91">
        <f>'Federal P&amp;L'!H123+'State and Local P&amp;L'!H78</f>
        <v>181548944</v>
      </c>
      <c r="I91">
        <f>'Federal P&amp;L'!I123+'State and Local P&amp;L'!I78</f>
        <v>193751547</v>
      </c>
      <c r="J91">
        <f>'Federal P&amp;L'!J123+'State and Local P&amp;L'!J78</f>
        <v>201616907</v>
      </c>
      <c r="K91">
        <f>'Federal P&amp;L'!K123+'State and Local P&amp;L'!K78</f>
        <v>217998617</v>
      </c>
      <c r="L91">
        <f>'Federal P&amp;L'!L123+'State and Local P&amp;L'!L78</f>
        <v>234276301</v>
      </c>
      <c r="M91">
        <f>'Federal P&amp;L'!M123+'State and Local P&amp;L'!M78</f>
        <v>249628929</v>
      </c>
      <c r="N91">
        <f>'Federal P&amp;L'!N123+'State and Local P&amp;L'!N78</f>
        <v>208766080</v>
      </c>
      <c r="O91">
        <f>'Federal P&amp;L'!O123+'State and Local P&amp;L'!O78</f>
        <v>212709176</v>
      </c>
      <c r="P91">
        <f>'Federal P&amp;L'!P123+'State and Local P&amp;L'!P78</f>
        <v>218739985</v>
      </c>
      <c r="Q91">
        <f>'Federal P&amp;L'!Q123+'State and Local P&amp;L'!Q78</f>
        <v>245099729</v>
      </c>
      <c r="R91">
        <f>'Federal P&amp;L'!R123+'State and Local P&amp;L'!R78</f>
        <v>252204274</v>
      </c>
      <c r="S91">
        <f>'Federal P&amp;L'!S123+'State and Local P&amp;L'!S78</f>
        <v>254468862</v>
      </c>
      <c r="T91">
        <f>'Federal P&amp;L'!T123+'State and Local P&amp;L'!T78</f>
        <v>250298634</v>
      </c>
      <c r="U91">
        <f>'Federal P&amp;L'!U123+'State and Local P&amp;L'!U78</f>
        <v>241324479</v>
      </c>
      <c r="V91">
        <f>'Federal P&amp;L'!V123+'State and Local P&amp;L'!V78</f>
        <v>232958257</v>
      </c>
      <c r="W91">
        <f>'Federal P&amp;L'!W123+'State and Local P&amp;L'!W78</f>
        <v>210618768</v>
      </c>
      <c r="X91">
        <f>'Federal P&amp;L'!X123+'State and Local P&amp;L'!X78</f>
        <v>190721225</v>
      </c>
      <c r="Y91">
        <f>'Federal P&amp;L'!Y123+'State and Local P&amp;L'!Y78</f>
        <v>183696482</v>
      </c>
      <c r="Z91">
        <f>'Federal P&amp;L'!Z123+'State and Local P&amp;L'!Z78</f>
        <v>200329404</v>
      </c>
      <c r="AA91">
        <f>'Federal P&amp;L'!AA123+'State and Local P&amp;L'!AA78</f>
        <v>216390604</v>
      </c>
      <c r="AB91">
        <f>'Federal P&amp;L'!AB123+'State and Local P&amp;L'!AB78</f>
        <v>252202222</v>
      </c>
      <c r="AC91">
        <f>'Federal P&amp;L'!AC123+'State and Local P&amp;L'!AC78</f>
        <v>251332530</v>
      </c>
      <c r="AD91">
        <f>'Federal P&amp;L'!AD123+'State and Local P&amp;L'!AD78</f>
        <v>272306556</v>
      </c>
      <c r="AE91">
        <f>'Federal P&amp;L'!AE123+'State and Local P&amp;L'!AE78</f>
        <v>232494389</v>
      </c>
      <c r="AF91">
        <f>'Federal P&amp;L'!AF123+'State and Local P&amp;L'!AF78</f>
        <v>256305083</v>
      </c>
      <c r="AG91">
        <f>'Federal P&amp;L'!AG123+'State and Local P&amp;L'!AG78</f>
        <v>297155033</v>
      </c>
      <c r="AH91">
        <f>'Federal P&amp;L'!AH123+'State and Local P&amp;L'!AH78</f>
        <v>294638044</v>
      </c>
      <c r="AI91">
        <f>'Federal P&amp;L'!AI123+'State and Local P&amp;L'!AI78</f>
        <v>295519832</v>
      </c>
      <c r="AJ91">
        <f>'Federal P&amp;L'!AJ123+'State and Local P&amp;L'!AJ78</f>
        <v>302293141</v>
      </c>
    </row>
    <row r="92" spans="1:36">
      <c r="A92" s="2" t="s">
        <v>40</v>
      </c>
      <c r="B92">
        <f>'Federal P&amp;L'!B124+'State and Local P&amp;L'!B79</f>
        <v>37835719</v>
      </c>
      <c r="C92">
        <f>'Federal P&amp;L'!C124+'State and Local P&amp;L'!C79</f>
        <v>40486315</v>
      </c>
      <c r="D92">
        <f>'Federal P&amp;L'!D124+'State and Local P&amp;L'!D79</f>
        <v>40694725</v>
      </c>
      <c r="E92">
        <f>'Federal P&amp;L'!E124+'State and Local P&amp;L'!E79</f>
        <v>40793974</v>
      </c>
      <c r="F92">
        <f>'Federal P&amp;L'!F124+'State and Local P&amp;L'!F79</f>
        <v>43927348</v>
      </c>
      <c r="G92">
        <f>'Federal P&amp;L'!G124+'State and Local P&amp;L'!G79</f>
        <v>48170283</v>
      </c>
      <c r="H92">
        <f>'Federal P&amp;L'!H124+'State and Local P&amp;L'!H79</f>
        <v>52950244</v>
      </c>
      <c r="I92">
        <f>'Federal P&amp;L'!I124+'State and Local P&amp;L'!I79</f>
        <v>56987093</v>
      </c>
      <c r="J92">
        <f>'Federal P&amp;L'!J124+'State and Local P&amp;L'!J79</f>
        <v>60634747</v>
      </c>
      <c r="K92">
        <f>'Federal P&amp;L'!K124+'State and Local P&amp;L'!K79</f>
        <v>63626917</v>
      </c>
      <c r="L92">
        <f>'Federal P&amp;L'!L124+'State and Local P&amp;L'!L79</f>
        <v>69027100</v>
      </c>
      <c r="M92">
        <f>'Federal P&amp;L'!M124+'State and Local P&amp;L'!M79</f>
        <v>74480238</v>
      </c>
      <c r="N92">
        <f>'Federal P&amp;L'!N124+'State and Local P&amp;L'!N79</f>
        <v>77503189</v>
      </c>
      <c r="O92">
        <f>'Federal P&amp;L'!O124+'State and Local P&amp;L'!O79</f>
        <v>79679190</v>
      </c>
      <c r="P92">
        <f>'Federal P&amp;L'!P124+'State and Local P&amp;L'!P79</f>
        <v>79630781</v>
      </c>
      <c r="Q92">
        <f>'Federal P&amp;L'!Q124+'State and Local P&amp;L'!Q79</f>
        <v>86667320</v>
      </c>
      <c r="R92">
        <f>'Federal P&amp;L'!R124+'State and Local P&amp;L'!R79</f>
        <v>84681274</v>
      </c>
      <c r="S92">
        <f>'Federal P&amp;L'!S124+'State and Local P&amp;L'!S79</f>
        <v>92248509</v>
      </c>
      <c r="T92">
        <f>'Federal P&amp;L'!T124+'State and Local P&amp;L'!T79</f>
        <v>95230967</v>
      </c>
      <c r="U92">
        <f>'Federal P&amp;L'!U124+'State and Local P&amp;L'!U79</f>
        <v>106517013</v>
      </c>
      <c r="V92">
        <f>'Federal P&amp;L'!V124+'State and Local P&amp;L'!V79</f>
        <v>113441222</v>
      </c>
      <c r="W92">
        <f>'Federal P&amp;L'!W124+'State and Local P&amp;L'!W79</f>
        <v>124309167</v>
      </c>
      <c r="X92">
        <f>'Federal P&amp;L'!X124+'State and Local P&amp;L'!X79</f>
        <v>135119962</v>
      </c>
      <c r="Y92">
        <f>'Federal P&amp;L'!Y124+'State and Local P&amp;L'!Y79</f>
        <v>132402247</v>
      </c>
      <c r="Z92">
        <f>'Federal P&amp;L'!Z124+'State and Local P&amp;L'!Z79</f>
        <v>133262366</v>
      </c>
      <c r="AA92">
        <f>'Federal P&amp;L'!AA124+'State and Local P&amp;L'!AA79</f>
        <v>135827628</v>
      </c>
      <c r="AB92">
        <f>'Federal P&amp;L'!AB124+'State and Local P&amp;L'!AB79</f>
        <v>146283808</v>
      </c>
      <c r="AC92">
        <f>'Federal P&amp;L'!AC124+'State and Local P&amp;L'!AC79</f>
        <v>162693531</v>
      </c>
      <c r="AD92">
        <f>'Federal P&amp;L'!AD124+'State and Local P&amp;L'!AD79</f>
        <v>168577372</v>
      </c>
      <c r="AE92">
        <f>'Federal P&amp;L'!AE124+'State and Local P&amp;L'!AE79</f>
        <v>174845765</v>
      </c>
      <c r="AF92">
        <f>'Federal P&amp;L'!AF124+'State and Local P&amp;L'!AF79</f>
        <v>176240258</v>
      </c>
      <c r="AG92">
        <f>'Federal P&amp;L'!AG124+'State and Local P&amp;L'!AG79</f>
        <v>174744816</v>
      </c>
      <c r="AH92">
        <f>'Federal P&amp;L'!AH124+'State and Local P&amp;L'!AH79</f>
        <v>168698663</v>
      </c>
      <c r="AI92">
        <f>'Federal P&amp;L'!AI124+'State and Local P&amp;L'!AI79</f>
        <v>165215828</v>
      </c>
      <c r="AJ92">
        <f>'Federal P&amp;L'!AJ124+'State and Local P&amp;L'!AJ79</f>
        <v>173261431</v>
      </c>
    </row>
    <row r="93" spans="1:36">
      <c r="A93" s="2" t="s">
        <v>311</v>
      </c>
      <c r="B93">
        <f>'Federal P&amp;L'!B125</f>
        <v>118974</v>
      </c>
      <c r="C93">
        <f>'Federal P&amp;L'!C125</f>
        <v>149607</v>
      </c>
      <c r="D93">
        <f>'Federal P&amp;L'!D125</f>
        <v>48052</v>
      </c>
      <c r="E93">
        <f>'Federal P&amp;L'!E125</f>
        <v>126411</v>
      </c>
      <c r="F93">
        <f>'Federal P&amp;L'!F125</f>
        <v>93758</v>
      </c>
      <c r="G93">
        <f>'Federal P&amp;L'!G125</f>
        <v>-299294</v>
      </c>
      <c r="H93">
        <f>'Federal P&amp;L'!H125</f>
        <v>-544517</v>
      </c>
      <c r="I93">
        <f>'Federal P&amp;L'!I125</f>
        <v>9874</v>
      </c>
      <c r="J93">
        <f>'Federal P&amp;L'!J125</f>
        <v>138796</v>
      </c>
      <c r="K93">
        <f>'Federal P&amp;L'!K125</f>
        <v>126523</v>
      </c>
      <c r="L93">
        <f>'Federal P&amp;L'!L125</f>
        <v>150136</v>
      </c>
      <c r="M93">
        <f>'Federal P&amp;L'!M125</f>
        <v>147307</v>
      </c>
      <c r="N93">
        <f>'Federal P&amp;L'!N125</f>
        <v>-136237</v>
      </c>
      <c r="O93">
        <f>'Federal P&amp;L'!O125</f>
        <v>32633</v>
      </c>
      <c r="P93">
        <f>'Federal P&amp;L'!P125</f>
        <v>131500</v>
      </c>
      <c r="Q93">
        <f>'Federal P&amp;L'!Q125</f>
        <v>324000</v>
      </c>
      <c r="R93">
        <f>'Federal P&amp;L'!R125</f>
        <v>161000</v>
      </c>
      <c r="S93">
        <f>'Federal P&amp;L'!S125</f>
        <v>168000</v>
      </c>
      <c r="T93">
        <f>'Federal P&amp;L'!T125</f>
        <v>103000</v>
      </c>
      <c r="U93">
        <f>'Federal P&amp;L'!U125</f>
        <v>169000</v>
      </c>
      <c r="V93">
        <f>'Federal P&amp;L'!V125</f>
        <v>178000</v>
      </c>
      <c r="W93">
        <f>'Federal P&amp;L'!W125</f>
        <v>180000</v>
      </c>
      <c r="X93">
        <f>'Federal P&amp;L'!X125</f>
        <v>197000</v>
      </c>
      <c r="Y93">
        <f>'Federal P&amp;L'!Y125</f>
        <v>199000</v>
      </c>
      <c r="Z93">
        <f>'Federal P&amp;L'!Z125</f>
        <v>174000</v>
      </c>
      <c r="AA93">
        <f>'Federal P&amp;L'!AA125</f>
        <v>227000</v>
      </c>
      <c r="AB93">
        <f>'Federal P&amp;L'!AB125</f>
        <v>192000</v>
      </c>
      <c r="AC93">
        <f>'Federal P&amp;L'!AC125</f>
        <v>233000</v>
      </c>
      <c r="AD93">
        <f>'Federal P&amp;L'!AD125</f>
        <v>208000</v>
      </c>
      <c r="AE93">
        <f>'Federal P&amp;L'!AE125</f>
        <v>275000</v>
      </c>
      <c r="AF93">
        <f>'Federal P&amp;L'!AF125</f>
        <v>227000</v>
      </c>
      <c r="AG93">
        <f>'Federal P&amp;L'!AG125</f>
        <v>245000</v>
      </c>
      <c r="AH93">
        <f>'Federal P&amp;L'!AH125</f>
        <v>4005000</v>
      </c>
      <c r="AI93">
        <f>'Federal P&amp;L'!AI125</f>
        <v>4135000</v>
      </c>
      <c r="AJ93">
        <f>'Federal P&amp;L'!AJ125</f>
        <v>3821000</v>
      </c>
    </row>
    <row r="94" spans="1:36">
      <c r="A94" s="2" t="s">
        <v>312</v>
      </c>
      <c r="B94">
        <f>'Federal P&amp;L'!B126-'State and Local P&amp;L'!B23</f>
        <v>10092574</v>
      </c>
      <c r="C94">
        <f>'Federal P&amp;L'!C126-'State and Local P&amp;L'!C23</f>
        <v>6266346</v>
      </c>
      <c r="D94">
        <f>'Federal P&amp;L'!D126-'State and Local P&amp;L'!D23</f>
        <v>2631541</v>
      </c>
      <c r="E94">
        <f>'Federal P&amp;L'!E126-'State and Local P&amp;L'!E23</f>
        <v>4189646</v>
      </c>
      <c r="F94">
        <f>'Federal P&amp;L'!F126-'State and Local P&amp;L'!F23</f>
        <v>2321348</v>
      </c>
      <c r="G94">
        <f>'Federal P&amp;L'!G126-'State and Local P&amp;L'!G23</f>
        <v>1649707</v>
      </c>
      <c r="H94">
        <f>'Federal P&amp;L'!H126-'State and Local P&amp;L'!H23</f>
        <v>1315804</v>
      </c>
      <c r="I94">
        <f>'Federal P&amp;L'!I126-'State and Local P&amp;L'!I23</f>
        <v>-4027219</v>
      </c>
      <c r="J94">
        <f>'Federal P&amp;L'!J126-'State and Local P&amp;L'!J23</f>
        <v>372084</v>
      </c>
      <c r="K94">
        <f>'Federal P&amp;L'!K126-'State and Local P&amp;L'!K23</f>
        <v>-979062</v>
      </c>
      <c r="L94">
        <f>'Federal P&amp;L'!L126-'State and Local P&amp;L'!L23</f>
        <v>1754888</v>
      </c>
      <c r="M94">
        <f>'Federal P&amp;L'!M126-'State and Local P&amp;L'!M23</f>
        <v>3857551</v>
      </c>
      <c r="N94">
        <f>'Federal P&amp;L'!N126-'State and Local P&amp;L'!N23</f>
        <v>2593297</v>
      </c>
      <c r="O94">
        <f>'Federal P&amp;L'!O126-'State and Local P&amp;L'!O23</f>
        <v>-1423691</v>
      </c>
      <c r="P94">
        <f>'Federal P&amp;L'!P126-'State and Local P&amp;L'!P23</f>
        <v>-1248580</v>
      </c>
      <c r="Q94">
        <f>'Federal P&amp;L'!Q126-'State and Local P&amp;L'!Q23</f>
        <v>-105515</v>
      </c>
      <c r="R94">
        <f>'Federal P&amp;L'!R126-'State and Local P&amp;L'!R23</f>
        <v>-3159501</v>
      </c>
      <c r="S94">
        <f>'Federal P&amp;L'!S126-'State and Local P&amp;L'!S23</f>
        <v>-6583728</v>
      </c>
      <c r="T94">
        <f>'Federal P&amp;L'!T126-'State and Local P&amp;L'!T23</f>
        <v>-5374204</v>
      </c>
      <c r="U94">
        <f>'Federal P&amp;L'!U126-'State and Local P&amp;L'!U23</f>
        <v>1093998</v>
      </c>
      <c r="V94">
        <f>'Federal P&amp;L'!V126-'State and Local P&amp;L'!V23</f>
        <v>-2046677</v>
      </c>
      <c r="W94">
        <f>'Federal P&amp;L'!W126-'State and Local P&amp;L'!W23</f>
        <v>-1185453</v>
      </c>
      <c r="X94">
        <f>'Federal P&amp;L'!X126-'State and Local P&amp;L'!X23</f>
        <v>-3263735</v>
      </c>
      <c r="Y94">
        <f>'Federal P&amp;L'!Y126-'State and Local P&amp;L'!Y23</f>
        <v>4563792</v>
      </c>
      <c r="Z94">
        <f>'Federal P&amp;L'!Z126-'State and Local P&amp;L'!Z23</f>
        <v>-10972351</v>
      </c>
      <c r="AA94">
        <f>'Federal P&amp;L'!AA126-'State and Local P&amp;L'!AA23</f>
        <v>-5919947</v>
      </c>
      <c r="AB94">
        <f>'Federal P&amp;L'!AB126-'State and Local P&amp;L'!AB23</f>
        <v>-11975798</v>
      </c>
      <c r="AC94">
        <f>'Federal P&amp;L'!AC126-'State and Local P&amp;L'!AC23</f>
        <v>-9392367</v>
      </c>
      <c r="AD94">
        <f>'Federal P&amp;L'!AD126-'State and Local P&amp;L'!AD23</f>
        <v>-4448779</v>
      </c>
      <c r="AE94">
        <f>'Federal P&amp;L'!AE126-'State and Local P&amp;L'!AE23</f>
        <v>12301410</v>
      </c>
      <c r="AF94">
        <f>'Federal P&amp;L'!AF126-'State and Local P&amp;L'!AF23</f>
        <v>-6034632</v>
      </c>
      <c r="AG94">
        <f>'Federal P&amp;L'!AG126-'State and Local P&amp;L'!AG23</f>
        <v>-30624141</v>
      </c>
      <c r="AH94">
        <f>'Federal P&amp;L'!AH126-'State and Local P&amp;L'!AH23</f>
        <v>-36401673</v>
      </c>
      <c r="AI94">
        <f>'Federal P&amp;L'!AI126-'State and Local P&amp;L'!AI23</f>
        <v>-33406772</v>
      </c>
      <c r="AJ94">
        <f>'Federal P&amp;L'!AJ126-'State and Local P&amp;L'!AJ23</f>
        <v>-21873824</v>
      </c>
    </row>
    <row r="95" spans="1:36">
      <c r="A95" s="7"/>
    </row>
    <row r="96" spans="1:36">
      <c r="A96" s="9" t="s">
        <v>320</v>
      </c>
      <c r="B96">
        <f t="shared" ref="B96:AJ96" si="0">B3-B29</f>
        <v>-76616126</v>
      </c>
      <c r="C96">
        <f t="shared" si="0"/>
        <v>-81044605</v>
      </c>
      <c r="D96">
        <f t="shared" si="0"/>
        <v>-128015261</v>
      </c>
      <c r="E96">
        <f t="shared" si="0"/>
        <v>-208825414</v>
      </c>
      <c r="F96">
        <f t="shared" si="0"/>
        <v>-171348034</v>
      </c>
      <c r="G96">
        <f t="shared" si="0"/>
        <v>-192626855</v>
      </c>
      <c r="H96">
        <f t="shared" si="0"/>
        <v>-203247239</v>
      </c>
      <c r="I96">
        <f t="shared" si="0"/>
        <v>-135997016</v>
      </c>
      <c r="J96">
        <f t="shared" si="0"/>
        <v>-154558760</v>
      </c>
      <c r="K96">
        <f t="shared" si="0"/>
        <v>-151110574</v>
      </c>
      <c r="L96">
        <f t="shared" si="0"/>
        <v>-224724891</v>
      </c>
      <c r="M96">
        <f t="shared" si="0"/>
        <v>-306232534</v>
      </c>
      <c r="N96">
        <f t="shared" si="0"/>
        <v>-267810808</v>
      </c>
      <c r="O96">
        <f t="shared" si="0"/>
        <v>-215130983</v>
      </c>
      <c r="P96">
        <f t="shared" si="0"/>
        <v>-155834155</v>
      </c>
      <c r="Q96">
        <f t="shared" si="0"/>
        <v>-119791648</v>
      </c>
      <c r="R96">
        <f t="shared" si="0"/>
        <v>-16797611</v>
      </c>
      <c r="S96">
        <f t="shared" si="0"/>
        <v>102903020</v>
      </c>
      <c r="T96">
        <f t="shared" si="0"/>
        <v>234659857</v>
      </c>
      <c r="U96">
        <f t="shared" si="0"/>
        <v>270767473</v>
      </c>
      <c r="V96">
        <f t="shared" si="0"/>
        <v>405126566</v>
      </c>
      <c r="W96">
        <f t="shared" si="0"/>
        <v>99114795</v>
      </c>
      <c r="X96">
        <f t="shared" si="0"/>
        <v>-408302182</v>
      </c>
      <c r="Y96">
        <f t="shared" si="0"/>
        <v>-491180279</v>
      </c>
      <c r="Z96">
        <f t="shared" si="0"/>
        <v>-263875479</v>
      </c>
      <c r="AA96">
        <f t="shared" si="0"/>
        <v>-191014095</v>
      </c>
      <c r="AB96">
        <f t="shared" si="0"/>
        <v>-34380926</v>
      </c>
      <c r="AC96">
        <f t="shared" si="0"/>
        <v>203690664</v>
      </c>
      <c r="AD96">
        <f t="shared" si="0"/>
        <v>-709120022</v>
      </c>
      <c r="AE96">
        <f t="shared" si="0"/>
        <v>-2317493708</v>
      </c>
      <c r="AF96">
        <f t="shared" si="0"/>
        <v>-1203168399</v>
      </c>
      <c r="AG96">
        <f t="shared" si="0"/>
        <v>-1021542720</v>
      </c>
      <c r="AH96">
        <f t="shared" si="0"/>
        <v>-1229883831</v>
      </c>
      <c r="AI96">
        <f t="shared" si="0"/>
        <v>-495991635</v>
      </c>
      <c r="AJ96">
        <f t="shared" si="0"/>
        <v>-171842220</v>
      </c>
    </row>
    <row r="97" spans="1:36">
      <c r="A97" s="7"/>
    </row>
    <row r="99" spans="1:36">
      <c r="A99" s="9" t="s">
        <v>135</v>
      </c>
    </row>
    <row r="101" spans="1:36">
      <c r="A101" s="8" t="s">
        <v>141</v>
      </c>
    </row>
    <row r="102" spans="1:36">
      <c r="A102" s="4"/>
    </row>
    <row r="103" spans="1:36">
      <c r="A103" s="10" t="s">
        <v>139</v>
      </c>
      <c r="B103">
        <f>'Federal P&amp;L'!B181+'State and Local P&amp;L'!B149</f>
        <v>96141449</v>
      </c>
      <c r="C103">
        <f>'Federal P&amp;L'!C181+'State and Local P&amp;L'!C149</f>
        <v>165112317</v>
      </c>
      <c r="D103">
        <f>'Federal P&amp;L'!D181+'State and Local P&amp;L'!D149</f>
        <v>179858210</v>
      </c>
      <c r="E103">
        <f>'Federal P&amp;L'!E181+'State and Local P&amp;L'!E149</f>
        <v>193226865</v>
      </c>
      <c r="F103">
        <f>'Federal P&amp;L'!F181+'State and Local P&amp;L'!F149</f>
        <v>206109751</v>
      </c>
      <c r="G103">
        <f>'Federal P&amp;L'!G181+'State and Local P&amp;L'!G149</f>
        <v>225635292</v>
      </c>
      <c r="H103">
        <f>'Federal P&amp;L'!H181+'State and Local P&amp;L'!H149</f>
        <v>240428125</v>
      </c>
      <c r="I103">
        <f>'Federal P&amp;L'!I181+'State and Local P&amp;L'!I149</f>
        <v>256909841</v>
      </c>
      <c r="J103">
        <f>'Federal P&amp;L'!J181+'State and Local P&amp;L'!J149</f>
        <v>279273232</v>
      </c>
      <c r="K103">
        <f>'Federal P&amp;L'!K181+'State and Local P&amp;L'!K149</f>
        <v>301805598</v>
      </c>
      <c r="L103">
        <f>'Federal P&amp;L'!L181+'State and Local P&amp;L'!L149</f>
        <v>343153751</v>
      </c>
      <c r="M103">
        <f>'Federal P&amp;L'!M181+'State and Local P&amp;L'!M149</f>
        <v>384234615</v>
      </c>
      <c r="N103">
        <f>'Federal P&amp;L'!N181+'State and Local P&amp;L'!N149</f>
        <v>462307974</v>
      </c>
      <c r="O103">
        <f>'Federal P&amp;L'!O181+'State and Local P&amp;L'!O149</f>
        <v>500894935</v>
      </c>
      <c r="P103">
        <f>'Federal P&amp;L'!P181+'State and Local P&amp;L'!P149</f>
        <v>541612274</v>
      </c>
      <c r="Q103">
        <f>'Federal P&amp;L'!Q181+'State and Local P&amp;L'!Q149</f>
        <v>582577182</v>
      </c>
      <c r="R103">
        <f>'Federal P&amp;L'!R181+'State and Local P&amp;L'!R149</f>
        <v>603393546</v>
      </c>
      <c r="S103">
        <f>'Federal P&amp;L'!S181+'State and Local P&amp;L'!S149</f>
        <v>638626028</v>
      </c>
      <c r="T103">
        <f>'Federal P&amp;L'!T181+'State and Local P&amp;L'!T149</f>
        <v>657341693</v>
      </c>
      <c r="U103">
        <f>'Federal P&amp;L'!U181+'State and Local P&amp;L'!U149</f>
        <v>678707426</v>
      </c>
      <c r="V103">
        <f>'Federal P&amp;L'!V181+'State and Local P&amp;L'!V149</f>
        <v>729620209</v>
      </c>
      <c r="W103">
        <f>'Federal P&amp;L'!W181+'State and Local P&amp;L'!W149</f>
        <v>802673191</v>
      </c>
      <c r="X103">
        <f>'Federal P&amp;L'!X181+'State and Local P&amp;L'!X149</f>
        <v>878935941</v>
      </c>
      <c r="Y103">
        <f>'Federal P&amp;L'!Y181+'State and Local P&amp;L'!Y149</f>
        <v>961460190</v>
      </c>
      <c r="Z103">
        <f>'Federal P&amp;L'!Z181+'State and Local P&amp;L'!Z149</f>
        <v>1047038793</v>
      </c>
      <c r="AA103">
        <f>'Federal P&amp;L'!AA181+'State and Local P&amp;L'!AA149</f>
        <v>1128400857</v>
      </c>
      <c r="AB103">
        <f>'Federal P&amp;L'!AB181+'State and Local P&amp;L'!AB149</f>
        <v>1201934777</v>
      </c>
      <c r="AC103">
        <f>'Federal P&amp;L'!AC181+'State and Local P&amp;L'!AC149</f>
        <v>1262591374</v>
      </c>
      <c r="AD103">
        <f>'Federal P&amp;L'!AD181+'State and Local P&amp;L'!AD149</f>
        <v>1328519129</v>
      </c>
      <c r="AE103">
        <f>'Federal P&amp;L'!AE181+'State and Local P&amp;L'!AE149</f>
        <v>1476545925</v>
      </c>
      <c r="AF103">
        <f>'Federal P&amp;L'!AF181+'State and Local P&amp;L'!AF149</f>
        <v>1571797402</v>
      </c>
      <c r="AG103">
        <f>'Federal P&amp;L'!AG181+'State and Local P&amp;L'!AG149</f>
        <v>1651340391</v>
      </c>
      <c r="AH103">
        <f>'Federal P&amp;L'!AH181+'State and Local P&amp;L'!AH149</f>
        <v>1614636970</v>
      </c>
      <c r="AI103">
        <f>'Federal P&amp;L'!AI181+'State and Local P&amp;L'!AI149</f>
        <v>1703836233</v>
      </c>
      <c r="AJ103">
        <f>'Federal P&amp;L'!AJ181+'State and Local P&amp;L'!AJ149</f>
        <v>1805769527</v>
      </c>
    </row>
    <row r="104" spans="1:36">
      <c r="A104" s="3" t="s">
        <v>153</v>
      </c>
      <c r="B104">
        <f>'Federal P&amp;L'!B183+'State and Local P&amp;L'!B61+'Federal P&amp;L'!B98-'Federal P&amp;L'!B101</f>
        <v>124126907</v>
      </c>
      <c r="C104">
        <f>'Federal P&amp;L'!C183+'State and Local P&amp;L'!C61+'Federal P&amp;L'!C98-'Federal P&amp;L'!C101</f>
        <v>211496835</v>
      </c>
      <c r="D104">
        <f>'Federal P&amp;L'!D183+'State and Local P&amp;L'!D61+'Federal P&amp;L'!D98-'Federal P&amp;L'!D101</f>
        <v>220582871</v>
      </c>
      <c r="E104">
        <f>'Federal P&amp;L'!E183+'State and Local P&amp;L'!E61+'Federal P&amp;L'!E98-'Federal P&amp;L'!E101</f>
        <v>229787802</v>
      </c>
      <c r="F104">
        <f>'Federal P&amp;L'!F183+'State and Local P&amp;L'!F61+'Federal P&amp;L'!F98-'Federal P&amp;L'!F101</f>
        <v>231360355</v>
      </c>
      <c r="G104">
        <f>'Federal P&amp;L'!G183+'State and Local P&amp;L'!G61+'Federal P&amp;L'!G98-'Federal P&amp;L'!G101</f>
        <v>271866457</v>
      </c>
      <c r="H104">
        <f>'Federal P&amp;L'!H183+'State and Local P&amp;L'!H61+'Federal P&amp;L'!H98-'Federal P&amp;L'!H101</f>
        <v>279567064</v>
      </c>
      <c r="I104">
        <f>'Federal P&amp;L'!I183+'State and Local P&amp;L'!I61+'Federal P&amp;L'!I98-'Federal P&amp;L'!I101</f>
        <v>288859952</v>
      </c>
      <c r="J104">
        <f>'Federal P&amp;L'!J183+'State and Local P&amp;L'!J61+'Federal P&amp;L'!J98-'Federal P&amp;L'!J101</f>
        <v>303459037</v>
      </c>
      <c r="K104">
        <f>'Federal P&amp;L'!K183+'State and Local P&amp;L'!K61+'Federal P&amp;L'!K98-'Federal P&amp;L'!K101</f>
        <v>329263524</v>
      </c>
      <c r="L104">
        <f>'Federal P&amp;L'!L183+'State and Local P&amp;L'!L61+'Federal P&amp;L'!L98-'Federal P&amp;L'!L101</f>
        <v>352205742</v>
      </c>
      <c r="M104">
        <f>'Federal P&amp;L'!M183+'State and Local P&amp;L'!M61+'Federal P&amp;L'!M98-'Federal P&amp;L'!M101</f>
        <v>382584398</v>
      </c>
      <c r="N104">
        <f>'Federal P&amp;L'!N183+'State and Local P&amp;L'!N61+'Federal P&amp;L'!N98-'Federal P&amp;L'!N101</f>
        <v>405915704</v>
      </c>
      <c r="O104">
        <f>'Federal P&amp;L'!O183+'State and Local P&amp;L'!O61+'Federal P&amp;L'!O98-'Federal P&amp;L'!O101</f>
        <v>433214139</v>
      </c>
      <c r="P104">
        <f>'Federal P&amp;L'!P183+'State and Local P&amp;L'!P61+'Federal P&amp;L'!P98-'Federal P&amp;L'!P101</f>
        <v>432055115</v>
      </c>
      <c r="Q104">
        <f>'Federal P&amp;L'!Q183+'State and Local P&amp;L'!Q61+'Federal P&amp;L'!Q98-'Federal P&amp;L'!Q101</f>
        <v>463623895</v>
      </c>
      <c r="R104">
        <f>'Federal P&amp;L'!R183+'State and Local P&amp;L'!R61+'Federal P&amp;L'!R98-'Federal P&amp;L'!R101</f>
        <v>472503286</v>
      </c>
      <c r="S104">
        <f>'Federal P&amp;L'!S183+'State and Local P&amp;L'!S61+'Federal P&amp;L'!S98-'Federal P&amp;L'!S101</f>
        <v>494377204</v>
      </c>
      <c r="T104">
        <f>'Federal P&amp;L'!T183+'State and Local P&amp;L'!T61+'Federal P&amp;L'!T98-'Federal P&amp;L'!T101</f>
        <v>535409205</v>
      </c>
      <c r="U104">
        <f>'Federal P&amp;L'!U183+'State and Local P&amp;L'!U61+'Federal P&amp;L'!U98-'Federal P&amp;L'!U101</f>
        <v>579976947</v>
      </c>
      <c r="V104">
        <f>'Federal P&amp;L'!V183+'State and Local P&amp;L'!V61+'Federal P&amp;L'!V98-'Federal P&amp;L'!V101</f>
        <v>627810679</v>
      </c>
      <c r="W104">
        <f>'Federal P&amp;L'!W183+'State and Local P&amp;L'!W61+'Federal P&amp;L'!W98-'Federal P&amp;L'!W101</f>
        <v>664325420</v>
      </c>
      <c r="X104">
        <f>'Federal P&amp;L'!X183+'State and Local P&amp;L'!X61+'Federal P&amp;L'!X98-'Federal P&amp;L'!X101</f>
        <v>710992565</v>
      </c>
      <c r="Y104">
        <f>'Federal P&amp;L'!Y183+'State and Local P&amp;L'!Y61+'Federal P&amp;L'!Y98-'Federal P&amp;L'!Y101</f>
        <v>751746095</v>
      </c>
      <c r="Z104">
        <f>'Federal P&amp;L'!Z183+'State and Local P&amp;L'!Z61+'Federal P&amp;L'!Z98-'Federal P&amp;L'!Z101</f>
        <v>796581204</v>
      </c>
      <c r="AA104">
        <f>'Federal P&amp;L'!AA183+'State and Local P&amp;L'!AA61+'Federal P&amp;L'!AA98-'Federal P&amp;L'!AA101</f>
        <v>837705525</v>
      </c>
      <c r="AB104">
        <f>'Federal P&amp;L'!AB183+'State and Local P&amp;L'!AB61+'Federal P&amp;L'!AB98-'Federal P&amp;L'!AB101</f>
        <v>896920656</v>
      </c>
      <c r="AC104">
        <f>'Federal P&amp;L'!AC183+'State and Local P&amp;L'!AC61+'Federal P&amp;L'!AC98-'Federal P&amp;L'!AC101</f>
        <v>904158146</v>
      </c>
      <c r="AD104">
        <f>'Federal P&amp;L'!AD183+'State and Local P&amp;L'!AD61+'Federal P&amp;L'!AD98-'Federal P&amp;L'!AD101</f>
        <v>963340677</v>
      </c>
      <c r="AE104">
        <f>'Federal P&amp;L'!AE183+'State and Local P&amp;L'!AE61+'Federal P&amp;L'!AE98-'Federal P&amp;L'!AE101</f>
        <v>1002721083</v>
      </c>
      <c r="AF104">
        <f>'Federal P&amp;L'!AF183+'State and Local P&amp;L'!AF61+'Federal P&amp;L'!AF98-'Federal P&amp;L'!AF101</f>
        <v>1062924217</v>
      </c>
      <c r="AG104">
        <f>'Federal P&amp;L'!AG183+'State and Local P&amp;L'!AG61+'Federal P&amp;L'!AG98-'Federal P&amp;L'!AG101</f>
        <v>1023049381</v>
      </c>
      <c r="AH104">
        <f>'Federal P&amp;L'!AH183+'State and Local P&amp;L'!AH61+'Federal P&amp;L'!AH98-'Federal P&amp;L'!AH101</f>
        <v>1028910398</v>
      </c>
      <c r="AI104">
        <f>'Federal P&amp;L'!AI183+'State and Local P&amp;L'!AI61+'Federal P&amp;L'!AI98-'Federal P&amp;L'!AI101</f>
        <v>1024316450</v>
      </c>
      <c r="AJ104">
        <f>'Federal P&amp;L'!AJ183+'State and Local P&amp;L'!AJ61+'Federal P&amp;L'!AJ98-'Federal P&amp;L'!AJ101</f>
        <v>1049784005</v>
      </c>
    </row>
    <row r="105" spans="1:36">
      <c r="A105" s="3"/>
    </row>
    <row r="106" spans="1:36">
      <c r="A106" s="3"/>
    </row>
    <row r="107" spans="1:36">
      <c r="A107" s="8" t="s">
        <v>162</v>
      </c>
    </row>
    <row r="109" spans="1:36">
      <c r="A109" s="11" t="s">
        <v>161</v>
      </c>
    </row>
    <row r="110" spans="1:36">
      <c r="A110" s="4" t="s">
        <v>154</v>
      </c>
    </row>
    <row r="111" spans="1:36">
      <c r="A111" s="4" t="s">
        <v>155</v>
      </c>
    </row>
    <row r="112" spans="1:36">
      <c r="A112" s="4" t="s">
        <v>156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6"/>
  <sheetViews>
    <sheetView workbookViewId="0">
      <pane xSplit="1" ySplit="1" topLeftCell="B2" activePane="bottomRight" state="frozen"/>
      <selection pane="topRight" activeCell="B1" sqref="B1"/>
      <selection pane="bottomLeft" activeCell="A2" sqref="A2"/>
      <selection pane="bottomRight" activeCell="B25" sqref="B25"/>
    </sheetView>
  </sheetViews>
  <sheetFormatPr baseColWidth="10" defaultColWidth="8.83203125" defaultRowHeight="14" x14ac:dyDescent="0"/>
  <cols>
    <col min="1" max="1" width="71.33203125" customWidth="1"/>
    <col min="2" max="2" width="10.6640625" bestFit="1" customWidth="1"/>
    <col min="36" max="36" width="11.33203125" customWidth="1"/>
    <col min="37" max="37" width="10.83203125" customWidth="1"/>
  </cols>
  <sheetData>
    <row r="1" spans="1:37">
      <c r="A1" s="12" t="s">
        <v>243</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row>
    <row r="3" spans="1:37">
      <c r="A3" s="1" t="s">
        <v>0</v>
      </c>
      <c r="B3">
        <f>SUMIFS('Federal Data'!M2:M501,'Federal Data'!$C2:$C501,"Revenue")</f>
        <v>518946872</v>
      </c>
      <c r="C3">
        <f>SUMIFS('Federal Data'!N2:N501,'Federal Data'!$C2:$C501,"Revenue")</f>
        <v>607188009</v>
      </c>
      <c r="D3">
        <f>SUMIFS('Federal Data'!O2:O501,'Federal Data'!$C2:$C501,"Revenue")</f>
        <v>621882747</v>
      </c>
      <c r="E3">
        <f>SUMIFS('Federal Data'!P2:P501,'Federal Data'!$C2:$C501,"Revenue")</f>
        <v>609704629</v>
      </c>
      <c r="F3">
        <f>SUMIFS('Federal Data'!Q2:Q501,'Federal Data'!$C2:$C501,"Revenue")</f>
        <v>672070418</v>
      </c>
      <c r="G3">
        <f>SUMIFS('Federal Data'!R2:R501,'Federal Data'!$C2:$C501,"Revenue")</f>
        <v>739119402</v>
      </c>
      <c r="H3">
        <f>SUMIFS('Federal Data'!S2:S501,'Federal Data'!$C2:$C501,"Revenue")</f>
        <v>773882284</v>
      </c>
      <c r="I3">
        <f>SUMIFS('Federal Data'!T2:T501,'Federal Data'!$C2:$C501,"Revenue")</f>
        <v>860753770</v>
      </c>
      <c r="J3">
        <f>SUMIFS('Federal Data'!U2:U501,'Federal Data'!$C2:$C501,"Revenue")</f>
        <v>914218578</v>
      </c>
      <c r="K3">
        <f>SUMIFS('Federal Data'!V2:V501,'Federal Data'!$C2:$C501,"Revenue")</f>
        <v>996174324</v>
      </c>
      <c r="L3">
        <f>SUMIFS('Federal Data'!W2:W501,'Federal Data'!$C2:$C501,"Revenue")</f>
        <v>1037870377</v>
      </c>
      <c r="M3">
        <f>SUMIFS('Federal Data'!X2:X501,'Federal Data'!$C2:$C501,"Revenue")</f>
        <v>1061436469</v>
      </c>
      <c r="N3">
        <f>SUMIFS('Federal Data'!Y2:Y501,'Federal Data'!$C2:$C501,"Revenue")</f>
        <v>1097640045</v>
      </c>
      <c r="O3">
        <f>SUMIFS('Federal Data'!Z2:Z501,'Federal Data'!$C2:$C501,"Revenue")</f>
        <v>1161648845</v>
      </c>
      <c r="P3">
        <f>SUMIFS('Federal Data'!AA2:AA501,'Federal Data'!$C2:$C501,"Revenue")</f>
        <v>1266104830</v>
      </c>
      <c r="Q3">
        <f>SUMIFS('Federal Data'!AB2:AB501,'Federal Data'!$C2:$C501,"Revenue")</f>
        <v>1366490000</v>
      </c>
      <c r="R3">
        <f>SUMIFS('Federal Data'!AC2:AC501,'Federal Data'!$C2:$C501,"Revenue")</f>
        <v>1461543000</v>
      </c>
      <c r="S3">
        <f>SUMIFS('Federal Data'!AD2:AD501,'Federal Data'!$C2:$C501,"Revenue")</f>
        <v>1599711000</v>
      </c>
      <c r="T3">
        <f>SUMIFS('Federal Data'!AE2:AE501,'Federal Data'!$C2:$C501,"Revenue")</f>
        <v>1739427000</v>
      </c>
      <c r="U3">
        <f>SUMIFS('Federal Data'!AF2:AF501,'Federal Data'!$C2:$C501,"Revenue")</f>
        <v>1837859000</v>
      </c>
      <c r="V3">
        <f>SUMIFS('Federal Data'!AG2:AG501,'Federal Data'!$C2:$C501,"Revenue")</f>
        <v>2035813000</v>
      </c>
      <c r="W3">
        <f>SUMIFS('Federal Data'!AH2:AH501,'Federal Data'!$C2:$C501,"Revenue")</f>
        <v>2005622000</v>
      </c>
      <c r="X3">
        <f>SUMIFS('Federal Data'!AI2:AI501,'Federal Data'!$C2:$C501,"Revenue")</f>
        <v>1865806000</v>
      </c>
      <c r="Y3">
        <f>SUMIFS('Federal Data'!AJ2:AJ501,'Federal Data'!$C2:$C501,"Revenue")</f>
        <v>1795989000</v>
      </c>
      <c r="Z3">
        <f>SUMIFS('Federal Data'!AK2:AK501,'Federal Data'!$C2:$C501,"Revenue")</f>
        <v>1895221000</v>
      </c>
      <c r="AA3">
        <f>SUMIFS('Federal Data'!AL2:AL501,'Federal Data'!$C2:$C501,"Revenue")</f>
        <v>2170474000</v>
      </c>
      <c r="AB3">
        <f>SUMIFS('Federal Data'!AM2:AM501,'Federal Data'!$C2:$C501,"Revenue")</f>
        <v>2425762000</v>
      </c>
      <c r="AC3">
        <f>SUMIFS('Federal Data'!AN2:AN501,'Federal Data'!$C2:$C501,"Revenue")</f>
        <v>2600783000</v>
      </c>
      <c r="AD3">
        <f>SUMIFS('Federal Data'!AO2:AO501,'Federal Data'!$C2:$C501,"Revenue")</f>
        <v>2557455000</v>
      </c>
      <c r="AE3">
        <f>SUMIFS('Federal Data'!AP2:AP501,'Federal Data'!$C2:$C501,"Revenue")</f>
        <v>2142059000</v>
      </c>
      <c r="AF3">
        <f>SUMIFS('Federal Data'!AQ2:AQ501,'Federal Data'!$C2:$C501,"Revenue")</f>
        <v>2183895000</v>
      </c>
      <c r="AG3">
        <f>SUMIFS('Federal Data'!AR2:AR501,'Federal Data'!$C2:$C501,"Revenue")</f>
        <v>2328751000</v>
      </c>
      <c r="AH3">
        <f>SUMIFS('Federal Data'!AS2:AS501,'Federal Data'!$C2:$C501,"Revenue")</f>
        <v>2486917000</v>
      </c>
      <c r="AI3">
        <f>SUMIFS('Federal Data'!AT2:AT501,'Federal Data'!$C2:$C501,"Revenue")</f>
        <v>2804500000</v>
      </c>
      <c r="AJ3">
        <f>SUMIFS('Federal Data'!AU2:AU501,'Federal Data'!$C2:$C501,"Revenue")</f>
        <v>3047497000</v>
      </c>
      <c r="AK3">
        <f>SUMIFS('Federal Data'!AV2:AV501,'Federal Data'!$C2:$C501,"Revenue")</f>
        <v>3301773000</v>
      </c>
    </row>
    <row r="4" spans="1:37">
      <c r="A4" s="2" t="s">
        <v>1</v>
      </c>
      <c r="B4">
        <f>SUMIFS('Federal Data'!M2:M501,'Federal Data'!$E2:$E501,"Tax Revenues")</f>
        <v>502098232</v>
      </c>
      <c r="C4">
        <f>SUMIFS('Federal Data'!N2:N501,'Federal Data'!$E2:$E501,"Tax Revenues")</f>
        <v>583260450</v>
      </c>
      <c r="D4">
        <f>SUMIFS('Federal Data'!O2:O501,'Federal Data'!$E2:$E501,"Tax Revenues")</f>
        <v>599471949</v>
      </c>
      <c r="E4">
        <f>SUMIFS('Federal Data'!P2:P501,'Federal Data'!$E2:$E501,"Tax Revenues")</f>
        <v>583612463</v>
      </c>
      <c r="F4">
        <f>SUMIFS('Federal Data'!Q2:Q501,'Federal Data'!$E2:$E501,"Tax Revenues")</f>
        <v>648581471</v>
      </c>
      <c r="G4">
        <f>SUMIFS('Federal Data'!R2:R501,'Federal Data'!$E2:$E501,"Tax Revenues")</f>
        <v>715373012</v>
      </c>
      <c r="H4">
        <f>SUMIFS('Federal Data'!S2:S501,'Federal Data'!$E2:$E501,"Tax Revenues")</f>
        <v>749499559</v>
      </c>
      <c r="I4">
        <f>SUMIFS('Federal Data'!T2:T501,'Federal Data'!$E2:$E501,"Tax Revenues")</f>
        <v>835781635</v>
      </c>
      <c r="J4">
        <f>SUMIFS('Federal Data'!U2:U501,'Federal Data'!$E2:$E501,"Tax Revenues")</f>
        <v>890962612</v>
      </c>
      <c r="K4">
        <f>SUMIFS('Federal Data'!V2:V501,'Federal Data'!$E2:$E501,"Tax Revenues")</f>
        <v>970633720</v>
      </c>
      <c r="L4">
        <f>SUMIFS('Federal Data'!W2:W501,'Federal Data'!$E2:$E501,"Tax Revenues")</f>
        <v>1007664832</v>
      </c>
      <c r="M4">
        <f>SUMIFS('Federal Data'!X2:X501,'Federal Data'!$E2:$E501,"Tax Revenues")</f>
        <v>1035658309</v>
      </c>
      <c r="N4">
        <f>SUMIFS('Federal Data'!Y2:Y501,'Federal Data'!$E2:$E501,"Tax Revenues")</f>
        <v>1068875036</v>
      </c>
      <c r="O4">
        <f>SUMIFS('Federal Data'!Z2:Z501,'Federal Data'!$E2:$E501,"Tax Revenues")</f>
        <v>1140461850</v>
      </c>
      <c r="P4">
        <f>SUMIFS('Federal Data'!AA2:AA501,'Federal Data'!$E2:$E501,"Tax Revenues")</f>
        <v>1241053248</v>
      </c>
      <c r="Q4">
        <f>SUMIFS('Federal Data'!AB2:AB501,'Federal Data'!$E2:$E501,"Tax Revenues")</f>
        <v>1328962000</v>
      </c>
      <c r="R4">
        <f>SUMIFS('Federal Data'!AC2:AC501,'Federal Data'!$E2:$E501,"Tax Revenues")</f>
        <v>1432989000</v>
      </c>
      <c r="S4">
        <f>SUMIFS('Federal Data'!AD2:AD501,'Federal Data'!$E2:$E501,"Tax Revenues")</f>
        <v>1559731000</v>
      </c>
      <c r="T4">
        <f>SUMIFS('Federal Data'!AE2:AE501,'Federal Data'!$E2:$E501,"Tax Revenues")</f>
        <v>1697388000</v>
      </c>
      <c r="U4">
        <f>SUMIFS('Federal Data'!AF2:AF501,'Federal Data'!$E2:$E501,"Tax Revenues")</f>
        <v>1801929000</v>
      </c>
      <c r="V4">
        <f>SUMIFS('Federal Data'!AG2:AG501,'Federal Data'!$E2:$E501,"Tax Revenues")</f>
        <v>1992921000</v>
      </c>
      <c r="W4">
        <f>SUMIFS('Federal Data'!AH2:AH501,'Federal Data'!$E2:$E501,"Tax Revenues")</f>
        <v>1965080000</v>
      </c>
      <c r="X4">
        <f>SUMIFS('Federal Data'!AI2:AI501,'Federal Data'!$E2:$E501,"Tax Revenues")</f>
        <v>1832397000</v>
      </c>
      <c r="Y4">
        <f>SUMIFS('Federal Data'!AJ2:AJ501,'Federal Data'!$E2:$E501,"Tax Revenues")</f>
        <v>1762244000</v>
      </c>
      <c r="Z4">
        <f>SUMIFS('Federal Data'!AK2:AK501,'Federal Data'!$E2:$E501,"Tax Revenues")</f>
        <v>1864142000</v>
      </c>
      <c r="AA4">
        <f>SUMIFS('Federal Data'!AL2:AL501,'Federal Data'!$E2:$E501,"Tax Revenues")</f>
        <v>2138765000</v>
      </c>
      <c r="AB4">
        <f>SUMIFS('Federal Data'!AM2:AM501,'Federal Data'!$E2:$E501,"Tax Revenues")</f>
        <v>2381513000</v>
      </c>
      <c r="AC4">
        <f>SUMIFS('Federal Data'!AN2:AN501,'Federal Data'!$E2:$E501,"Tax Revenues")</f>
        <v>2540386000</v>
      </c>
      <c r="AD4">
        <f>SUMIFS('Federal Data'!AO2:AO501,'Federal Data'!$E2:$E501,"Tax Revenues")</f>
        <v>2495889000</v>
      </c>
      <c r="AE4">
        <f>SUMIFS('Federal Data'!AP2:AP501,'Federal Data'!$E2:$E501,"Tax Revenues")</f>
        <v>2076361000</v>
      </c>
      <c r="AF4">
        <f>SUMIFS('Federal Data'!AQ2:AQ501,'Federal Data'!$E2:$E501,"Tax Revenues")</f>
        <v>2091050000</v>
      </c>
      <c r="AG4">
        <f>SUMIFS('Federal Data'!AR2:AR501,'Federal Data'!$E2:$E501,"Tax Revenues")</f>
        <v>2225969000</v>
      </c>
      <c r="AH4">
        <f>SUMIFS('Federal Data'!AS2:AS501,'Federal Data'!$E2:$E501,"Tax Revenues")</f>
        <v>2370603000</v>
      </c>
      <c r="AI4">
        <f>SUMIFS('Federal Data'!AT2:AT501,'Federal Data'!$E2:$E501,"Tax Revenues")</f>
        <v>2700463000</v>
      </c>
      <c r="AJ4">
        <f>SUMIFS('Federal Data'!AU2:AU501,'Federal Data'!$E2:$E501,"Tax Revenues")</f>
        <v>2912615000</v>
      </c>
      <c r="AK4">
        <f>SUMIFS('Federal Data'!AV2:AV501,'Federal Data'!$E2:$E501,"Tax Revenues")</f>
        <v>3129258000</v>
      </c>
    </row>
    <row r="5" spans="1:37">
      <c r="A5" s="3" t="s">
        <v>3</v>
      </c>
      <c r="B5">
        <f>SUMIFS('Federal Data'!M2:M501,'Federal Data'!$F2:$F501,"Individual Income Taxes")</f>
        <v>244068898</v>
      </c>
      <c r="C5">
        <f>SUMIFS('Federal Data'!N2:N501,'Federal Data'!$F2:$F501,"Individual Income Taxes")</f>
        <v>285917100</v>
      </c>
      <c r="D5">
        <f>SUMIFS('Federal Data'!O2:O501,'Federal Data'!$F2:$F501,"Individual Income Taxes")</f>
        <v>297744492</v>
      </c>
      <c r="E5">
        <f>SUMIFS('Federal Data'!P2:P501,'Federal Data'!$F2:$F501,"Individual Income Taxes")</f>
        <v>288937814</v>
      </c>
      <c r="F5">
        <f>SUMIFS('Federal Data'!Q2:Q501,'Federal Data'!$F2:$F501,"Individual Income Taxes")</f>
        <v>298415430</v>
      </c>
      <c r="G5">
        <f>SUMIFS('Federal Data'!R2:R501,'Federal Data'!$F2:$F501,"Individual Income Taxes")</f>
        <v>334531018</v>
      </c>
      <c r="H5">
        <f>SUMIFS('Federal Data'!S2:S501,'Federal Data'!$F2:$F501,"Individual Income Taxes")</f>
        <v>348959411</v>
      </c>
      <c r="I5">
        <f>SUMIFS('Federal Data'!T2:T501,'Federal Data'!$F2:$F501,"Individual Income Taxes")</f>
        <v>392557016</v>
      </c>
      <c r="J5">
        <f>SUMIFS('Federal Data'!U2:U501,'Federal Data'!$F2:$F501,"Individual Income Taxes")</f>
        <v>401181069</v>
      </c>
      <c r="K5">
        <f>SUMIFS('Federal Data'!V2:V501,'Federal Data'!$F2:$F501,"Individual Income Taxes")</f>
        <v>445690230</v>
      </c>
      <c r="L5">
        <f>SUMIFS('Federal Data'!W2:W501,'Federal Data'!$F2:$F501,"Individual Income Taxes")</f>
        <v>466884287</v>
      </c>
      <c r="M5">
        <f>SUMIFS('Federal Data'!X2:X501,'Federal Data'!$F2:$F501,"Individual Income Taxes")</f>
        <v>467827443</v>
      </c>
      <c r="N5">
        <f>SUMIFS('Federal Data'!Y2:Y501,'Federal Data'!$F2:$F501,"Individual Income Taxes")</f>
        <v>475963502</v>
      </c>
      <c r="O5">
        <f>SUMIFS('Federal Data'!Z2:Z501,'Federal Data'!$F2:$F501,"Individual Income Taxes")</f>
        <v>509680116</v>
      </c>
      <c r="P5">
        <f>SUMIFS('Federal Data'!AA2:AA501,'Federal Data'!$F2:$F501,"Individual Income Taxes")</f>
        <v>543054752</v>
      </c>
      <c r="Q5">
        <f>SUMIFS('Federal Data'!AB2:AB501,'Federal Data'!$F2:$F501,"Individual Income Taxes")</f>
        <v>590244000</v>
      </c>
      <c r="R5">
        <f>SUMIFS('Federal Data'!AC2:AC501,'Federal Data'!$F2:$F501,"Individual Income Taxes")</f>
        <v>656417000</v>
      </c>
      <c r="S5">
        <f>SUMIFS('Federal Data'!AD2:AD501,'Federal Data'!$F2:$F501,"Individual Income Taxes")</f>
        <v>737466000</v>
      </c>
      <c r="T5">
        <f>SUMIFS('Federal Data'!AE2:AE501,'Federal Data'!$F2:$F501,"Individual Income Taxes")</f>
        <v>828586000</v>
      </c>
      <c r="U5">
        <f>SUMIFS('Federal Data'!AF2:AF501,'Federal Data'!$F2:$F501,"Individual Income Taxes")</f>
        <v>879480000</v>
      </c>
      <c r="V5">
        <f>SUMIFS('Federal Data'!AG2:AG501,'Federal Data'!$F2:$F501,"Individual Income Taxes")</f>
        <v>1004462000</v>
      </c>
      <c r="W5">
        <f>SUMIFS('Federal Data'!AH2:AH501,'Federal Data'!$F2:$F501,"Individual Income Taxes")</f>
        <v>994339000</v>
      </c>
      <c r="X5">
        <f>SUMIFS('Federal Data'!AI2:AI501,'Federal Data'!$F2:$F501,"Individual Income Taxes")</f>
        <v>858345000</v>
      </c>
      <c r="Y5">
        <f>SUMIFS('Federal Data'!AJ2:AJ501,'Federal Data'!$F2:$F501,"Individual Income Taxes")</f>
        <v>793699000</v>
      </c>
      <c r="Z5">
        <f>SUMIFS('Federal Data'!AK2:AK501,'Federal Data'!$F2:$F501,"Individual Income Taxes")</f>
        <v>808959000</v>
      </c>
      <c r="AA5">
        <f>SUMIFS('Federal Data'!AL2:AL501,'Federal Data'!$F2:$F501,"Individual Income Taxes")</f>
        <v>927222000</v>
      </c>
      <c r="AB5">
        <f>SUMIFS('Federal Data'!AM2:AM501,'Federal Data'!$F2:$F501,"Individual Income Taxes")</f>
        <v>1043908000</v>
      </c>
      <c r="AC5">
        <f>SUMIFS('Federal Data'!AN2:AN501,'Federal Data'!$F2:$F501,"Individual Income Taxes")</f>
        <v>1163472000</v>
      </c>
      <c r="AD5">
        <f>SUMIFS('Federal Data'!AO2:AO501,'Federal Data'!$F2:$F501,"Individual Income Taxes")</f>
        <v>1145747000</v>
      </c>
      <c r="AE5">
        <f>SUMIFS('Federal Data'!AP2:AP501,'Federal Data'!$F2:$F501,"Individual Income Taxes")</f>
        <v>915308000</v>
      </c>
      <c r="AF5">
        <f>SUMIFS('Federal Data'!AQ2:AQ501,'Federal Data'!$F2:$F501,"Individual Income Taxes")</f>
        <v>898549000</v>
      </c>
      <c r="AG5">
        <f>SUMIFS('Federal Data'!AR2:AR501,'Federal Data'!$F2:$F501,"Individual Income Taxes")</f>
        <v>1091473000</v>
      </c>
      <c r="AH5">
        <f>SUMIFS('Federal Data'!AS2:AS501,'Federal Data'!$F2:$F501,"Individual Income Taxes")</f>
        <v>1132206000</v>
      </c>
      <c r="AI5">
        <f>SUMIFS('Federal Data'!AT2:AT501,'Federal Data'!$F2:$F501,"Individual Income Taxes")</f>
        <v>1316405000</v>
      </c>
      <c r="AJ5">
        <f>SUMIFS('Federal Data'!AU2:AU501,'Federal Data'!$F2:$F501,"Individual Income Taxes")</f>
        <v>1394568000</v>
      </c>
      <c r="AK5">
        <f>SUMIFS('Federal Data'!AV2:AV501,'Federal Data'!$F2:$F501,"Individual Income Taxes")</f>
        <v>1540802000</v>
      </c>
    </row>
    <row r="6" spans="1:37">
      <c r="A6" s="4" t="s">
        <v>271</v>
      </c>
      <c r="B6" s="15">
        <v>12106000</v>
      </c>
      <c r="C6" s="15">
        <v>12655500</v>
      </c>
      <c r="D6" s="15">
        <v>12876000</v>
      </c>
      <c r="E6" s="15">
        <v>15800000</v>
      </c>
      <c r="F6" s="15">
        <v>20076500</v>
      </c>
      <c r="G6" s="15">
        <v>23956500</v>
      </c>
      <c r="H6" s="15">
        <v>39687000</v>
      </c>
      <c r="I6" s="15">
        <v>43314000</v>
      </c>
      <c r="J6" s="15">
        <v>36290000</v>
      </c>
      <c r="K6" s="15">
        <v>37062000</v>
      </c>
      <c r="L6" s="15">
        <v>31543500</v>
      </c>
      <c r="M6" s="15">
        <v>26366000</v>
      </c>
      <c r="N6" s="15">
        <v>26943000</v>
      </c>
      <c r="O6" s="15">
        <v>32547500</v>
      </c>
      <c r="P6" s="15">
        <v>36177500</v>
      </c>
      <c r="Q6" s="15">
        <v>40248500</v>
      </c>
      <c r="R6" s="15">
        <v>55325000</v>
      </c>
      <c r="S6" s="15">
        <v>72850500</v>
      </c>
      <c r="T6" s="15">
        <v>84187000</v>
      </c>
      <c r="U6" s="15">
        <v>100445000</v>
      </c>
      <c r="V6" s="15">
        <v>119559000</v>
      </c>
      <c r="W6" s="15">
        <v>96482500</v>
      </c>
      <c r="X6" s="15">
        <v>57395000</v>
      </c>
      <c r="Y6" s="15">
        <v>50231000</v>
      </c>
      <c r="Z6" s="15">
        <v>62276500</v>
      </c>
      <c r="AA6" s="15">
        <v>87693500</v>
      </c>
      <c r="AB6" s="15">
        <v>109983500</v>
      </c>
      <c r="AC6" s="15">
        <v>127467000</v>
      </c>
      <c r="AD6" s="15">
        <v>102966000</v>
      </c>
      <c r="AE6" s="15">
        <v>52738500</v>
      </c>
      <c r="AF6" s="15">
        <v>45851500</v>
      </c>
      <c r="AG6" s="15">
        <v>55849500</v>
      </c>
      <c r="AH6" s="15">
        <v>73930000</v>
      </c>
      <c r="AI6" s="15">
        <v>94988000</v>
      </c>
      <c r="AJ6" s="15">
        <v>118962500</v>
      </c>
      <c r="AK6" s="15">
        <v>118962501</v>
      </c>
    </row>
    <row r="7" spans="1:37">
      <c r="A7" s="3" t="s">
        <v>6</v>
      </c>
      <c r="B7">
        <f>SUMIFS('Federal Data'!M2:M501,'Federal Data'!$F2:$F501,"Payroll Taxes")</f>
        <v>155537189</v>
      </c>
      <c r="C7">
        <f>SUMIFS('Federal Data'!N2:N501,'Federal Data'!$F2:$F501,"Payroll Taxes")</f>
        <v>180497726</v>
      </c>
      <c r="D7">
        <f>SUMIFS('Federal Data'!O2:O501,'Federal Data'!$F2:$F501,"Payroll Taxes")</f>
        <v>199365036</v>
      </c>
      <c r="E7">
        <f>SUMIFS('Federal Data'!P2:P501,'Federal Data'!$F2:$F501,"Payroll Taxes")</f>
        <v>207644920</v>
      </c>
      <c r="F7">
        <f>SUMIFS('Federal Data'!Q2:Q501,'Federal Data'!$F2:$F501,"Payroll Taxes")</f>
        <v>238314793</v>
      </c>
      <c r="G7">
        <f>SUMIFS('Federal Data'!R2:R501,'Federal Data'!$F2:$F501,"Payroll Taxes")</f>
        <v>264703685</v>
      </c>
      <c r="H7">
        <f>SUMIFS('Federal Data'!S2:S501,'Federal Data'!$F2:$F501,"Payroll Taxes")</f>
        <v>283912398</v>
      </c>
      <c r="I7">
        <f>SUMIFS('Federal Data'!T2:T501,'Federal Data'!$F2:$F501,"Payroll Taxes")</f>
        <v>303887951</v>
      </c>
      <c r="J7">
        <f>SUMIFS('Federal Data'!U2:U501,'Federal Data'!$F2:$F501,"Payroll Taxes")</f>
        <v>335768060</v>
      </c>
      <c r="K7">
        <f>SUMIFS('Federal Data'!V2:V501,'Federal Data'!$F2:$F501,"Payroll Taxes")</f>
        <v>361556549</v>
      </c>
      <c r="L7">
        <f>SUMIFS('Federal Data'!W2:W501,'Federal Data'!$F2:$F501,"Payroll Taxes")</f>
        <v>382955992</v>
      </c>
      <c r="M7">
        <f>SUMIFS('Federal Data'!X2:X501,'Federal Data'!$F2:$F501,"Payroll Taxes")</f>
        <v>399313772</v>
      </c>
      <c r="N7">
        <f>SUMIFS('Federal Data'!Y2:Y501,'Federal Data'!$F2:$F501,"Payroll Taxes")</f>
        <v>417621876</v>
      </c>
      <c r="O7">
        <f>SUMIFS('Federal Data'!Z2:Z501,'Federal Data'!$F2:$F501,"Payroll Taxes")</f>
        <v>432829147</v>
      </c>
      <c r="P7">
        <f>SUMIFS('Federal Data'!AA2:AA501,'Federal Data'!$F2:$F501,"Payroll Taxes")</f>
        <v>466012437</v>
      </c>
      <c r="Q7">
        <f>SUMIFS('Federal Data'!AB2:AB501,'Federal Data'!$F2:$F501,"Payroll Taxes")</f>
        <v>489111000</v>
      </c>
      <c r="R7">
        <f>SUMIFS('Federal Data'!AC2:AC501,'Federal Data'!$F2:$F501,"Payroll Taxes")</f>
        <v>513821000</v>
      </c>
      <c r="S7">
        <f>SUMIFS('Federal Data'!AD2:AD501,'Federal Data'!$F2:$F501,"Payroll Taxes")</f>
        <v>544133000</v>
      </c>
      <c r="T7">
        <f>SUMIFS('Federal Data'!AE2:AE501,'Federal Data'!$F2:$F501,"Payroll Taxes")</f>
        <v>577208000</v>
      </c>
      <c r="U7">
        <f>SUMIFS('Federal Data'!AF2:AF501,'Federal Data'!$F2:$F501,"Payroll Taxes")</f>
        <v>617389000</v>
      </c>
      <c r="V7">
        <f>SUMIFS('Federal Data'!AG2:AG501,'Federal Data'!$F2:$F501,"Payroll Taxes")</f>
        <v>658744000</v>
      </c>
      <c r="W7">
        <f>SUMIFS('Federal Data'!AH2:AH501,'Federal Data'!$F2:$F501,"Payroll Taxes")</f>
        <v>700289000</v>
      </c>
      <c r="X7">
        <f>SUMIFS('Federal Data'!AI2:AI501,'Federal Data'!$F2:$F501,"Payroll Taxes")</f>
        <v>708405000</v>
      </c>
      <c r="Y7">
        <f>SUMIFS('Federal Data'!AJ2:AJ501,'Federal Data'!$F2:$F501,"Payroll Taxes")</f>
        <v>721624000</v>
      </c>
      <c r="Z7">
        <f>SUMIFS('Federal Data'!AK2:AK501,'Federal Data'!$F2:$F501,"Payroll Taxes")</f>
        <v>743408000</v>
      </c>
      <c r="AA7">
        <f>SUMIFS('Federal Data'!AL2:AL501,'Federal Data'!$F2:$F501,"Payroll Taxes")</f>
        <v>804682000</v>
      </c>
      <c r="AB7">
        <f>SUMIFS('Federal Data'!AM2:AM501,'Federal Data'!$F2:$F501,"Payroll Taxes")</f>
        <v>849320000</v>
      </c>
      <c r="AC7">
        <f>SUMIFS('Federal Data'!AN2:AN501,'Federal Data'!$F2:$F501,"Payroll Taxes")</f>
        <v>881942000</v>
      </c>
      <c r="AD7">
        <f>SUMIFS('Federal Data'!AO2:AO501,'Federal Data'!$F2:$F501,"Payroll Taxes")</f>
        <v>913555000</v>
      </c>
      <c r="AE7">
        <f>SUMIFS('Federal Data'!AP2:AP501,'Federal Data'!$F2:$F501,"Payroll Taxes")</f>
        <v>906005000</v>
      </c>
      <c r="AF7">
        <f>SUMIFS('Federal Data'!AQ2:AQ501,'Federal Data'!$F2:$F501,"Payroll Taxes")</f>
        <v>880923000</v>
      </c>
      <c r="AG7">
        <f>SUMIFS('Federal Data'!AR2:AR501,'Federal Data'!$F2:$F501,"Payroll Taxes")</f>
        <v>835290000</v>
      </c>
      <c r="AH7">
        <f>SUMIFS('Federal Data'!AS2:AS501,'Federal Data'!$F2:$F501,"Payroll Taxes")</f>
        <v>862646000</v>
      </c>
      <c r="AI7">
        <f>SUMIFS('Federal Data'!AT2:AT501,'Federal Data'!$F2:$F501,"Payroll Taxes")</f>
        <v>965755000</v>
      </c>
      <c r="AJ7">
        <f>SUMIFS('Federal Data'!AU2:AU501,'Federal Data'!$F2:$F501,"Payroll Taxes")</f>
        <v>1040773000</v>
      </c>
      <c r="AK7">
        <f>SUMIFS('Federal Data'!AV2:AV501,'Federal Data'!$F2:$F501,"Payroll Taxes")</f>
        <v>1082461000</v>
      </c>
    </row>
    <row r="8" spans="1:37">
      <c r="A8" s="4" t="s">
        <v>54</v>
      </c>
      <c r="B8">
        <f>SUMIFS('Federal Data'!M2:M501,'Federal Data'!$G2:$G501,"Social Security Taxes")</f>
        <v>114412955</v>
      </c>
      <c r="C8">
        <f>SUMIFS('Federal Data'!N2:N501,'Federal Data'!$G2:$G501,"Social Security Taxes")</f>
        <v>131605620</v>
      </c>
      <c r="D8">
        <f>SUMIFS('Federal Data'!O2:O501,'Federal Data'!$G2:$G501,"Social Security Taxes")</f>
        <v>145112894</v>
      </c>
      <c r="E8">
        <f>SUMIFS('Federal Data'!P2:P501,'Federal Data'!$G2:$G501,"Social Security Taxes")</f>
        <v>149098287</v>
      </c>
      <c r="F8">
        <f>SUMIFS('Federal Data'!Q2:Q501,'Federal Data'!$G2:$G501,"Social Security Taxes")</f>
        <v>168118948</v>
      </c>
      <c r="G8">
        <f>SUMIFS('Federal Data'!R2:R501,'Federal Data'!$G2:$G501,"Social Security Taxes")</f>
        <v>188679481</v>
      </c>
      <c r="H8">
        <f>SUMIFS('Federal Data'!S2:S501,'Federal Data'!$G2:$G501,"Social Security Taxes")</f>
        <v>203085310</v>
      </c>
      <c r="I8">
        <f>SUMIFS('Federal Data'!T2:T501,'Federal Data'!$G2:$G501,"Social Security Taxes")</f>
        <v>216701396</v>
      </c>
      <c r="J8">
        <f>SUMIFS('Federal Data'!U2:U501,'Federal Data'!$G2:$G501,"Social Security Taxes")</f>
        <v>245561890</v>
      </c>
      <c r="K8">
        <f>SUMIFS('Federal Data'!V2:V501,'Federal Data'!$G2:$G501,"Social Security Taxes")</f>
        <v>268188263</v>
      </c>
      <c r="L8">
        <f>SUMIFS('Federal Data'!W2:W501,'Federal Data'!$G2:$G501,"Social Security Taxes")</f>
        <v>286722389</v>
      </c>
      <c r="M8">
        <f>SUMIFS('Federal Data'!X2:X501,'Federal Data'!$G2:$G501,"Social Security Taxes")</f>
        <v>299295400</v>
      </c>
      <c r="N8">
        <f>SUMIFS('Federal Data'!Y2:Y501,'Federal Data'!$G2:$G501,"Social Security Taxes")</f>
        <v>308164762</v>
      </c>
      <c r="O8">
        <f>SUMIFS('Federal Data'!Z2:Z501,'Federal Data'!$G2:$G501,"Social Security Taxes")</f>
        <v>318009717</v>
      </c>
      <c r="P8">
        <f>SUMIFS('Federal Data'!AA2:AA501,'Federal Data'!$G2:$G501,"Social Security Taxes")</f>
        <v>341098090</v>
      </c>
      <c r="Q8">
        <f>SUMIFS('Federal Data'!AB2:AB501,'Federal Data'!$G2:$G501,"Social Security Taxes")</f>
        <v>357219000</v>
      </c>
      <c r="R8">
        <f>SUMIFS('Federal Data'!AC2:AC501,'Federal Data'!$G2:$G501,"Social Security Taxes")</f>
        <v>373460000</v>
      </c>
      <c r="S8">
        <f>SUMIFS('Federal Data'!AD2:AD501,'Federal Data'!$G2:$G501,"Social Security Taxes")</f>
        <v>398173000</v>
      </c>
      <c r="T8">
        <f>SUMIFS('Federal Data'!AE2:AE501,'Federal Data'!$G2:$G501,"Social Security Taxes")</f>
        <v>422569000</v>
      </c>
      <c r="U8">
        <f>SUMIFS('Federal Data'!AF2:AF501,'Federal Data'!$G2:$G501,"Social Security Taxes")</f>
        <v>451589000</v>
      </c>
      <c r="V8">
        <f>SUMIFS('Federal Data'!AG2:AG501,'Federal Data'!$G2:$G501,"Social Security Taxes")</f>
        <v>488212000</v>
      </c>
      <c r="W8">
        <f>SUMIFS('Federal Data'!AH2:AH501,'Federal Data'!$G2:$G501,"Social Security Taxes")</f>
        <v>515420000</v>
      </c>
      <c r="X8">
        <f>SUMIFS('Federal Data'!AI2:AI501,'Federal Data'!$G2:$G501,"Social Security Taxes")</f>
        <v>524199000</v>
      </c>
      <c r="Y8">
        <f>SUMIFS('Federal Data'!AJ2:AJ501,'Federal Data'!$G2:$G501,"Social Security Taxes")</f>
        <v>533444000</v>
      </c>
      <c r="Z8">
        <f>SUMIFS('Federal Data'!AK2:AK501,'Federal Data'!$G2:$G501,"Social Security Taxes")</f>
        <v>545346000</v>
      </c>
      <c r="AA8">
        <f>SUMIFS('Federal Data'!AL2:AL501,'Federal Data'!$G2:$G501,"Social Security Taxes")</f>
        <v>588417000</v>
      </c>
      <c r="AB8">
        <f>SUMIFS('Federal Data'!AM2:AM501,'Federal Data'!$G2:$G501,"Social Security Taxes")</f>
        <v>620007000</v>
      </c>
      <c r="AC8">
        <f>SUMIFS('Federal Data'!AN2:AN501,'Federal Data'!$G2:$G501,"Social Security Taxes")</f>
        <v>647388000</v>
      </c>
      <c r="AD8">
        <f>SUMIFS('Federal Data'!AO2:AO501,'Federal Data'!$G2:$G501,"Social Security Taxes")</f>
        <v>671183000</v>
      </c>
      <c r="AE8">
        <f>SUMIFS('Federal Data'!AP2:AP501,'Federal Data'!$G2:$G501,"Social Security Taxes")</f>
        <v>668235000</v>
      </c>
      <c r="AF8">
        <f>SUMIFS('Federal Data'!AQ2:AQ501,'Federal Data'!$G2:$G501,"Social Security Taxes")</f>
        <v>646623000</v>
      </c>
      <c r="AG8">
        <f>SUMIFS('Federal Data'!AR2:AR501,'Federal Data'!$G2:$G501,"Social Security Taxes")</f>
        <v>580887000</v>
      </c>
      <c r="AH8">
        <f>SUMIFS('Federal Data'!AS2:AS501,'Federal Data'!$G2:$G501,"Social Security Taxes")</f>
        <v>585093000</v>
      </c>
      <c r="AI8">
        <f>SUMIFS('Federal Data'!AT2:AT501,'Federal Data'!$G2:$G501,"Social Security Taxes")</f>
        <v>689442000</v>
      </c>
      <c r="AJ8">
        <f>SUMIFS('Federal Data'!AU2:AU501,'Federal Data'!$G2:$G501,"Social Security Taxes")</f>
        <v>751302000</v>
      </c>
      <c r="AK8">
        <f>SUMIFS('Federal Data'!AV2:AV501,'Federal Data'!$G2:$G501,"Social Security Taxes")</f>
        <v>786380000</v>
      </c>
    </row>
    <row r="9" spans="1:37">
      <c r="A9" s="5" t="s">
        <v>72</v>
      </c>
      <c r="B9">
        <f>SUMIFS('Federal Data'!M2:M501,'Federal Data'!$G2:$G501,"Social Security Taxes",'Federal Data'!$H2:$H501,"Retirement")</f>
        <v>97607697</v>
      </c>
      <c r="C9">
        <f>SUMIFS('Federal Data'!N2:N501,'Federal Data'!$G2:$G501,"Social Security Taxes",'Federal Data'!$H2:$H501,"Retirement")</f>
        <v>119016123</v>
      </c>
      <c r="D9">
        <f>SUMIFS('Federal Data'!O2:O501,'Federal Data'!$G2:$G501,"Social Security Taxes",'Federal Data'!$H2:$H501,"Retirement")</f>
        <v>124246445</v>
      </c>
      <c r="E9">
        <f>SUMIFS('Federal Data'!P2:P501,'Federal Data'!$G2:$G501,"Social Security Taxes",'Federal Data'!$H2:$H501,"Retirement")</f>
        <v>130506498</v>
      </c>
      <c r="F9">
        <f>SUMIFS('Federal Data'!Q2:Q501,'Federal Data'!$G2:$G501,"Social Security Taxes",'Federal Data'!$H2:$H501,"Retirement")</f>
        <v>152163541</v>
      </c>
      <c r="G9">
        <f>SUMIFS('Federal Data'!R2:R501,'Federal Data'!$G2:$G501,"Social Security Taxes",'Federal Data'!$H2:$H501,"Retirement")</f>
        <v>172110010</v>
      </c>
      <c r="H9">
        <f>SUMIFS('Federal Data'!S2:S501,'Federal Data'!$G2:$G501,"Social Security Taxes",'Federal Data'!$H2:$H501,"Retirement")</f>
        <v>185125526</v>
      </c>
      <c r="I9">
        <f>SUMIFS('Federal Data'!T2:T501,'Federal Data'!$G2:$G501,"Social Security Taxes",'Federal Data'!$H2:$H501,"Retirement")</f>
        <v>197552022</v>
      </c>
      <c r="J9">
        <f>SUMIFS('Federal Data'!U2:U501,'Federal Data'!$G2:$G501,"Social Security Taxes",'Federal Data'!$H2:$H501,"Retirement")</f>
        <v>224052691</v>
      </c>
      <c r="K9">
        <f>SUMIFS('Federal Data'!V2:V501,'Federal Data'!$G2:$G501,"Social Security Taxes",'Federal Data'!$H2:$H501,"Retirement")</f>
        <v>244721652</v>
      </c>
      <c r="L9">
        <f>SUMIFS('Federal Data'!W2:W501,'Federal Data'!$G2:$G501,"Social Security Taxes",'Federal Data'!$H2:$H501,"Retirement")</f>
        <v>259617763</v>
      </c>
      <c r="M9">
        <f>SUMIFS('Federal Data'!X2:X501,'Federal Data'!$G2:$G501,"Social Security Taxes",'Federal Data'!$H2:$H501,"Retirement")</f>
        <v>270388319</v>
      </c>
      <c r="N9">
        <f>SUMIFS('Federal Data'!Y2:Y501,'Federal Data'!$G2:$G501,"Social Security Taxes",'Federal Data'!$H2:$H501,"Retirement")</f>
        <v>278317434</v>
      </c>
      <c r="O9">
        <f>SUMIFS('Federal Data'!Z2:Z501,'Federal Data'!$G2:$G501,"Social Security Taxes",'Federal Data'!$H2:$H501,"Retirement")</f>
        <v>287224064</v>
      </c>
      <c r="P9">
        <f>SUMIFS('Federal Data'!AA2:AA501,'Federal Data'!$G2:$G501,"Social Security Taxes",'Federal Data'!$H2:$H501,"Retirement")</f>
        <v>308089951</v>
      </c>
      <c r="Q9">
        <f>SUMIFS('Federal Data'!AB2:AB501,'Federal Data'!$G2:$G501,"Social Security Taxes",'Federal Data'!$H2:$H501,"Retirement")</f>
        <v>289300000</v>
      </c>
      <c r="R9">
        <f>SUMIFS('Federal Data'!AC2:AC501,'Federal Data'!$G2:$G501,"Social Security Taxes",'Federal Data'!$H2:$H501,"Retirement")</f>
        <v>316932000</v>
      </c>
      <c r="S9">
        <f>SUMIFS('Federal Data'!AD2:AD501,'Federal Data'!$G2:$G501,"Social Security Taxes",'Federal Data'!$H2:$H501,"Retirement")</f>
        <v>342044000</v>
      </c>
      <c r="T9">
        <f>SUMIFS('Federal Data'!AE2:AE501,'Federal Data'!$G2:$G501,"Social Security Taxes",'Federal Data'!$H2:$H501,"Retirement")</f>
        <v>364627000</v>
      </c>
      <c r="U9">
        <f>SUMIFS('Federal Data'!AF2:AF501,'Federal Data'!$G2:$G501,"Social Security Taxes",'Federal Data'!$H2:$H501,"Retirement")</f>
        <v>389705000</v>
      </c>
      <c r="V9">
        <f>SUMIFS('Federal Data'!AG2:AG501,'Federal Data'!$G2:$G501,"Social Security Taxes",'Federal Data'!$H2:$H501,"Retirement")</f>
        <v>418212000</v>
      </c>
      <c r="W9">
        <f>SUMIFS('Federal Data'!AH2:AH501,'Federal Data'!$G2:$G501,"Social Security Taxes",'Federal Data'!$H2:$H501,"Retirement")</f>
        <v>440811000</v>
      </c>
      <c r="X9">
        <f>SUMIFS('Federal Data'!AI2:AI501,'Federal Data'!$G2:$G501,"Social Security Taxes",'Federal Data'!$H2:$H501,"Retirement")</f>
        <v>448132000</v>
      </c>
      <c r="Y9">
        <f>SUMIFS('Federal Data'!AJ2:AJ501,'Federal Data'!$G2:$G501,"Social Security Taxes",'Federal Data'!$H2:$H501,"Retirement")</f>
        <v>456013000</v>
      </c>
      <c r="Z9">
        <f>SUMIFS('Federal Data'!AK2:AK501,'Federal Data'!$G2:$G501,"Social Security Taxes",'Federal Data'!$H2:$H501,"Retirement")</f>
        <v>466181000</v>
      </c>
      <c r="AA9">
        <f>SUMIFS('Federal Data'!AL2:AL501,'Federal Data'!$G2:$G501,"Social Security Taxes",'Federal Data'!$H2:$H501,"Retirement")</f>
        <v>502998000</v>
      </c>
      <c r="AB9">
        <f>SUMIFS('Federal Data'!AM2:AM501,'Federal Data'!$G2:$G501,"Social Security Taxes",'Federal Data'!$H2:$H501,"Retirement")</f>
        <v>530006000</v>
      </c>
      <c r="AC9">
        <f>SUMIFS('Federal Data'!AN2:AN501,'Federal Data'!$G2:$G501,"Social Security Taxes",'Federal Data'!$H2:$H501,"Retirement")</f>
        <v>553415000</v>
      </c>
      <c r="AD9">
        <f>SUMIFS('Federal Data'!AO2:AO501,'Federal Data'!$G2:$G501,"Social Security Taxes",'Federal Data'!$H2:$H501,"Retirement")</f>
        <v>573750000</v>
      </c>
      <c r="AE9">
        <f>SUMIFS('Federal Data'!AP2:AP501,'Federal Data'!$G2:$G501,"Social Security Taxes",'Federal Data'!$H2:$H501,"Retirement")</f>
        <v>571228000</v>
      </c>
      <c r="AF9">
        <f>SUMIFS('Federal Data'!AQ2:AQ501,'Federal Data'!$G2:$G501,"Social Security Taxes",'Federal Data'!$H2:$H501,"Retirement")</f>
        <v>552761000</v>
      </c>
      <c r="AG9">
        <f>SUMIFS('Federal Data'!AR2:AR501,'Federal Data'!$G2:$G501,"Social Security Taxes",'Federal Data'!$H2:$H501,"Retirement")</f>
        <v>496591000</v>
      </c>
      <c r="AH9">
        <f>SUMIFS('Federal Data'!AS2:AS501,'Federal Data'!$G2:$G501,"Social Security Taxes",'Federal Data'!$H2:$H501,"Retirement")</f>
        <v>500114000</v>
      </c>
      <c r="AI9">
        <f>SUMIFS('Federal Data'!AT2:AT501,'Federal Data'!$G2:$G501,"Social Security Taxes",'Federal Data'!$H2:$H501,"Retirement")</f>
        <v>589375000</v>
      </c>
      <c r="AJ9">
        <f>SUMIFS('Federal Data'!AU2:AU501,'Federal Data'!$G2:$G501,"Social Security Taxes",'Federal Data'!$H2:$H501,"Retirement")</f>
        <v>642244000</v>
      </c>
      <c r="AK9">
        <f>SUMIFS('Federal Data'!AV2:AV501,'Federal Data'!$G2:$G501,"Social Security Taxes",'Federal Data'!$H2:$H501,"Retirement")</f>
        <v>672227000</v>
      </c>
    </row>
    <row r="10" spans="1:37">
      <c r="A10" s="5" t="s">
        <v>73</v>
      </c>
      <c r="B10">
        <f>SUMIFS('Federal Data'!M2:M501,'Federal Data'!$G2:$G501,"Social Security Taxes",'Federal Data'!$H2:$H501,"Disability")</f>
        <v>16805258</v>
      </c>
      <c r="C10">
        <f>SUMIFS('Federal Data'!N2:N501,'Federal Data'!$G2:$G501,"Social Security Taxes",'Federal Data'!$H2:$H501,"Disability")</f>
        <v>12589497</v>
      </c>
      <c r="D10">
        <f>SUMIFS('Federal Data'!O2:O501,'Federal Data'!$G2:$G501,"Social Security Taxes",'Federal Data'!$H2:$H501,"Disability")</f>
        <v>20866449</v>
      </c>
      <c r="E10">
        <f>SUMIFS('Federal Data'!P2:P501,'Federal Data'!$G2:$G501,"Social Security Taxes",'Federal Data'!$H2:$H501,"Disability")</f>
        <v>18591789</v>
      </c>
      <c r="F10">
        <f>SUMIFS('Federal Data'!Q2:Q501,'Federal Data'!$G2:$G501,"Social Security Taxes",'Federal Data'!$H2:$H501,"Disability")</f>
        <v>15955407</v>
      </c>
      <c r="G10">
        <f>SUMIFS('Federal Data'!R2:R501,'Federal Data'!$G2:$G501,"Social Security Taxes",'Federal Data'!$H2:$H501,"Disability")</f>
        <v>16569471</v>
      </c>
      <c r="H10">
        <f>SUMIFS('Federal Data'!S2:S501,'Federal Data'!$G2:$G501,"Social Security Taxes",'Federal Data'!$H2:$H501,"Disability")</f>
        <v>17959784</v>
      </c>
      <c r="I10">
        <f>SUMIFS('Federal Data'!T2:T501,'Federal Data'!$G2:$G501,"Social Security Taxes",'Federal Data'!$H2:$H501,"Disability")</f>
        <v>19149374</v>
      </c>
      <c r="J10">
        <f>SUMIFS('Federal Data'!U2:U501,'Federal Data'!$G2:$G501,"Social Security Taxes",'Federal Data'!$H2:$H501,"Disability")</f>
        <v>21509199</v>
      </c>
      <c r="K10">
        <f>SUMIFS('Federal Data'!V2:V501,'Federal Data'!$G2:$G501,"Social Security Taxes",'Federal Data'!$H2:$H501,"Disability")</f>
        <v>23466611</v>
      </c>
      <c r="L10">
        <f>SUMIFS('Federal Data'!W2:W501,'Federal Data'!$G2:$G501,"Social Security Taxes",'Federal Data'!$H2:$H501,"Disability")</f>
        <v>27104626</v>
      </c>
      <c r="M10">
        <f>SUMIFS('Federal Data'!X2:X501,'Federal Data'!$G2:$G501,"Social Security Taxes",'Federal Data'!$H2:$H501,"Disability")</f>
        <v>28907081</v>
      </c>
      <c r="N10">
        <f>SUMIFS('Federal Data'!Y2:Y501,'Federal Data'!$G2:$G501,"Social Security Taxes",'Federal Data'!$H2:$H501,"Disability")</f>
        <v>29847328</v>
      </c>
      <c r="O10">
        <f>SUMIFS('Federal Data'!Z2:Z501,'Federal Data'!$G2:$G501,"Social Security Taxes",'Federal Data'!$H2:$H501,"Disability")</f>
        <v>30785653</v>
      </c>
      <c r="P10">
        <f>SUMIFS('Federal Data'!AA2:AA501,'Federal Data'!$G2:$G501,"Social Security Taxes",'Federal Data'!$H2:$H501,"Disability")</f>
        <v>33008139</v>
      </c>
      <c r="Q10">
        <f>SUMIFS('Federal Data'!AB2:AB501,'Federal Data'!$G2:$G501,"Social Security Taxes",'Federal Data'!$H2:$H501,"Disability")</f>
        <v>67919000</v>
      </c>
      <c r="R10">
        <f>SUMIFS('Federal Data'!AC2:AC501,'Federal Data'!$G2:$G501,"Social Security Taxes",'Federal Data'!$H2:$H501,"Disability")</f>
        <v>56528000</v>
      </c>
      <c r="S10">
        <f>SUMIFS('Federal Data'!AD2:AD501,'Federal Data'!$G2:$G501,"Social Security Taxes",'Federal Data'!$H2:$H501,"Disability")</f>
        <v>56129000</v>
      </c>
      <c r="T10">
        <f>SUMIFS('Federal Data'!AE2:AE501,'Federal Data'!$G2:$G501,"Social Security Taxes",'Federal Data'!$H2:$H501,"Disability")</f>
        <v>57942000</v>
      </c>
      <c r="U10">
        <f>SUMIFS('Federal Data'!AF2:AF501,'Federal Data'!$G2:$G501,"Social Security Taxes",'Federal Data'!$H2:$H501,"Disability")</f>
        <v>61884000</v>
      </c>
      <c r="V10">
        <f>SUMIFS('Federal Data'!AG2:AG501,'Federal Data'!$G2:$G501,"Social Security Taxes",'Federal Data'!$H2:$H501,"Disability")</f>
        <v>70000000</v>
      </c>
      <c r="W10">
        <f>SUMIFS('Federal Data'!AH2:AH501,'Federal Data'!$G2:$G501,"Social Security Taxes",'Federal Data'!$H2:$H501,"Disability")</f>
        <v>74609000</v>
      </c>
      <c r="X10">
        <f>SUMIFS('Federal Data'!AI2:AI501,'Federal Data'!$G2:$G501,"Social Security Taxes",'Federal Data'!$H2:$H501,"Disability")</f>
        <v>76067000</v>
      </c>
      <c r="Y10">
        <f>SUMIFS('Federal Data'!AJ2:AJ501,'Federal Data'!$G2:$G501,"Social Security Taxes",'Federal Data'!$H2:$H501,"Disability")</f>
        <v>77431000</v>
      </c>
      <c r="Z10">
        <f>SUMIFS('Federal Data'!AK2:AK501,'Federal Data'!$G2:$G501,"Social Security Taxes",'Federal Data'!$H2:$H501,"Disability")</f>
        <v>79165000</v>
      </c>
      <c r="AA10">
        <f>SUMIFS('Federal Data'!AL2:AL501,'Federal Data'!$G2:$G501,"Social Security Taxes",'Federal Data'!$H2:$H501,"Disability")</f>
        <v>85419000</v>
      </c>
      <c r="AB10">
        <f>SUMIFS('Federal Data'!AM2:AM501,'Federal Data'!$G2:$G501,"Social Security Taxes",'Federal Data'!$H2:$H501,"Disability")</f>
        <v>90001000</v>
      </c>
      <c r="AC10">
        <f>SUMIFS('Federal Data'!AN2:AN501,'Federal Data'!$G2:$G501,"Social Security Taxes",'Federal Data'!$H2:$H501,"Disability")</f>
        <v>93973000</v>
      </c>
      <c r="AD10">
        <f>SUMIFS('Federal Data'!AO2:AO501,'Federal Data'!$G2:$G501,"Social Security Taxes",'Federal Data'!$H2:$H501,"Disability")</f>
        <v>97433000</v>
      </c>
      <c r="AE10">
        <f>SUMIFS('Federal Data'!AP2:AP501,'Federal Data'!$G2:$G501,"Social Security Taxes",'Federal Data'!$H2:$H501,"Disability")</f>
        <v>97007000</v>
      </c>
      <c r="AF10">
        <f>SUMIFS('Federal Data'!AQ2:AQ501,'Federal Data'!$G2:$G501,"Social Security Taxes",'Federal Data'!$H2:$H501,"Disability")</f>
        <v>93862000</v>
      </c>
      <c r="AG10">
        <f>SUMIFS('Federal Data'!AR2:AR501,'Federal Data'!$G2:$G501,"Social Security Taxes",'Federal Data'!$H2:$H501,"Disability")</f>
        <v>84296000</v>
      </c>
      <c r="AH10">
        <f>SUMIFS('Federal Data'!AS2:AS501,'Federal Data'!$G2:$G501,"Social Security Taxes",'Federal Data'!$H2:$H501,"Disability")</f>
        <v>84979000</v>
      </c>
      <c r="AI10">
        <f>SUMIFS('Federal Data'!AT2:AT501,'Federal Data'!$G2:$G501,"Social Security Taxes",'Federal Data'!$H2:$H501,"Disability")</f>
        <v>100067000</v>
      </c>
      <c r="AJ10">
        <f>SUMIFS('Federal Data'!AU2:AU501,'Federal Data'!$G2:$G501,"Social Security Taxes",'Federal Data'!$H2:$H501,"Disability")</f>
        <v>109058000</v>
      </c>
      <c r="AK10">
        <f>SUMIFS('Federal Data'!AV2:AV501,'Federal Data'!$G2:$G501,"Social Security Taxes",'Federal Data'!$H2:$H501,"Disability")</f>
        <v>114153000</v>
      </c>
    </row>
    <row r="11" spans="1:37">
      <c r="A11" s="4" t="s">
        <v>71</v>
      </c>
      <c r="B11">
        <f>SUMIFS('Federal Data'!M2:M501,'Federal Data'!$G2:$G501,"Railroad REtirement Taxes")</f>
        <v>2322877</v>
      </c>
      <c r="C11">
        <f>SUMIFS('Federal Data'!N2:N501,'Federal Data'!$G2:$G501,"Railroad REtirement Taxes")</f>
        <v>2457238</v>
      </c>
      <c r="D11">
        <f>SUMIFS('Federal Data'!O2:O501,'Federal Data'!$G2:$G501,"Railroad REtirement Taxes")</f>
        <v>2917475</v>
      </c>
      <c r="E11">
        <f>SUMIFS('Federal Data'!P2:P501,'Federal Data'!$G2:$G501,"Railroad REtirement Taxes")</f>
        <v>2804784</v>
      </c>
      <c r="F11">
        <f>SUMIFS('Federal Data'!Q2:Q501,'Federal Data'!$G2:$G501,"Railroad REtirement Taxes")</f>
        <v>3321050</v>
      </c>
      <c r="G11">
        <f>SUMIFS('Federal Data'!R2:R501,'Federal Data'!$G2:$G501,"Railroad REtirement Taxes")</f>
        <v>3604883</v>
      </c>
      <c r="H11">
        <f>SUMIFS('Federal Data'!S2:S501,'Federal Data'!$G2:$G501,"Railroad REtirement Taxes")</f>
        <v>3498038</v>
      </c>
      <c r="I11">
        <f>SUMIFS('Federal Data'!T2:T501,'Federal Data'!$G2:$G501,"Railroad REtirement Taxes")</f>
        <v>3633923</v>
      </c>
      <c r="J11">
        <f>SUMIFS('Federal Data'!U2:U501,'Federal Data'!$G2:$G501,"Railroad REtirement Taxes")</f>
        <v>3742809</v>
      </c>
      <c r="K11">
        <f>SUMIFS('Federal Data'!V2:V501,'Federal Data'!$G2:$G501,"Railroad REtirement Taxes")</f>
        <v>3797284</v>
      </c>
      <c r="L11">
        <f>SUMIFS('Federal Data'!W2:W501,'Federal Data'!$G2:$G501,"Railroad REtirement Taxes")</f>
        <v>3679227</v>
      </c>
      <c r="M11">
        <f>SUMIFS('Federal Data'!X2:X501,'Federal Data'!$G2:$G501,"Railroad REtirement Taxes")</f>
        <v>3798927</v>
      </c>
      <c r="N11">
        <f>SUMIFS('Federal Data'!Y2:Y501,'Federal Data'!$G2:$G501,"Railroad REtirement Taxes")</f>
        <v>3956741</v>
      </c>
      <c r="O11">
        <f>SUMIFS('Federal Data'!Z2:Z501,'Federal Data'!$G2:$G501,"Railroad REtirement Taxes")</f>
        <v>3781142</v>
      </c>
      <c r="P11">
        <f>SUMIFS('Federal Data'!AA2:AA501,'Federal Data'!$G2:$G501,"Railroad REtirement Taxes")</f>
        <v>3722269</v>
      </c>
      <c r="Q11">
        <f>SUMIFS('Federal Data'!AB2:AB501,'Federal Data'!$G2:$G501,"Railroad REtirement Taxes")</f>
        <v>3942000</v>
      </c>
      <c r="R11">
        <f>SUMIFS('Federal Data'!AC2:AC501,'Federal Data'!$G2:$G501,"Railroad REtirement Taxes")</f>
        <v>3872000</v>
      </c>
      <c r="S11">
        <f>SUMIFS('Federal Data'!AD2:AD501,'Federal Data'!$G2:$G501,"Railroad REtirement Taxes")</f>
        <v>4051000</v>
      </c>
      <c r="T11">
        <f>SUMIFS('Federal Data'!AE2:AE501,'Federal Data'!$G2:$G501,"Railroad REtirement Taxes")</f>
        <v>4352000</v>
      </c>
      <c r="U11">
        <f>SUMIFS('Federal Data'!AF2:AF501,'Federal Data'!$G2:$G501,"Railroad REtirement Taxes")</f>
        <v>4144000</v>
      </c>
      <c r="V11">
        <f>SUMIFS('Federal Data'!AG2:AG501,'Federal Data'!$G2:$G501,"Railroad REtirement Taxes")</f>
        <v>4338000</v>
      </c>
      <c r="W11">
        <f>SUMIFS('Federal Data'!AH2:AH501,'Federal Data'!$G2:$G501,"Railroad REtirement Taxes")</f>
        <v>4272000</v>
      </c>
      <c r="X11">
        <f>SUMIFS('Federal Data'!AI2:AI501,'Federal Data'!$G2:$G501,"Railroad REtirement Taxes")</f>
        <v>4177000</v>
      </c>
      <c r="Y11">
        <f>SUMIFS('Federal Data'!AJ2:AJ501,'Federal Data'!$G2:$G501,"Railroad REtirement Taxes")</f>
        <v>3953000</v>
      </c>
      <c r="Z11">
        <f>SUMIFS('Federal Data'!AK2:AK501,'Federal Data'!$G2:$G501,"Railroad REtirement Taxes")</f>
        <v>4026000</v>
      </c>
      <c r="AA11">
        <f>SUMIFS('Federal Data'!AL2:AL501,'Federal Data'!$G2:$G501,"Railroad REtirement Taxes")</f>
        <v>4120000</v>
      </c>
      <c r="AB11">
        <f>SUMIFS('Federal Data'!AM2:AM501,'Federal Data'!$G2:$G501,"Railroad REtirement Taxes")</f>
        <v>4232000</v>
      </c>
      <c r="AC11">
        <f>SUMIFS('Federal Data'!AN2:AN501,'Federal Data'!$G2:$G501,"Railroad REtirement Taxes")</f>
        <v>4261000</v>
      </c>
      <c r="AD11">
        <f>SUMIFS('Federal Data'!AO2:AO501,'Federal Data'!$G2:$G501,"Railroad REtirement Taxes")</f>
        <v>4433000</v>
      </c>
      <c r="AE11">
        <f>SUMIFS('Federal Data'!AP2:AP501,'Federal Data'!$G2:$G501,"Railroad REtirement Taxes")</f>
        <v>4213000</v>
      </c>
      <c r="AF11">
        <f>SUMIFS('Federal Data'!AQ2:AQ501,'Federal Data'!$G2:$G501,"Railroad REtirement Taxes")</f>
        <v>4139000</v>
      </c>
      <c r="AG11">
        <f>SUMIFS('Federal Data'!AR2:AR501,'Federal Data'!$G2:$G501,"Railroad REtirement Taxes")</f>
        <v>4238000</v>
      </c>
      <c r="AH11">
        <f>SUMIFS('Federal Data'!AS2:AS501,'Federal Data'!$G2:$G501,"Railroad REtirement Taxes")</f>
        <v>4283000</v>
      </c>
      <c r="AI11">
        <f>SUMIFS('Federal Data'!AT2:AT501,'Federal Data'!$G2:$G501,"Railroad REtirement Taxes")</f>
        <v>4901000</v>
      </c>
      <c r="AJ11">
        <f>SUMIFS('Federal Data'!AU2:AU501,'Federal Data'!$G2:$G501,"Railroad REtirement Taxes")</f>
        <v>5357000</v>
      </c>
      <c r="AK11">
        <f>SUMIFS('Federal Data'!AV2:AV501,'Federal Data'!$G2:$G501,"Railroad REtirement Taxes")</f>
        <v>5866000</v>
      </c>
    </row>
    <row r="12" spans="1:37">
      <c r="A12" s="4" t="s">
        <v>19</v>
      </c>
      <c r="B12">
        <f>SUMIFS('Federal Data'!M2:M501,'Federal Data'!$G2:$G501,"Medicare Taxes")</f>
        <v>23465569</v>
      </c>
      <c r="C12">
        <f>SUMIFS('Federal Data'!N2:N501,'Federal Data'!$G2:$G501,"Medicare Taxes")</f>
        <v>30671920</v>
      </c>
      <c r="D12">
        <f>SUMIFS('Federal Data'!O2:O501,'Federal Data'!$G2:$G501,"Medicare Taxes")</f>
        <v>34698279</v>
      </c>
      <c r="E12">
        <f>SUMIFS('Federal Data'!P2:P501,'Federal Data'!$G2:$G501,"Medicare Taxes")</f>
        <v>36695215</v>
      </c>
      <c r="F12">
        <f>SUMIFS('Federal Data'!Q2:Q501,'Federal Data'!$G2:$G501,"Medicare Taxes")</f>
        <v>41567575</v>
      </c>
      <c r="G12">
        <f>SUMIFS('Federal Data'!R2:R501,'Federal Data'!$G2:$G501,"Medicare Taxes")</f>
        <v>46319507</v>
      </c>
      <c r="H12">
        <f>SUMIFS('Federal Data'!S2:S501,'Federal Data'!$G2:$G501,"Medicare Taxes")</f>
        <v>52939476</v>
      </c>
      <c r="I12">
        <f>SUMIFS('Federal Data'!T2:T501,'Federal Data'!$G2:$G501,"Medicare Taxes")</f>
        <v>57692391</v>
      </c>
      <c r="J12">
        <f>SUMIFS('Federal Data'!U2:U501,'Federal Data'!$G2:$G501,"Medicare Taxes")</f>
        <v>61663468</v>
      </c>
      <c r="K12">
        <f>SUMIFS('Federal Data'!V2:V501,'Federal Data'!$G2:$G501,"Medicare Taxes")</f>
        <v>67316730</v>
      </c>
      <c r="L12">
        <f>SUMIFS('Federal Data'!W2:W501,'Federal Data'!$G2:$G501,"Medicare Taxes")</f>
        <v>70601937</v>
      </c>
      <c r="M12">
        <f>SUMIFS('Federal Data'!X2:X501,'Federal Data'!$G2:$G501,"Medicare Taxes")</f>
        <v>74958383</v>
      </c>
      <c r="N12">
        <f>SUMIFS('Federal Data'!Y2:Y501,'Federal Data'!$G2:$G501,"Medicare Taxes")</f>
        <v>81345902</v>
      </c>
      <c r="O12">
        <f>SUMIFS('Federal Data'!Z2:Z501,'Federal Data'!$G2:$G501,"Medicare Taxes")</f>
        <v>83517522</v>
      </c>
      <c r="P12">
        <f>SUMIFS('Federal Data'!AA2:AA501,'Federal Data'!$G2:$G501,"Medicare Taxes")</f>
        <v>92421573</v>
      </c>
      <c r="Q12">
        <f>SUMIFS('Federal Data'!AB2:AB501,'Federal Data'!$G2:$G501,"Medicare Taxes")</f>
        <v>98412000</v>
      </c>
      <c r="R12">
        <f>SUMIFS('Federal Data'!AC2:AC501,'Federal Data'!$G2:$G501,"Medicare Taxes")</f>
        <v>107306000</v>
      </c>
      <c r="S12">
        <f>SUMIFS('Federal Data'!AD2:AD501,'Federal Data'!$G2:$G501,"Medicare Taxes")</f>
        <v>113105000</v>
      </c>
      <c r="T12">
        <f>SUMIFS('Federal Data'!AE2:AE501,'Federal Data'!$G2:$G501,"Medicare Taxes")</f>
        <v>122295000</v>
      </c>
      <c r="U12">
        <f>SUMIFS('Federal Data'!AF2:AF501,'Federal Data'!$G2:$G501,"Medicare Taxes")</f>
        <v>134773000</v>
      </c>
      <c r="V12">
        <f>SUMIFS('Federal Data'!AG2:AG501,'Federal Data'!$G2:$G501,"Medicare Taxes")</f>
        <v>138157000</v>
      </c>
      <c r="W12">
        <f>SUMIFS('Federal Data'!AH2:AH501,'Federal Data'!$G2:$G501,"Medicare Taxes")</f>
        <v>152353000</v>
      </c>
      <c r="X12">
        <f>SUMIFS('Federal Data'!AI2:AI501,'Federal Data'!$G2:$G501,"Medicare Taxes")</f>
        <v>151962000</v>
      </c>
      <c r="Y12">
        <f>SUMIFS('Federal Data'!AJ2:AJ501,'Federal Data'!$G2:$G501,"Medicare Taxes")</f>
        <v>150235000</v>
      </c>
      <c r="Z12">
        <f>SUMIFS('Federal Data'!AK2:AK501,'Federal Data'!$G2:$G501,"Medicare Taxes")</f>
        <v>153839000</v>
      </c>
      <c r="AA12">
        <f>SUMIFS('Federal Data'!AL2:AL501,'Federal Data'!$G2:$G501,"Medicare Taxes")</f>
        <v>169370000</v>
      </c>
      <c r="AB12">
        <f>SUMIFS('Federal Data'!AM2:AM501,'Federal Data'!$G2:$G501,"Medicare Taxes")</f>
        <v>180833000</v>
      </c>
      <c r="AC12">
        <f>SUMIFS('Federal Data'!AN2:AN501,'Federal Data'!$G2:$G501,"Medicare Taxes")</f>
        <v>188446000</v>
      </c>
      <c r="AD12">
        <f>SUMIFS('Federal Data'!AO2:AO501,'Federal Data'!$G2:$G501,"Medicare Taxes")</f>
        <v>197690000</v>
      </c>
      <c r="AE12">
        <f>SUMIFS('Federal Data'!AP2:AP501,'Federal Data'!$G2:$G501,"Medicare Taxes")</f>
        <v>194598000</v>
      </c>
      <c r="AF12">
        <f>SUMIFS('Federal Data'!AQ2:AQ501,'Federal Data'!$G2:$G501,"Medicare Taxes")</f>
        <v>184110000</v>
      </c>
      <c r="AG12">
        <f>SUMIFS('Federal Data'!AR2:AR501,'Federal Data'!$G2:$G501,"Medicare Taxes")</f>
        <v>192515000</v>
      </c>
      <c r="AH12">
        <f>SUMIFS('Federal Data'!AS2:AS501,'Federal Data'!$G2:$G501,"Medicare Taxes")</f>
        <v>205236000</v>
      </c>
      <c r="AI12">
        <f>SUMIFS('Federal Data'!AT2:AT501,'Federal Data'!$G2:$G501,"Medicare Taxes")</f>
        <v>213448000</v>
      </c>
      <c r="AJ12">
        <f>SUMIFS('Federal Data'!AU2:AU501,'Federal Data'!$G2:$G501,"Medicare Taxes")</f>
        <v>228159000</v>
      </c>
      <c r="AK12">
        <f>SUMIFS('Federal Data'!AV2:AV501,'Federal Data'!$G2:$G501,"Medicare Taxes")</f>
        <v>238262000</v>
      </c>
    </row>
    <row r="13" spans="1:37">
      <c r="A13" s="4" t="s">
        <v>20</v>
      </c>
      <c r="B13">
        <f>SUMIFS('Federal Data'!M2:M501,'Federal Data'!$G2:$G501,"Unemployment Taxes")</f>
        <v>15335788</v>
      </c>
      <c r="C13">
        <f>SUMIFS('Federal Data'!N2:N501,'Federal Data'!$G2:$G501,"Unemployment Taxes")</f>
        <v>15762948</v>
      </c>
      <c r="D13">
        <f>SUMIFS('Federal Data'!O2:O501,'Federal Data'!$G2:$G501,"Unemployment Taxes")</f>
        <v>16636388</v>
      </c>
      <c r="E13">
        <f>SUMIFS('Federal Data'!P2:P501,'Federal Data'!$G2:$G501,"Unemployment Taxes")</f>
        <v>19046634</v>
      </c>
      <c r="F13">
        <f>SUMIFS('Federal Data'!Q2:Q501,'Federal Data'!$G2:$G501,"Unemployment Taxes")</f>
        <v>25307220</v>
      </c>
      <c r="G13">
        <f>SUMIFS('Federal Data'!R2:R501,'Federal Data'!$G2:$G501,"Unemployment Taxes")</f>
        <v>26099814</v>
      </c>
      <c r="H13">
        <f>SUMIFS('Federal Data'!S2:S501,'Federal Data'!$G2:$G501,"Unemployment Taxes")</f>
        <v>24389574</v>
      </c>
      <c r="I13">
        <f>SUMIFS('Federal Data'!T2:T501,'Federal Data'!$G2:$G501,"Unemployment Taxes")</f>
        <v>25860241</v>
      </c>
      <c r="J13">
        <f>SUMIFS('Federal Data'!U2:U501,'Federal Data'!$G2:$G501,"Unemployment Taxes")</f>
        <v>24799893</v>
      </c>
      <c r="K13">
        <f>SUMIFS('Federal Data'!V2:V501,'Federal Data'!$G2:$G501,"Unemployment Taxes")</f>
        <v>22254272</v>
      </c>
      <c r="L13">
        <f>SUMIFS('Federal Data'!W2:W501,'Federal Data'!$G2:$G501,"Unemployment Taxes")</f>
        <v>21952439</v>
      </c>
      <c r="M13">
        <f>SUMIFS('Federal Data'!X2:X501,'Federal Data'!$G2:$G501,"Unemployment Taxes")</f>
        <v>21261062</v>
      </c>
      <c r="N13">
        <f>SUMIFS('Federal Data'!Y2:Y501,'Federal Data'!$G2:$G501,"Unemployment Taxes")</f>
        <v>24154471</v>
      </c>
      <c r="O13">
        <f>SUMIFS('Federal Data'!Z2:Z501,'Federal Data'!$G2:$G501,"Unemployment Taxes")</f>
        <v>27520766</v>
      </c>
      <c r="P13">
        <f>SUMIFS('Federal Data'!AA2:AA501,'Federal Data'!$G2:$G501,"Unemployment Taxes")</f>
        <v>28770505</v>
      </c>
      <c r="Q13">
        <f>SUMIFS('Federal Data'!AB2:AB501,'Federal Data'!$G2:$G501,"Unemployment Taxes")</f>
        <v>29538000</v>
      </c>
      <c r="R13">
        <f>SUMIFS('Federal Data'!AC2:AC501,'Federal Data'!$G2:$G501,"Unemployment Taxes")</f>
        <v>29183000</v>
      </c>
      <c r="S13">
        <f>SUMIFS('Federal Data'!AD2:AD501,'Federal Data'!$G2:$G501,"Unemployment Taxes")</f>
        <v>28804000</v>
      </c>
      <c r="T13">
        <f>SUMIFS('Federal Data'!AE2:AE501,'Federal Data'!$G2:$G501,"Unemployment Taxes")</f>
        <v>27992000</v>
      </c>
      <c r="U13">
        <f>SUMIFS('Federal Data'!AF2:AF501,'Federal Data'!$G2:$G501,"Unemployment Taxes")</f>
        <v>26883000</v>
      </c>
      <c r="V13">
        <f>SUMIFS('Federal Data'!AG2:AG501,'Federal Data'!$G2:$G501,"Unemployment Taxes")</f>
        <v>28037000</v>
      </c>
      <c r="W13">
        <f>SUMIFS('Federal Data'!AH2:AH501,'Federal Data'!$G2:$G501,"Unemployment Taxes")</f>
        <v>28244000</v>
      </c>
      <c r="X13">
        <f>SUMIFS('Federal Data'!AI2:AI501,'Federal Data'!$G2:$G501,"Unemployment Taxes")</f>
        <v>28067000</v>
      </c>
      <c r="Y13">
        <f>SUMIFS('Federal Data'!AJ2:AJ501,'Federal Data'!$G2:$G501,"Unemployment Taxes")</f>
        <v>33992000</v>
      </c>
      <c r="Z13">
        <f>SUMIFS('Federal Data'!AK2:AK501,'Federal Data'!$G2:$G501,"Unemployment Taxes")</f>
        <v>40197000</v>
      </c>
      <c r="AA13">
        <f>SUMIFS('Federal Data'!AL2:AL501,'Federal Data'!$G2:$G501,"Unemployment Taxes")</f>
        <v>42775000</v>
      </c>
      <c r="AB13">
        <f>SUMIFS('Federal Data'!AM2:AM501,'Federal Data'!$G2:$G501,"Unemployment Taxes")</f>
        <v>44248000</v>
      </c>
      <c r="AC13">
        <f>SUMIFS('Federal Data'!AN2:AN501,'Federal Data'!$G2:$G501,"Unemployment Taxes")</f>
        <v>41847000</v>
      </c>
      <c r="AD13">
        <f>SUMIFS('Federal Data'!AO2:AO501,'Federal Data'!$G2:$G501,"Unemployment Taxes")</f>
        <v>40249000</v>
      </c>
      <c r="AE13">
        <f>SUMIFS('Federal Data'!AP2:AP501,'Federal Data'!$G2:$G501,"Unemployment Taxes")</f>
        <v>38959000</v>
      </c>
      <c r="AF13">
        <f>SUMIFS('Federal Data'!AQ2:AQ501,'Federal Data'!$G2:$G501,"Unemployment Taxes")</f>
        <v>46051000</v>
      </c>
      <c r="AG13">
        <f>SUMIFS('Federal Data'!AR2:AR501,'Federal Data'!$G2:$G501,"Unemployment Taxes")</f>
        <v>57650000</v>
      </c>
      <c r="AH13">
        <f>SUMIFS('Federal Data'!AS2:AS501,'Federal Data'!$G2:$G501,"Unemployment Taxes")</f>
        <v>68034000</v>
      </c>
      <c r="AI13">
        <f>SUMIFS('Federal Data'!AT2:AT501,'Federal Data'!$G2:$G501,"Unemployment Taxes")</f>
        <v>57964000</v>
      </c>
      <c r="AJ13">
        <f>SUMIFS('Federal Data'!AU2:AU501,'Federal Data'!$G2:$G501,"Unemployment Taxes")</f>
        <v>55955000</v>
      </c>
      <c r="AK13">
        <f>SUMIFS('Federal Data'!AV2:AV501,'Federal Data'!$G2:$G501,"Unemployment Taxes")</f>
        <v>51953000</v>
      </c>
    </row>
    <row r="14" spans="1:37">
      <c r="A14" s="3" t="s">
        <v>4</v>
      </c>
      <c r="B14">
        <f>SUMIFS('Federal Data'!M2:M501,'Federal Data'!$F2:$F501,"Corporate Income Taxes")</f>
        <v>64599673</v>
      </c>
      <c r="C14">
        <f>SUMIFS('Federal Data'!N2:N501,'Federal Data'!$F2:$F501,"Corporate Income Taxes")</f>
        <v>61137136</v>
      </c>
      <c r="D14">
        <f>SUMIFS('Federal Data'!O2:O501,'Federal Data'!$F2:$F501,"Corporate Income Taxes")</f>
        <v>49206969</v>
      </c>
      <c r="E14">
        <f>SUMIFS('Federal Data'!P2:P501,'Federal Data'!$F2:$F501,"Corporate Income Taxes")</f>
        <v>37021566</v>
      </c>
      <c r="F14">
        <f>SUMIFS('Federal Data'!Q2:Q501,'Federal Data'!$F2:$F501,"Corporate Income Taxes")</f>
        <v>56892983</v>
      </c>
      <c r="G14">
        <f>SUMIFS('Federal Data'!R2:R501,'Federal Data'!$F2:$F501,"Corporate Income Taxes")</f>
        <v>61330690</v>
      </c>
      <c r="H14">
        <f>SUMIFS('Federal Data'!S2:S501,'Federal Data'!$F2:$F501,"Corporate Income Taxes")</f>
        <v>63143307</v>
      </c>
      <c r="I14">
        <f>SUMIFS('Federal Data'!T2:T501,'Federal Data'!$F2:$F501,"Corporate Income Taxes")</f>
        <v>83925770</v>
      </c>
      <c r="J14">
        <f>SUMIFS('Federal Data'!U2:U501,'Federal Data'!$F2:$F501,"Corporate Income Taxes")</f>
        <v>94508098</v>
      </c>
      <c r="K14">
        <f>SUMIFS('Federal Data'!V2:V501,'Federal Data'!$F2:$F501,"Corporate Income Taxes")</f>
        <v>103291115</v>
      </c>
      <c r="L14">
        <f>SUMIFS('Federal Data'!W2:W501,'Federal Data'!$F2:$F501,"Corporate Income Taxes")</f>
        <v>93506698</v>
      </c>
      <c r="M14">
        <f>SUMIFS('Federal Data'!X2:X501,'Federal Data'!$F2:$F501,"Corporate Income Taxes")</f>
        <v>98085822</v>
      </c>
      <c r="N14">
        <f>SUMIFS('Federal Data'!Y2:Y501,'Federal Data'!$F2:$F501,"Corporate Income Taxes")</f>
        <v>100270366</v>
      </c>
      <c r="O14">
        <f>SUMIFS('Federal Data'!Z2:Z501,'Federal Data'!$F2:$F501,"Corporate Income Taxes")</f>
        <v>117520182</v>
      </c>
      <c r="P14">
        <f>SUMIFS('Federal Data'!AA2:AA501,'Federal Data'!$F2:$F501,"Corporate Income Taxes")</f>
        <v>140384725</v>
      </c>
      <c r="Q14">
        <f>SUMIFS('Federal Data'!AB2:AB501,'Federal Data'!$F2:$F501,"Corporate Income Taxes")</f>
        <v>157004000</v>
      </c>
      <c r="R14">
        <f>SUMIFS('Federal Data'!AC2:AC501,'Federal Data'!$F2:$F501,"Corporate Income Taxes")</f>
        <v>171824000</v>
      </c>
      <c r="S14">
        <f>SUMIFS('Federal Data'!AD2:AD501,'Federal Data'!$F2:$F501,"Corporate Income Taxes")</f>
        <v>182293000</v>
      </c>
      <c r="T14">
        <f>SUMIFS('Federal Data'!AE2:AE501,'Federal Data'!$F2:$F501,"Corporate Income Taxes")</f>
        <v>188677000</v>
      </c>
      <c r="U14">
        <f>SUMIFS('Federal Data'!AF2:AF501,'Federal Data'!$F2:$F501,"Corporate Income Taxes")</f>
        <v>184680000</v>
      </c>
      <c r="V14">
        <f>SUMIFS('Federal Data'!AG2:AG501,'Federal Data'!$F2:$F501,"Corporate Income Taxes")</f>
        <v>207289000</v>
      </c>
      <c r="W14">
        <f>SUMIFS('Federal Data'!AH2:AH501,'Federal Data'!$F2:$F501,"Corporate Income Taxes")</f>
        <v>151075000</v>
      </c>
      <c r="X14">
        <f>SUMIFS('Federal Data'!AI2:AI501,'Federal Data'!$F2:$F501,"Corporate Income Taxes")</f>
        <v>148044000</v>
      </c>
      <c r="Y14">
        <f>SUMIFS('Federal Data'!AJ2:AJ501,'Federal Data'!$F2:$F501,"Corporate Income Taxes")</f>
        <v>131778000</v>
      </c>
      <c r="Z14">
        <f>SUMIFS('Federal Data'!AK2:AK501,'Federal Data'!$F2:$F501,"Corporate Income Taxes")</f>
        <v>189371000</v>
      </c>
      <c r="AA14">
        <f>SUMIFS('Federal Data'!AL2:AL501,'Federal Data'!$F2:$F501,"Corporate Income Taxes")</f>
        <v>278282000</v>
      </c>
      <c r="AB14">
        <f>SUMIFS('Federal Data'!AM2:AM501,'Federal Data'!$F2:$F501,"Corporate Income Taxes")</f>
        <v>353915000</v>
      </c>
      <c r="AC14">
        <f>SUMIFS('Federal Data'!AN2:AN501,'Federal Data'!$F2:$F501,"Corporate Income Taxes")</f>
        <v>370243000</v>
      </c>
      <c r="AD14">
        <f>SUMIFS('Federal Data'!AO2:AO501,'Federal Data'!$F2:$F501,"Corporate Income Taxes")</f>
        <v>304346000</v>
      </c>
      <c r="AE14">
        <f>SUMIFS('Federal Data'!AP2:AP501,'Federal Data'!$F2:$F501,"Corporate Income Taxes")</f>
        <v>138229000</v>
      </c>
      <c r="AF14">
        <f>SUMIFS('Federal Data'!AQ2:AQ501,'Federal Data'!$F2:$F501,"Corporate Income Taxes")</f>
        <v>191437000</v>
      </c>
      <c r="AG14">
        <f>SUMIFS('Federal Data'!AR2:AR501,'Federal Data'!$F2:$F501,"Corporate Income Taxes")</f>
        <v>181085000</v>
      </c>
      <c r="AH14">
        <f>SUMIFS('Federal Data'!AS2:AS501,'Federal Data'!$F2:$F501,"Corporate Income Taxes")</f>
        <v>242289000</v>
      </c>
      <c r="AI14">
        <f>SUMIFS('Federal Data'!AT2:AT501,'Federal Data'!$F2:$F501,"Corporate Income Taxes")</f>
        <v>273506000</v>
      </c>
      <c r="AJ14">
        <f>SUMIFS('Federal Data'!AU2:AU501,'Federal Data'!$F2:$F501,"Corporate Income Taxes")</f>
        <v>320731000</v>
      </c>
      <c r="AK14">
        <f>SUMIFS('Federal Data'!AV2:AV501,'Federal Data'!$F2:$F501,"Corporate Income Taxes")</f>
        <v>343797000</v>
      </c>
    </row>
    <row r="15" spans="1:37">
      <c r="A15" s="3" t="s">
        <v>74</v>
      </c>
      <c r="B15">
        <f>SUMIFS('Federal Data'!M2:M501,'Federal Data'!$F2:$F501,"Sales and Excise Taxes")</f>
        <v>24329156</v>
      </c>
      <c r="C15">
        <f>SUMIFS('Federal Data'!N2:N501,'Federal Data'!$F2:$F501,"Sales and Excise Taxes")</f>
        <v>40839143</v>
      </c>
      <c r="D15">
        <f>SUMIFS('Federal Data'!O2:O501,'Federal Data'!$F2:$F501,"Sales and Excise Taxes")</f>
        <v>36310764</v>
      </c>
      <c r="E15">
        <f>SUMIFS('Federal Data'!P2:P501,'Federal Data'!$F2:$F501,"Sales and Excise Taxes")</f>
        <v>35300063</v>
      </c>
      <c r="F15">
        <f>SUMIFS('Federal Data'!Q2:Q501,'Federal Data'!$F2:$F501,"Sales and Excise Taxes")</f>
        <v>37361427</v>
      </c>
      <c r="G15">
        <f>SUMIFS('Federal Data'!R2:R501,'Federal Data'!$F2:$F501,"Sales and Excise Taxes")</f>
        <v>35991683</v>
      </c>
      <c r="H15">
        <f>SUMIFS('Federal Data'!S2:S501,'Federal Data'!$F2:$F501,"Sales and Excise Taxes")</f>
        <v>32918545</v>
      </c>
      <c r="I15">
        <f>SUMIFS('Federal Data'!T2:T501,'Federal Data'!$F2:$F501,"Sales and Excise Taxes")</f>
        <v>32457474</v>
      </c>
      <c r="J15">
        <f>SUMIFS('Federal Data'!U2:U501,'Federal Data'!$F2:$F501,"Sales and Excise Taxes")</f>
        <v>35226868</v>
      </c>
      <c r="K15">
        <f>SUMIFS('Federal Data'!V2:V501,'Federal Data'!$F2:$F501,"Sales and Excise Taxes")</f>
        <v>34385794</v>
      </c>
      <c r="L15">
        <f>SUMIFS('Federal Data'!W2:W501,'Federal Data'!$F2:$F501,"Sales and Excise Taxes")</f>
        <v>35345204</v>
      </c>
      <c r="M15">
        <f>SUMIFS('Federal Data'!X2:X501,'Federal Data'!$F2:$F501,"Sales and Excise Taxes")</f>
        <v>42402120</v>
      </c>
      <c r="N15">
        <f>SUMIFS('Federal Data'!Y2:Y501,'Federal Data'!$F2:$F501,"Sales and Excise Taxes")</f>
        <v>45569482</v>
      </c>
      <c r="O15">
        <f>SUMIFS('Federal Data'!Z2:Z501,'Federal Data'!$F2:$F501,"Sales and Excise Taxes")</f>
        <v>48057224</v>
      </c>
      <c r="P15">
        <f>SUMIFS('Federal Data'!AA2:AA501,'Federal Data'!$F2:$F501,"Sales and Excise Taxes")</f>
        <v>55224799</v>
      </c>
      <c r="Q15">
        <f>SUMIFS('Federal Data'!AB2:AB501,'Federal Data'!$F2:$F501,"Sales and Excise Taxes")</f>
        <v>57484000</v>
      </c>
      <c r="R15">
        <f>SUMIFS('Federal Data'!AC2:AC501,'Federal Data'!$F2:$F501,"Sales and Excise Taxes")</f>
        <v>54014000</v>
      </c>
      <c r="S15">
        <f>SUMIFS('Federal Data'!AD2:AD501,'Federal Data'!$F2:$F501,"Sales and Excise Taxes")</f>
        <v>56924000</v>
      </c>
      <c r="T15">
        <f>SUMIFS('Federal Data'!AE2:AE501,'Federal Data'!$F2:$F501,"Sales and Excise Taxes")</f>
        <v>57673000</v>
      </c>
      <c r="U15">
        <f>SUMIFS('Federal Data'!AF2:AF501,'Federal Data'!$F2:$F501,"Sales and Excise Taxes")</f>
        <v>70414000</v>
      </c>
      <c r="V15">
        <f>SUMIFS('Federal Data'!AG2:AG501,'Federal Data'!$F2:$F501,"Sales and Excise Taxes")</f>
        <v>68865000</v>
      </c>
      <c r="W15">
        <f>SUMIFS('Federal Data'!AH2:AH501,'Federal Data'!$F2:$F501,"Sales and Excise Taxes")</f>
        <v>66232000</v>
      </c>
      <c r="X15">
        <f>SUMIFS('Federal Data'!AI2:AI501,'Federal Data'!$F2:$F501,"Sales and Excise Taxes")</f>
        <v>66989000</v>
      </c>
      <c r="Y15">
        <f>SUMIFS('Federal Data'!AJ2:AJ501,'Federal Data'!$F2:$F501,"Sales and Excise Taxes")</f>
        <v>67524000</v>
      </c>
      <c r="Z15">
        <f>SUMIFS('Federal Data'!AK2:AK501,'Federal Data'!$F2:$F501,"Sales and Excise Taxes")</f>
        <v>69855000</v>
      </c>
      <c r="AA15">
        <f>SUMIFS('Federal Data'!AL2:AL501,'Federal Data'!$F2:$F501,"Sales and Excise Taxes")</f>
        <v>73094000</v>
      </c>
      <c r="AB15">
        <f>SUMIFS('Federal Data'!AM2:AM501,'Federal Data'!$F2:$F501,"Sales and Excise Taxes")</f>
        <v>73961000</v>
      </c>
      <c r="AC15">
        <f>SUMIFS('Federal Data'!AN2:AN501,'Federal Data'!$F2:$F501,"Sales and Excise Taxes")</f>
        <v>65069000</v>
      </c>
      <c r="AD15">
        <f>SUMIFS('Federal Data'!AO2:AO501,'Federal Data'!$F2:$F501,"Sales and Excise Taxes")</f>
        <v>67334000</v>
      </c>
      <c r="AE15">
        <f>SUMIFS('Federal Data'!AP2:AP501,'Federal Data'!$F2:$F501,"Sales and Excise Taxes")</f>
        <v>62483000</v>
      </c>
      <c r="AF15">
        <f>SUMIFS('Federal Data'!AQ2:AQ501,'Federal Data'!$F2:$F501,"Sales and Excise Taxes")</f>
        <v>66909000</v>
      </c>
      <c r="AG15">
        <f>SUMIFS('Federal Data'!AR2:AR501,'Federal Data'!$F2:$F501,"Sales and Excise Taxes")</f>
        <v>72381000</v>
      </c>
      <c r="AH15">
        <f>SUMIFS('Federal Data'!AS2:AS501,'Federal Data'!$F2:$F501,"Sales and Excise Taxes")</f>
        <v>79061000</v>
      </c>
      <c r="AI15">
        <f>SUMIFS('Federal Data'!AT2:AT501,'Federal Data'!$F2:$F501,"Sales and Excise Taxes")</f>
        <v>84007000</v>
      </c>
      <c r="AJ15">
        <f>SUMIFS('Federal Data'!AU2:AU501,'Federal Data'!$F2:$F501,"Sales and Excise Taxes")</f>
        <v>93368000</v>
      </c>
      <c r="AK15">
        <f>SUMIFS('Federal Data'!AV2:AV501,'Federal Data'!$F2:$F501,"Sales and Excise Taxes")</f>
        <v>98279000</v>
      </c>
    </row>
    <row r="16" spans="1:37">
      <c r="A16" s="3" t="s">
        <v>8</v>
      </c>
      <c r="B16">
        <f>SUMIFS('Federal Data'!M2:M501,'Federal Data'!$F2:$F501,"Estate and Gift Taxes")</f>
        <v>6389480</v>
      </c>
      <c r="C16">
        <f>SUMIFS('Federal Data'!N2:N501,'Federal Data'!$F2:$F501,"Estate and Gift Taxes")</f>
        <v>6786537</v>
      </c>
      <c r="D16">
        <f>SUMIFS('Federal Data'!O2:O501,'Federal Data'!$F2:$F501,"Estate and Gift Taxes")</f>
        <v>7990595</v>
      </c>
      <c r="E16">
        <f>SUMIFS('Federal Data'!P2:P501,'Federal Data'!$F2:$F501,"Estate and Gift Taxes")</f>
        <v>6053368</v>
      </c>
      <c r="F16">
        <f>SUMIFS('Federal Data'!Q2:Q501,'Federal Data'!$F2:$F501,"Estate and Gift Taxes")</f>
        <v>6010472</v>
      </c>
      <c r="G16">
        <f>SUMIFS('Federal Data'!R2:R501,'Federal Data'!$F2:$F501,"Estate and Gift Taxes")</f>
        <v>6422489</v>
      </c>
      <c r="H16">
        <f>SUMIFS('Federal Data'!S2:S501,'Federal Data'!$F2:$F501,"Estate and Gift Taxes")</f>
        <v>6957626</v>
      </c>
      <c r="I16">
        <f>SUMIFS('Federal Data'!T2:T501,'Federal Data'!$F2:$F501,"Estate and Gift Taxes")</f>
        <v>7492640</v>
      </c>
      <c r="J16">
        <f>SUMIFS('Federal Data'!U2:U501,'Federal Data'!$F2:$F501,"Estate and Gift Taxes")</f>
        <v>7594256</v>
      </c>
      <c r="K16">
        <f>SUMIFS('Federal Data'!V2:V501,'Federal Data'!$F2:$F501,"Estate and Gift Taxes")</f>
        <v>8745225</v>
      </c>
      <c r="L16">
        <f>SUMIFS('Federal Data'!W2:W501,'Federal Data'!$F2:$F501,"Estate and Gift Taxes")</f>
        <v>11500285</v>
      </c>
      <c r="M16">
        <f>SUMIFS('Federal Data'!X2:X501,'Federal Data'!$F2:$F501,"Estate and Gift Taxes")</f>
        <v>11138019</v>
      </c>
      <c r="N16">
        <f>SUMIFS('Federal Data'!Y2:Y501,'Federal Data'!$F2:$F501,"Estate and Gift Taxes")</f>
        <v>11143439</v>
      </c>
      <c r="O16">
        <f>SUMIFS('Federal Data'!Z2:Z501,'Federal Data'!$F2:$F501,"Estate and Gift Taxes")</f>
        <v>12576558</v>
      </c>
      <c r="P16">
        <f>SUMIFS('Federal Data'!AA2:AA501,'Federal Data'!$F2:$F501,"Estate and Gift Taxes")</f>
        <v>15224518</v>
      </c>
      <c r="Q16">
        <f>SUMIFS('Federal Data'!AB2:AB501,'Federal Data'!$F2:$F501,"Estate and Gift Taxes")</f>
        <v>14763000</v>
      </c>
      <c r="R16">
        <f>SUMIFS('Federal Data'!AC2:AC501,'Federal Data'!$F2:$F501,"Estate and Gift Taxes")</f>
        <v>17189000</v>
      </c>
      <c r="S16">
        <f>SUMIFS('Federal Data'!AD2:AD501,'Federal Data'!$F2:$F501,"Estate and Gift Taxes")</f>
        <v>19845000</v>
      </c>
      <c r="T16">
        <f>SUMIFS('Federal Data'!AE2:AE501,'Federal Data'!$F2:$F501,"Estate and Gift Taxes")</f>
        <v>24076000</v>
      </c>
      <c r="U16">
        <f>SUMIFS('Federal Data'!AF2:AF501,'Federal Data'!$F2:$F501,"Estate and Gift Taxes")</f>
        <v>27782000</v>
      </c>
      <c r="V16">
        <f>SUMIFS('Federal Data'!AG2:AG501,'Federal Data'!$F2:$F501,"Estate and Gift Taxes")</f>
        <v>29010000</v>
      </c>
      <c r="W16">
        <f>SUMIFS('Federal Data'!AH2:AH501,'Federal Data'!$F2:$F501,"Estate and Gift Taxes")</f>
        <v>28400000</v>
      </c>
      <c r="X16">
        <f>SUMIFS('Federal Data'!AI2:AI501,'Federal Data'!$F2:$F501,"Estate and Gift Taxes")</f>
        <v>26507000</v>
      </c>
      <c r="Y16">
        <f>SUMIFS('Federal Data'!AJ2:AJ501,'Federal Data'!$F2:$F501,"Estate and Gift Taxes")</f>
        <v>21959000</v>
      </c>
      <c r="Z16">
        <f>SUMIFS('Federal Data'!AK2:AK501,'Federal Data'!$F2:$F501,"Estate and Gift Taxes")</f>
        <v>24831000</v>
      </c>
      <c r="AA16">
        <f>SUMIFS('Federal Data'!AL2:AL501,'Federal Data'!$F2:$F501,"Estate and Gift Taxes")</f>
        <v>24764000</v>
      </c>
      <c r="AB16">
        <f>SUMIFS('Federal Data'!AM2:AM501,'Federal Data'!$F2:$F501,"Estate and Gift Taxes")</f>
        <v>27877000</v>
      </c>
      <c r="AC16">
        <f>SUMIFS('Federal Data'!AN2:AN501,'Federal Data'!$F2:$F501,"Estate and Gift Taxes")</f>
        <v>26044000</v>
      </c>
      <c r="AD16">
        <f>SUMIFS('Federal Data'!AO2:AO501,'Federal Data'!$F2:$F501,"Estate and Gift Taxes")</f>
        <v>28844000</v>
      </c>
      <c r="AE16">
        <f>SUMIFS('Federal Data'!AP2:AP501,'Federal Data'!$F2:$F501,"Estate and Gift Taxes")</f>
        <v>23482000</v>
      </c>
      <c r="AF16">
        <f>SUMIFS('Federal Data'!AQ2:AQ501,'Federal Data'!$F2:$F501,"Estate and Gift Taxes")</f>
        <v>18885000</v>
      </c>
      <c r="AG16">
        <f>SUMIFS('Federal Data'!AR2:AR501,'Federal Data'!$F2:$F501,"Estate and Gift Taxes")</f>
        <v>7399000</v>
      </c>
      <c r="AH16">
        <f>SUMIFS('Federal Data'!AS2:AS501,'Federal Data'!$F2:$F501,"Estate and Gift Taxes")</f>
        <v>13973000</v>
      </c>
      <c r="AI16">
        <f>SUMIFS('Federal Data'!AT2:AT501,'Federal Data'!$F2:$F501,"Estate and Gift Taxes")</f>
        <v>18912000</v>
      </c>
      <c r="AJ16">
        <f>SUMIFS('Federal Data'!AU2:AU501,'Federal Data'!$F2:$F501,"Estate and Gift Taxes")</f>
        <v>19300000</v>
      </c>
      <c r="AK16">
        <f>SUMIFS('Federal Data'!AV2:AV501,'Federal Data'!$F2:$F501,"Estate and Gift Taxes")</f>
        <v>19232000</v>
      </c>
    </row>
    <row r="17" spans="1:37">
      <c r="A17" s="3" t="s">
        <v>10</v>
      </c>
      <c r="B17">
        <f>SUMIFS('Federal Data'!M2:M501,'Federal Data'!$F2:$F501,"Customs Duties")</f>
        <v>7173836</v>
      </c>
      <c r="C17">
        <f>SUMIFS('Federal Data'!N2:N501,'Federal Data'!$F2:$F501,"Customs Duties")</f>
        <v>8082808</v>
      </c>
      <c r="D17">
        <f>SUMIFS('Federal Data'!O2:O501,'Federal Data'!$F2:$F501,"Customs Duties")</f>
        <v>8854093</v>
      </c>
      <c r="E17">
        <f>SUMIFS('Federal Data'!P2:P501,'Federal Data'!$F2:$F501,"Customs Duties")</f>
        <v>8654732</v>
      </c>
      <c r="F17">
        <f>SUMIFS('Federal Data'!Q2:Q501,'Federal Data'!$F2:$F501,"Customs Duties")</f>
        <v>11370044</v>
      </c>
      <c r="G17">
        <f>SUMIFS('Federal Data'!R2:R501,'Federal Data'!$F2:$F501,"Customs Duties")</f>
        <v>12078567</v>
      </c>
      <c r="H17">
        <f>SUMIFS('Federal Data'!S2:S501,'Federal Data'!$F2:$F501,"Customs Duties")</f>
        <v>13326653</v>
      </c>
      <c r="I17">
        <f>SUMIFS('Federal Data'!T2:T501,'Federal Data'!$F2:$F501,"Customs Duties")</f>
        <v>15085039</v>
      </c>
      <c r="J17">
        <f>SUMIFS('Federal Data'!U2:U501,'Federal Data'!$F2:$F501,"Customs Duties")</f>
        <v>16198125</v>
      </c>
      <c r="K17">
        <f>SUMIFS('Federal Data'!V2:V501,'Federal Data'!$F2:$F501,"Customs Duties")</f>
        <v>16333533</v>
      </c>
      <c r="L17">
        <f>SUMIFS('Federal Data'!W2:W501,'Federal Data'!$F2:$F501,"Customs Duties")</f>
        <v>16707311</v>
      </c>
      <c r="M17">
        <f>SUMIFS('Federal Data'!X2:X501,'Federal Data'!$F2:$F501,"Customs Duties")</f>
        <v>15949168</v>
      </c>
      <c r="N17">
        <f>SUMIFS('Federal Data'!Y2:Y501,'Federal Data'!$F2:$F501,"Customs Duties")</f>
        <v>17359439</v>
      </c>
      <c r="O17">
        <f>SUMIFS('Federal Data'!Z2:Z501,'Federal Data'!$F2:$F501,"Customs Duties")</f>
        <v>18802080</v>
      </c>
      <c r="P17">
        <f>SUMIFS('Federal Data'!AA2:AA501,'Federal Data'!$F2:$F501,"Customs Duties")</f>
        <v>20098865</v>
      </c>
      <c r="Q17">
        <f>SUMIFS('Federal Data'!AB2:AB501,'Federal Data'!$F2:$F501,"Customs Duties")</f>
        <v>19301000</v>
      </c>
      <c r="R17">
        <f>SUMIFS('Federal Data'!AC2:AC501,'Federal Data'!$F2:$F501,"Customs Duties")</f>
        <v>18670000</v>
      </c>
      <c r="S17">
        <f>SUMIFS('Federal Data'!AD2:AD501,'Federal Data'!$F2:$F501,"Customs Duties")</f>
        <v>17928000</v>
      </c>
      <c r="T17">
        <f>SUMIFS('Federal Data'!AE2:AE501,'Federal Data'!$F2:$F501,"Customs Duties")</f>
        <v>18297000</v>
      </c>
      <c r="U17">
        <f>SUMIFS('Federal Data'!AF2:AF501,'Federal Data'!$F2:$F501,"Customs Duties")</f>
        <v>18336000</v>
      </c>
      <c r="V17">
        <f>SUMIFS('Federal Data'!AG2:AG501,'Federal Data'!$F2:$F501,"Customs Duties")</f>
        <v>19914000</v>
      </c>
      <c r="W17">
        <f>SUMIFS('Federal Data'!AH2:AH501,'Federal Data'!$F2:$F501,"Customs Duties")</f>
        <v>19369000</v>
      </c>
      <c r="X17">
        <f>SUMIFS('Federal Data'!AI2:AI501,'Federal Data'!$F2:$F501,"Customs Duties")</f>
        <v>18602000</v>
      </c>
      <c r="Y17">
        <f>SUMIFS('Federal Data'!AJ2:AJ501,'Federal Data'!$F2:$F501,"Customs Duties")</f>
        <v>19862000</v>
      </c>
      <c r="Z17">
        <f>SUMIFS('Federal Data'!AK2:AK501,'Federal Data'!$F2:$F501,"Customs Duties")</f>
        <v>21083000</v>
      </c>
      <c r="AA17">
        <f>SUMIFS('Federal Data'!AL2:AL501,'Federal Data'!$F2:$F501,"Customs Duties")</f>
        <v>23379000</v>
      </c>
      <c r="AB17">
        <f>SUMIFS('Federal Data'!AM2:AM501,'Federal Data'!$F2:$F501,"Customs Duties")</f>
        <v>24810000</v>
      </c>
      <c r="AC17">
        <f>SUMIFS('Federal Data'!AN2:AN501,'Federal Data'!$F2:$F501,"Customs Duties")</f>
        <v>26010000</v>
      </c>
      <c r="AD17">
        <f>SUMIFS('Federal Data'!AO2:AO501,'Federal Data'!$F2:$F501,"Customs Duties")</f>
        <v>27568000</v>
      </c>
      <c r="AE17">
        <f>SUMIFS('Federal Data'!AP2:AP501,'Federal Data'!$F2:$F501,"Customs Duties")</f>
        <v>22453000</v>
      </c>
      <c r="AF17">
        <f>SUMIFS('Federal Data'!AQ2:AQ501,'Federal Data'!$F2:$F501,"Customs Duties")</f>
        <v>25298000</v>
      </c>
      <c r="AG17">
        <f>SUMIFS('Federal Data'!AR2:AR501,'Federal Data'!$F2:$F501,"Customs Duties")</f>
        <v>29519000</v>
      </c>
      <c r="AH17">
        <f>SUMIFS('Federal Data'!AS2:AS501,'Federal Data'!$F2:$F501,"Customs Duties")</f>
        <v>30307000</v>
      </c>
      <c r="AI17">
        <f>SUMIFS('Federal Data'!AT2:AT501,'Federal Data'!$F2:$F501,"Customs Duties")</f>
        <v>31815000</v>
      </c>
      <c r="AJ17">
        <f>SUMIFS('Federal Data'!AU2:AU501,'Federal Data'!$F2:$F501,"Customs Duties")</f>
        <v>33926000</v>
      </c>
      <c r="AK17">
        <f>SUMIFS('Federal Data'!AV2:AV501,'Federal Data'!$F2:$F501,"Customs Duties")</f>
        <v>35041000</v>
      </c>
    </row>
    <row r="18" spans="1:37">
      <c r="A18" s="3" t="s">
        <v>12</v>
      </c>
      <c r="B18">
        <f>SUMIFS('Federal Data'!M2:M501,'Federal Data'!$F2:$F501,"Other Taxes")</f>
        <v>0</v>
      </c>
      <c r="C18">
        <f>SUMIFS('Federal Data'!N2:N501,'Federal Data'!$F2:$F501,"Other Taxes")</f>
        <v>0</v>
      </c>
      <c r="D18">
        <f>SUMIFS('Federal Data'!O2:O501,'Federal Data'!$F2:$F501,"Other Taxes")</f>
        <v>0</v>
      </c>
      <c r="E18">
        <f>SUMIFS('Federal Data'!P2:P501,'Federal Data'!$F2:$F501,"Other Taxes")</f>
        <v>0</v>
      </c>
      <c r="F18">
        <f>SUMIFS('Federal Data'!Q2:Q501,'Federal Data'!$F2:$F501,"Other Taxes")</f>
        <v>216322</v>
      </c>
      <c r="G18">
        <f>SUMIFS('Federal Data'!R2:R501,'Federal Data'!$F2:$F501,"Other Taxes")</f>
        <v>314880</v>
      </c>
      <c r="H18">
        <f>SUMIFS('Federal Data'!S2:S501,'Federal Data'!$F2:$F501,"Other Taxes")</f>
        <v>281619</v>
      </c>
      <c r="I18">
        <f>SUMIFS('Federal Data'!T2:T501,'Federal Data'!$F2:$F501,"Other Taxes")</f>
        <v>375745</v>
      </c>
      <c r="J18">
        <f>SUMIFS('Federal Data'!U2:U501,'Federal Data'!$F2:$F501,"Other Taxes")</f>
        <v>486136</v>
      </c>
      <c r="K18">
        <f>SUMIFS('Federal Data'!V2:V501,'Federal Data'!$F2:$F501,"Other Taxes")</f>
        <v>631274</v>
      </c>
      <c r="L18">
        <f>SUMIFS('Federal Data'!W2:W501,'Federal Data'!$F2:$F501,"Other Taxes")</f>
        <v>765055</v>
      </c>
      <c r="M18">
        <f>SUMIFS('Federal Data'!X2:X501,'Federal Data'!$F2:$F501,"Other Taxes")</f>
        <v>941965</v>
      </c>
      <c r="N18">
        <f>SUMIFS('Federal Data'!Y2:Y501,'Federal Data'!$F2:$F501,"Other Taxes")</f>
        <v>946932</v>
      </c>
      <c r="O18">
        <f>SUMIFS('Federal Data'!Z2:Z501,'Federal Data'!$F2:$F501,"Other Taxes")</f>
        <v>996543</v>
      </c>
      <c r="P18">
        <f>SUMIFS('Federal Data'!AA2:AA501,'Federal Data'!$F2:$F501,"Other Taxes")</f>
        <v>1053152</v>
      </c>
      <c r="Q18">
        <f>SUMIFS('Federal Data'!AB2:AB501,'Federal Data'!$F2:$F501,"Other Taxes")</f>
        <v>1055000</v>
      </c>
      <c r="R18">
        <f>SUMIFS('Federal Data'!AC2:AC501,'Federal Data'!$F2:$F501,"Other Taxes")</f>
        <v>1054000</v>
      </c>
      <c r="S18">
        <f>SUMIFS('Federal Data'!AD2:AD501,'Federal Data'!$F2:$F501,"Other Taxes")</f>
        <v>1142000</v>
      </c>
      <c r="T18">
        <f>SUMIFS('Federal Data'!AE2:AE501,'Federal Data'!$F2:$F501,"Other Taxes")</f>
        <v>2871000</v>
      </c>
      <c r="U18">
        <f>SUMIFS('Federal Data'!AF2:AF501,'Federal Data'!$F2:$F501,"Other Taxes")</f>
        <v>3848000</v>
      </c>
      <c r="V18">
        <f>SUMIFS('Federal Data'!AG2:AG501,'Federal Data'!$F2:$F501,"Other Taxes")</f>
        <v>4637000</v>
      </c>
      <c r="W18">
        <f>SUMIFS('Federal Data'!AH2:AH501,'Federal Data'!$F2:$F501,"Other Taxes")</f>
        <v>5376000</v>
      </c>
      <c r="X18">
        <f>SUMIFS('Federal Data'!AI2:AI501,'Federal Data'!$F2:$F501,"Other Taxes")</f>
        <v>5505000</v>
      </c>
      <c r="Y18">
        <f>SUMIFS('Federal Data'!AJ2:AJ501,'Federal Data'!$F2:$F501,"Other Taxes")</f>
        <v>5798000</v>
      </c>
      <c r="Z18">
        <f>SUMIFS('Federal Data'!AK2:AK501,'Federal Data'!$F2:$F501,"Other Taxes")</f>
        <v>6635000</v>
      </c>
      <c r="AA18">
        <f>SUMIFS('Federal Data'!AL2:AL501,'Federal Data'!$F2:$F501,"Other Taxes")</f>
        <v>7342000</v>
      </c>
      <c r="AB18">
        <f>SUMIFS('Federal Data'!AM2:AM501,'Federal Data'!$F2:$F501,"Other Taxes")</f>
        <v>7722000</v>
      </c>
      <c r="AC18">
        <f>SUMIFS('Federal Data'!AN2:AN501,'Federal Data'!$F2:$F501,"Other Taxes")</f>
        <v>7606000</v>
      </c>
      <c r="AD18">
        <f>SUMIFS('Federal Data'!AO2:AO501,'Federal Data'!$F2:$F501,"Other Taxes")</f>
        <v>8495000</v>
      </c>
      <c r="AE18">
        <f>SUMIFS('Federal Data'!AP2:AP501,'Federal Data'!$F2:$F501,"Other Taxes")</f>
        <v>8401000</v>
      </c>
      <c r="AF18">
        <f>SUMIFS('Federal Data'!AQ2:AQ501,'Federal Data'!$F2:$F501,"Other Taxes")</f>
        <v>9049000</v>
      </c>
      <c r="AG18">
        <f>SUMIFS('Federal Data'!AR2:AR501,'Federal Data'!$F2:$F501,"Other Taxes")</f>
        <v>8822000</v>
      </c>
      <c r="AH18">
        <f>SUMIFS('Federal Data'!AS2:AS501,'Federal Data'!$F2:$F501,"Other Taxes")</f>
        <v>10121000</v>
      </c>
      <c r="AI18">
        <f>SUMIFS('Federal Data'!AT2:AT501,'Federal Data'!$F2:$F501,"Other Taxes")</f>
        <v>10063000</v>
      </c>
      <c r="AJ18">
        <f>SUMIFS('Federal Data'!AU2:AU501,'Federal Data'!$F2:$F501,"Other Taxes")</f>
        <v>9949000</v>
      </c>
      <c r="AK18">
        <f>SUMIFS('Federal Data'!AV2:AV501,'Federal Data'!$F2:$F501,"Other Taxes")</f>
        <v>9646000</v>
      </c>
    </row>
    <row r="19" spans="1:37">
      <c r="A19" s="2" t="s">
        <v>2</v>
      </c>
      <c r="B19">
        <f>SUMIFS('Federal Data'!M2:M501,'Federal Data'!$E2:$E501,"Non-Tax Revenues")</f>
        <v>16848640</v>
      </c>
      <c r="C19">
        <f>SUMIFS('Federal Data'!N2:N501,'Federal Data'!$E2:$E501,"Non-Tax Revenues")</f>
        <v>23927559</v>
      </c>
      <c r="D19">
        <f>SUMIFS('Federal Data'!O2:O501,'Federal Data'!$E2:$E501,"Non-Tax Revenues")</f>
        <v>22410798</v>
      </c>
      <c r="E19">
        <f>SUMIFS('Federal Data'!P2:P501,'Federal Data'!$E2:$E501,"Non-Tax Revenues")</f>
        <v>26092166</v>
      </c>
      <c r="F19">
        <f>SUMIFS('Federal Data'!Q2:Q501,'Federal Data'!$E2:$E501,"Non-Tax Revenues")</f>
        <v>23488947</v>
      </c>
      <c r="G19">
        <f>SUMIFS('Federal Data'!R2:R501,'Federal Data'!$E2:$E501,"Non-Tax Revenues")</f>
        <v>23746390</v>
      </c>
      <c r="H19">
        <f>SUMIFS('Federal Data'!S2:S501,'Federal Data'!$E2:$E501,"Non-Tax Revenues")</f>
        <v>24382725</v>
      </c>
      <c r="I19">
        <f>SUMIFS('Federal Data'!T2:T501,'Federal Data'!$E2:$E501,"Non-Tax Revenues")</f>
        <v>24972135</v>
      </c>
      <c r="J19">
        <f>SUMIFS('Federal Data'!U2:U501,'Federal Data'!$E2:$E501,"Non-Tax Revenues")</f>
        <v>23255966</v>
      </c>
      <c r="K19">
        <f>SUMIFS('Federal Data'!V2:V501,'Federal Data'!$E2:$E501,"Non-Tax Revenues")</f>
        <v>25540604</v>
      </c>
      <c r="L19">
        <f>SUMIFS('Federal Data'!W2:W501,'Federal Data'!$E2:$E501,"Non-Tax Revenues")</f>
        <v>30205545</v>
      </c>
      <c r="M19">
        <f>SUMIFS('Federal Data'!X2:X501,'Federal Data'!$E2:$E501,"Non-Tax Revenues")</f>
        <v>25778160</v>
      </c>
      <c r="N19">
        <f>SUMIFS('Federal Data'!Y2:Y501,'Federal Data'!$E2:$E501,"Non-Tax Revenues")</f>
        <v>28765009</v>
      </c>
      <c r="O19">
        <f>SUMIFS('Federal Data'!Z2:Z501,'Federal Data'!$E2:$E501,"Non-Tax Revenues")</f>
        <v>21186995</v>
      </c>
      <c r="P19">
        <f>SUMIFS('Federal Data'!AA2:AA501,'Federal Data'!$E2:$E501,"Non-Tax Revenues")</f>
        <v>25051582</v>
      </c>
      <c r="Q19">
        <f>SUMIFS('Federal Data'!AB2:AB501,'Federal Data'!$E2:$E501,"Non-Tax Revenues")</f>
        <v>37528000</v>
      </c>
      <c r="R19">
        <f>SUMIFS('Federal Data'!AC2:AC501,'Federal Data'!$E2:$E501,"Non-Tax Revenues")</f>
        <v>28554000</v>
      </c>
      <c r="S19">
        <f>SUMIFS('Federal Data'!AD2:AD501,'Federal Data'!$E2:$E501,"Non-Tax Revenues")</f>
        <v>39980000</v>
      </c>
      <c r="T19">
        <f>SUMIFS('Federal Data'!AE2:AE501,'Federal Data'!$E2:$E501,"Non-Tax Revenues")</f>
        <v>42039000</v>
      </c>
      <c r="U19">
        <f>SUMIFS('Federal Data'!AF2:AF501,'Federal Data'!$E2:$E501,"Non-Tax Revenues")</f>
        <v>35930000</v>
      </c>
      <c r="V19">
        <f>SUMIFS('Federal Data'!AG2:AG501,'Federal Data'!$E2:$E501,"Non-Tax Revenues")</f>
        <v>42892000</v>
      </c>
      <c r="W19">
        <f>SUMIFS('Federal Data'!AH2:AH501,'Federal Data'!$E2:$E501,"Non-Tax Revenues")</f>
        <v>40542000</v>
      </c>
      <c r="X19">
        <f>SUMIFS('Federal Data'!AI2:AI501,'Federal Data'!$E2:$E501,"Non-Tax Revenues")</f>
        <v>33409000</v>
      </c>
      <c r="Y19">
        <f>SUMIFS('Federal Data'!AJ2:AJ501,'Federal Data'!$E2:$E501,"Non-Tax Revenues")</f>
        <v>33745000</v>
      </c>
      <c r="Z19">
        <f>SUMIFS('Federal Data'!AK2:AK501,'Federal Data'!$E2:$E501,"Non-Tax Revenues")</f>
        <v>31079000</v>
      </c>
      <c r="AA19">
        <f>SUMIFS('Federal Data'!AL2:AL501,'Federal Data'!$E2:$E501,"Non-Tax Revenues")</f>
        <v>31709000</v>
      </c>
      <c r="AB19">
        <f>SUMIFS('Federal Data'!AM2:AM501,'Federal Data'!$E2:$E501,"Non-Tax Revenues")</f>
        <v>44249000</v>
      </c>
      <c r="AC19">
        <f>SUMIFS('Federal Data'!AN2:AN501,'Federal Data'!$E2:$E501,"Non-Tax Revenues")</f>
        <v>60397000</v>
      </c>
      <c r="AD19">
        <f>SUMIFS('Federal Data'!AO2:AO501,'Federal Data'!$E2:$E501,"Non-Tax Revenues")</f>
        <v>61566000</v>
      </c>
      <c r="AE19">
        <f>SUMIFS('Federal Data'!AP2:AP501,'Federal Data'!$E2:$E501,"Non-Tax Revenues")</f>
        <v>65698000</v>
      </c>
      <c r="AF19">
        <f>SUMIFS('Federal Data'!AQ2:AQ501,'Federal Data'!$E2:$E501,"Non-Tax Revenues")</f>
        <v>92845000</v>
      </c>
      <c r="AG19">
        <f>SUMIFS('Federal Data'!AR2:AR501,'Federal Data'!$E2:$E501,"Non-Tax Revenues")</f>
        <v>102782000</v>
      </c>
      <c r="AH19">
        <f>SUMIFS('Federal Data'!AS2:AS501,'Federal Data'!$E2:$E501,"Non-Tax Revenues")</f>
        <v>116314000</v>
      </c>
      <c r="AI19">
        <f>SUMIFS('Federal Data'!AT2:AT501,'Federal Data'!$E2:$E501,"Non-Tax Revenues")</f>
        <v>104037000</v>
      </c>
      <c r="AJ19">
        <f>SUMIFS('Federal Data'!AU2:AU501,'Federal Data'!$E2:$E501,"Non-Tax Revenues")</f>
        <v>134882000</v>
      </c>
      <c r="AK19">
        <f>SUMIFS('Federal Data'!AV2:AV501,'Federal Data'!$E2:$E501,"Non-Tax Revenues")</f>
        <v>172515000</v>
      </c>
    </row>
    <row r="20" spans="1:37">
      <c r="A20" s="3" t="s">
        <v>13</v>
      </c>
      <c r="B20">
        <f>SUMIFS('Federal Data'!M2:M501,'Federal Data'!$F2:$F501,"Sales of Government Resources")</f>
        <v>4100870</v>
      </c>
      <c r="C20">
        <f>SUMIFS('Federal Data'!N2:N501,'Federal Data'!$F2:$F501,"Sales of Government Resources")</f>
        <v>10137986</v>
      </c>
      <c r="D20">
        <f>SUMIFS('Federal Data'!O2:O501,'Federal Data'!$F2:$F501,"Sales of Government Resources")</f>
        <v>6249621</v>
      </c>
      <c r="E20">
        <f>SUMIFS('Federal Data'!P2:P501,'Federal Data'!$F2:$F501,"Sales of Government Resources")</f>
        <v>10491496</v>
      </c>
      <c r="F20">
        <f>SUMIFS('Federal Data'!Q2:Q501,'Federal Data'!$F2:$F501,"Sales of Government Resources")</f>
        <v>6693547</v>
      </c>
      <c r="G20">
        <f>SUMIFS('Federal Data'!R2:R501,'Federal Data'!$F2:$F501,"Sales of Government Resources")</f>
        <v>5541880</v>
      </c>
      <c r="H20">
        <f>SUMIFS('Federal Data'!S2:S501,'Federal Data'!$F2:$F501,"Sales of Government Resources")</f>
        <v>4715974</v>
      </c>
      <c r="I20">
        <f>SUMIFS('Federal Data'!T2:T501,'Federal Data'!$F2:$F501,"Sales of Government Resources")</f>
        <v>5896066</v>
      </c>
      <c r="J20">
        <f>SUMIFS('Federal Data'!U2:U501,'Federal Data'!$F2:$F501,"Sales of Government Resources")</f>
        <v>3547691</v>
      </c>
      <c r="K20">
        <f>SUMIFS('Federal Data'!V2:V501,'Federal Data'!$F2:$F501,"Sales of Government Resources")</f>
        <v>2929212</v>
      </c>
      <c r="L20">
        <f>SUMIFS('Federal Data'!W2:W501,'Federal Data'!$F2:$F501,"Sales of Government Resources")</f>
        <v>3004086</v>
      </c>
      <c r="M20">
        <f>SUMIFS('Federal Data'!X2:X501,'Federal Data'!$F2:$F501,"Sales of Government Resources")</f>
        <v>3150243</v>
      </c>
      <c r="N20">
        <f>SUMIFS('Federal Data'!Y2:Y501,'Federal Data'!$F2:$F501,"Sales of Government Resources")</f>
        <v>2498255</v>
      </c>
      <c r="O20">
        <f>SUMIFS('Federal Data'!Z2:Z501,'Federal Data'!$F2:$F501,"Sales of Government Resources")</f>
        <v>2784562</v>
      </c>
      <c r="P20">
        <f>SUMIFS('Federal Data'!AA2:AA501,'Federal Data'!$F2:$F501,"Sales of Government Resources")</f>
        <v>3001438</v>
      </c>
      <c r="Q20">
        <f>SUMIFS('Federal Data'!AB2:AB501,'Federal Data'!$F2:$F501,"Sales of Government Resources")</f>
        <v>10062000</v>
      </c>
      <c r="R20">
        <f>SUMIFS('Federal Data'!AC2:AC501,'Federal Data'!$F2:$F501,"Sales of Government Resources")</f>
        <v>4083000</v>
      </c>
      <c r="S20">
        <f>SUMIFS('Federal Data'!AD2:AD501,'Federal Data'!$F2:$F501,"Sales of Government Resources")</f>
        <v>15717000</v>
      </c>
      <c r="T20">
        <f>SUMIFS('Federal Data'!AE2:AE501,'Federal Data'!$F2:$F501,"Sales of Government Resources")</f>
        <v>12322000</v>
      </c>
      <c r="U20">
        <f>SUMIFS('Federal Data'!AF2:AF501,'Federal Data'!$F2:$F501,"Sales of Government Resources")</f>
        <v>4851000</v>
      </c>
      <c r="V20">
        <f>SUMIFS('Federal Data'!AG2:AG501,'Federal Data'!$F2:$F501,"Sales of Government Resources")</f>
        <v>4730000</v>
      </c>
      <c r="W20">
        <f>SUMIFS('Federal Data'!AH2:AH501,'Federal Data'!$F2:$F501,"Sales of Government Resources")</f>
        <v>8218000</v>
      </c>
      <c r="X20">
        <f>SUMIFS('Federal Data'!AI2:AI501,'Federal Data'!$F2:$F501,"Sales of Government Resources")</f>
        <v>5025000</v>
      </c>
      <c r="Y20">
        <f>SUMIFS('Federal Data'!AJ2:AJ501,'Federal Data'!$F2:$F501,"Sales of Government Resources")</f>
        <v>5029000</v>
      </c>
      <c r="Z20">
        <f>SUMIFS('Federal Data'!AK2:AK501,'Federal Data'!$F2:$F501,"Sales of Government Resources")</f>
        <v>5106000</v>
      </c>
      <c r="AA20">
        <f>SUMIFS('Federal Data'!AL2:AL501,'Federal Data'!$F2:$F501,"Sales of Government Resources")</f>
        <v>6306000</v>
      </c>
      <c r="AB20">
        <f>SUMIFS('Federal Data'!AM2:AM501,'Federal Data'!$F2:$F501,"Sales of Government Resources")</f>
        <v>7394000</v>
      </c>
      <c r="AC20">
        <f>SUMIFS('Federal Data'!AN2:AN501,'Federal Data'!$F2:$F501,"Sales of Government Resources")</f>
        <v>20463000</v>
      </c>
      <c r="AD20">
        <f>SUMIFS('Federal Data'!AO2:AO501,'Federal Data'!$F2:$F501,"Sales of Government Resources")</f>
        <v>20064000</v>
      </c>
      <c r="AE20">
        <f>SUMIFS('Federal Data'!AP2:AP501,'Federal Data'!$F2:$F501,"Sales of Government Resources")</f>
        <v>21982000</v>
      </c>
      <c r="AF20">
        <f>SUMIFS('Federal Data'!AQ2:AQ501,'Federal Data'!$F2:$F501,"Sales of Government Resources")</f>
        <v>5080000</v>
      </c>
      <c r="AG20">
        <f>SUMIFS('Federal Data'!AR2:AR501,'Federal Data'!$F2:$F501,"Sales of Government Resources")</f>
        <v>8787000</v>
      </c>
      <c r="AH20">
        <f>SUMIFS('Federal Data'!AS2:AS501,'Federal Data'!$F2:$F501,"Sales of Government Resources")</f>
        <v>19597000</v>
      </c>
      <c r="AI20">
        <f>SUMIFS('Federal Data'!AT2:AT501,'Federal Data'!$F2:$F501,"Sales of Government Resources")</f>
        <v>11462000</v>
      </c>
      <c r="AJ20">
        <f>SUMIFS('Federal Data'!AU2:AU501,'Federal Data'!$F2:$F501,"Sales of Government Resources")</f>
        <v>8695000</v>
      </c>
      <c r="AK20">
        <f>SUMIFS('Federal Data'!AV2:AV501,'Federal Data'!$F2:$F501,"Sales of Government Resources")</f>
        <v>34683000</v>
      </c>
    </row>
    <row r="21" spans="1:37">
      <c r="A21" s="4" t="s">
        <v>79</v>
      </c>
      <c r="B21">
        <f>SUMIFS('Federal Data'!M2:M501,'Federal Data'!$G2:$G501,"Rents and Royalties OCS")</f>
        <v>4100870</v>
      </c>
      <c r="C21">
        <f>SUMIFS('Federal Data'!N2:N501,'Federal Data'!$G2:$G501,"Rents and Royalties OCS")</f>
        <v>10137986</v>
      </c>
      <c r="D21">
        <f>SUMIFS('Federal Data'!O2:O501,'Federal Data'!$G2:$G501,"Rents and Royalties OCS")</f>
        <v>6249621</v>
      </c>
      <c r="E21">
        <f>SUMIFS('Federal Data'!P2:P501,'Federal Data'!$G2:$G501,"Rents and Royalties OCS")</f>
        <v>10491496</v>
      </c>
      <c r="F21">
        <f>SUMIFS('Federal Data'!Q2:Q501,'Federal Data'!$G2:$G501,"Rents and Royalties OCS")</f>
        <v>6693547</v>
      </c>
      <c r="G21">
        <f>SUMIFS('Federal Data'!R2:R501,'Federal Data'!$G2:$G501,"Rents and Royalties OCS")</f>
        <v>5541880</v>
      </c>
      <c r="H21">
        <f>SUMIFS('Federal Data'!S2:S501,'Federal Data'!$G2:$G501,"Rents and Royalties OCS")</f>
        <v>4715974</v>
      </c>
      <c r="I21">
        <f>SUMIFS('Federal Data'!T2:T501,'Federal Data'!$G2:$G501,"Rents and Royalties OCS")</f>
        <v>4021478</v>
      </c>
      <c r="J21">
        <f>SUMIFS('Federal Data'!U2:U501,'Federal Data'!$G2:$G501,"Rents and Royalties OCS")</f>
        <v>3547691</v>
      </c>
      <c r="K21">
        <f>SUMIFS('Federal Data'!V2:V501,'Federal Data'!$G2:$G501,"Rents and Royalties OCS")</f>
        <v>2929212</v>
      </c>
      <c r="L21">
        <f>SUMIFS('Federal Data'!W2:W501,'Federal Data'!$G2:$G501,"Rents and Royalties OCS")</f>
        <v>3004086</v>
      </c>
      <c r="M21">
        <f>SUMIFS('Federal Data'!X2:X501,'Federal Data'!$G2:$G501,"Rents and Royalties OCS")</f>
        <v>3150243</v>
      </c>
      <c r="N21">
        <f>SUMIFS('Federal Data'!Y2:Y501,'Federal Data'!$G2:$G501,"Rents and Royalties OCS")</f>
        <v>2498255</v>
      </c>
      <c r="O21">
        <f>SUMIFS('Federal Data'!Z2:Z501,'Federal Data'!$G2:$G501,"Rents and Royalties OCS")</f>
        <v>2784562</v>
      </c>
      <c r="P21">
        <f>SUMIFS('Federal Data'!AA2:AA501,'Federal Data'!$G2:$G501,"Rents and Royalties OCS")</f>
        <v>3001438</v>
      </c>
      <c r="Q21">
        <f>SUMIFS('Federal Data'!AB2:AB501,'Federal Data'!$G2:$G501,"Rents and Royalties OCS")</f>
        <v>2418000</v>
      </c>
      <c r="R21">
        <f>SUMIFS('Federal Data'!AC2:AC501,'Federal Data'!$G2:$G501,"Rents and Royalties OCS")</f>
        <v>3741000</v>
      </c>
      <c r="S21">
        <f>SUMIFS('Federal Data'!AD2:AD501,'Federal Data'!$G2:$G501,"Rents and Royalties OCS")</f>
        <v>4711000</v>
      </c>
      <c r="T21">
        <f>SUMIFS('Federal Data'!AE2:AE501,'Federal Data'!$G2:$G501,"Rents and Royalties OCS")</f>
        <v>4522000</v>
      </c>
      <c r="U21">
        <f>SUMIFS('Federal Data'!AF2:AF501,'Federal Data'!$G2:$G501,"Rents and Royalties OCS")</f>
        <v>3098000</v>
      </c>
      <c r="V21">
        <f>SUMIFS('Federal Data'!AG2:AG501,'Federal Data'!$G2:$G501,"Rents and Royalties OCS")</f>
        <v>4580000</v>
      </c>
      <c r="W21">
        <f>SUMIFS('Federal Data'!AH2:AH501,'Federal Data'!$G2:$G501,"Rents and Royalties OCS")</f>
        <v>7194000</v>
      </c>
      <c r="X21">
        <f>SUMIFS('Federal Data'!AI2:AI501,'Federal Data'!$G2:$G501,"Rents and Royalties OCS")</f>
        <v>5024000</v>
      </c>
      <c r="Y21">
        <f>SUMIFS('Federal Data'!AJ2:AJ501,'Federal Data'!$G2:$G501,"Rents and Royalties OCS")</f>
        <v>5029000</v>
      </c>
      <c r="Z21">
        <f>SUMIFS('Federal Data'!AK2:AK501,'Federal Data'!$G2:$G501,"Rents and Royalties OCS")</f>
        <v>5106000</v>
      </c>
      <c r="AA21">
        <f>SUMIFS('Federal Data'!AL2:AL501,'Federal Data'!$G2:$G501,"Rents and Royalties OCS")</f>
        <v>6146000</v>
      </c>
      <c r="AB21">
        <f>SUMIFS('Federal Data'!AM2:AM501,'Federal Data'!$G2:$G501,"Rents and Royalties OCS")</f>
        <v>7283000</v>
      </c>
      <c r="AC21">
        <f>SUMIFS('Federal Data'!AN2:AN501,'Federal Data'!$G2:$G501,"Rents and Royalties OCS")</f>
        <v>6763000</v>
      </c>
      <c r="AD21">
        <f>SUMIFS('Federal Data'!AO2:AO501,'Federal Data'!$G2:$G501,"Rents and Royalties OCS")</f>
        <v>18285000</v>
      </c>
      <c r="AE21">
        <f>SUMIFS('Federal Data'!AP2:AP501,'Federal Data'!$G2:$G501,"Rents and Royalties OCS")</f>
        <v>5292000</v>
      </c>
      <c r="AF21">
        <f>SUMIFS('Federal Data'!AQ2:AQ501,'Federal Data'!$G2:$G501,"Rents and Royalties OCS")</f>
        <v>4883000</v>
      </c>
      <c r="AG21">
        <f>SUMIFS('Federal Data'!AR2:AR501,'Federal Data'!$G2:$G501,"Rents and Royalties OCS")</f>
        <v>6383000</v>
      </c>
      <c r="AH21">
        <f>SUMIFS('Federal Data'!AS2:AS501,'Federal Data'!$G2:$G501,"Rents and Royalties OCS")</f>
        <v>6605000</v>
      </c>
      <c r="AI21">
        <f>SUMIFS('Federal Data'!AT2:AT501,'Federal Data'!$G2:$G501,"Rents and Royalties OCS")</f>
        <v>8874000</v>
      </c>
      <c r="AJ21">
        <f>SUMIFS('Federal Data'!AU2:AU501,'Federal Data'!$G2:$G501,"Rents and Royalties OCS")</f>
        <v>7474000</v>
      </c>
      <c r="AK21">
        <f>SUMIFS('Federal Data'!AV2:AV501,'Federal Data'!$G2:$G501,"Rents and Royalties OCS")</f>
        <v>4555000</v>
      </c>
    </row>
    <row r="22" spans="1:37">
      <c r="A22" s="4" t="s">
        <v>80</v>
      </c>
      <c r="B22">
        <f>SUMIFS('Federal Data'!M2:M501,'Federal Data'!$G2:$G501,"Spectrum Auctions and Licensing")</f>
        <v>0</v>
      </c>
      <c r="C22">
        <f>SUMIFS('Federal Data'!N2:N501,'Federal Data'!$G2:$G501,"Spectrum Auctions and Licensing")</f>
        <v>0</v>
      </c>
      <c r="D22">
        <f>SUMIFS('Federal Data'!O2:O501,'Federal Data'!$G2:$G501,"Spectrum Auctions and Licensing")</f>
        <v>0</v>
      </c>
      <c r="E22">
        <f>SUMIFS('Federal Data'!P2:P501,'Federal Data'!$G2:$G501,"Spectrum Auctions and Licensing")</f>
        <v>0</v>
      </c>
      <c r="F22">
        <f>SUMIFS('Federal Data'!Q2:Q501,'Federal Data'!$G2:$G501,"Spectrum Auctions and Licensing")</f>
        <v>0</v>
      </c>
      <c r="G22">
        <f>SUMIFS('Federal Data'!R2:R501,'Federal Data'!$G2:$G501,"Spectrum Auctions and Licensing")</f>
        <v>0</v>
      </c>
      <c r="H22">
        <f>SUMIFS('Federal Data'!S2:S501,'Federal Data'!$G2:$G501,"Spectrum Auctions and Licensing")</f>
        <v>0</v>
      </c>
      <c r="I22">
        <f>SUMIFS('Federal Data'!T2:T501,'Federal Data'!$G2:$G501,"Spectrum Auctions and Licensing")</f>
        <v>0</v>
      </c>
      <c r="J22">
        <f>SUMIFS('Federal Data'!U2:U501,'Federal Data'!$G2:$G501,"Spectrum Auctions and Licensing")</f>
        <v>0</v>
      </c>
      <c r="K22">
        <f>SUMIFS('Federal Data'!V2:V501,'Federal Data'!$G2:$G501,"Spectrum Auctions and Licensing")</f>
        <v>0</v>
      </c>
      <c r="L22">
        <f>SUMIFS('Federal Data'!W2:W501,'Federal Data'!$G2:$G501,"Spectrum Auctions and Licensing")</f>
        <v>0</v>
      </c>
      <c r="M22">
        <f>SUMIFS('Federal Data'!X2:X501,'Federal Data'!$G2:$G501,"Spectrum Auctions and Licensing")</f>
        <v>0</v>
      </c>
      <c r="N22">
        <f>SUMIFS('Federal Data'!Y2:Y501,'Federal Data'!$G2:$G501,"Spectrum Auctions and Licensing")</f>
        <v>0</v>
      </c>
      <c r="O22">
        <f>SUMIFS('Federal Data'!Z2:Z501,'Federal Data'!$G2:$G501,"Spectrum Auctions and Licensing")</f>
        <v>0</v>
      </c>
      <c r="P22">
        <f>SUMIFS('Federal Data'!AA2:AA501,'Federal Data'!$G2:$G501,"Spectrum Auctions and Licensing")</f>
        <v>0</v>
      </c>
      <c r="Q22">
        <f>SUMIFS('Federal Data'!AB2:AB501,'Federal Data'!$G2:$G501,"Spectrum Auctions and Licensing")</f>
        <v>7644000</v>
      </c>
      <c r="R22">
        <f>SUMIFS('Federal Data'!AC2:AC501,'Federal Data'!$G2:$G501,"Spectrum Auctions and Licensing")</f>
        <v>342000</v>
      </c>
      <c r="S22">
        <f>SUMIFS('Federal Data'!AD2:AD501,'Federal Data'!$G2:$G501,"Spectrum Auctions and Licensing")</f>
        <v>11006000</v>
      </c>
      <c r="T22">
        <f>SUMIFS('Federal Data'!AE2:AE501,'Federal Data'!$G2:$G501,"Spectrum Auctions and Licensing")</f>
        <v>2642000</v>
      </c>
      <c r="U22">
        <f>SUMIFS('Federal Data'!AF2:AF501,'Federal Data'!$G2:$G501,"Spectrum Auctions and Licensing")</f>
        <v>1753000</v>
      </c>
      <c r="V22">
        <f>SUMIFS('Federal Data'!AG2:AG501,'Federal Data'!$G2:$G501,"Spectrum Auctions and Licensing")</f>
        <v>150000</v>
      </c>
      <c r="W22">
        <f>SUMIFS('Federal Data'!AH2:AH501,'Federal Data'!$G2:$G501,"Spectrum Auctions and Licensing")</f>
        <v>1024000</v>
      </c>
      <c r="X22">
        <f>SUMIFS('Federal Data'!AI2:AI501,'Federal Data'!$G2:$G501,"Spectrum Auctions and Licensing")</f>
        <v>1000</v>
      </c>
      <c r="Y22">
        <f>SUMIFS('Federal Data'!AJ2:AJ501,'Federal Data'!$G2:$G501,"Spectrum Auctions and Licensing")</f>
        <v>0</v>
      </c>
      <c r="Z22">
        <f>SUMIFS('Federal Data'!AK2:AK501,'Federal Data'!$G2:$G501,"Spectrum Auctions and Licensing")</f>
        <v>0</v>
      </c>
      <c r="AA22">
        <f>SUMIFS('Federal Data'!AL2:AL501,'Federal Data'!$G2:$G501,"Spectrum Auctions and Licensing")</f>
        <v>160000</v>
      </c>
      <c r="AB22">
        <f>SUMIFS('Federal Data'!AM2:AM501,'Federal Data'!$G2:$G501,"Spectrum Auctions and Licensing")</f>
        <v>111000</v>
      </c>
      <c r="AC22">
        <f>SUMIFS('Federal Data'!AN2:AN501,'Federal Data'!$G2:$G501,"Spectrum Auctions and Licensing")</f>
        <v>13700000</v>
      </c>
      <c r="AD22">
        <f>SUMIFS('Federal Data'!AO2:AO501,'Federal Data'!$G2:$G501,"Spectrum Auctions and Licensing")</f>
        <v>1779000</v>
      </c>
      <c r="AE22">
        <f>SUMIFS('Federal Data'!AP2:AP501,'Federal Data'!$G2:$G501,"Spectrum Auctions and Licensing")</f>
        <v>16690000</v>
      </c>
      <c r="AF22">
        <f>SUMIFS('Federal Data'!AQ2:AQ501,'Federal Data'!$G2:$G501,"Spectrum Auctions and Licensing")</f>
        <v>197000</v>
      </c>
      <c r="AG22">
        <f>SUMIFS('Federal Data'!AR2:AR501,'Federal Data'!$G2:$G501,"Spectrum Auctions and Licensing")</f>
        <v>0</v>
      </c>
      <c r="AH22">
        <f>SUMIFS('Federal Data'!AS2:AS501,'Federal Data'!$G2:$G501,"Spectrum Auctions and Licensing")</f>
        <v>0</v>
      </c>
      <c r="AI22">
        <f>SUMIFS('Federal Data'!AT2:AT501,'Federal Data'!$G2:$G501,"Spectrum Auctions and Licensing")</f>
        <v>0</v>
      </c>
      <c r="AJ22">
        <f>SUMIFS('Federal Data'!AU2:AU501,'Federal Data'!$G2:$G501,"Spectrum Auctions and Licensing")</f>
        <v>1221000</v>
      </c>
      <c r="AK22">
        <f>SUMIFS('Federal Data'!AV2:AV501,'Federal Data'!$G2:$G501,"Spectrum Auctions and Licensing")</f>
        <v>30128000</v>
      </c>
    </row>
    <row r="23" spans="1:37">
      <c r="A23" s="4" t="s">
        <v>81</v>
      </c>
      <c r="B23">
        <f>SUMIFS('Federal Data'!M2:M501,'Federal Data'!$G2:$G501,"Sales of Major Assets")</f>
        <v>0</v>
      </c>
      <c r="C23">
        <f>SUMIFS('Federal Data'!N2:N501,'Federal Data'!$G2:$G501,"Sales of Major Assets")</f>
        <v>0</v>
      </c>
      <c r="D23">
        <f>SUMIFS('Federal Data'!O2:O501,'Federal Data'!$G2:$G501,"Sales of Major Assets")</f>
        <v>0</v>
      </c>
      <c r="E23">
        <f>SUMIFS('Federal Data'!P2:P501,'Federal Data'!$G2:$G501,"Sales of Major Assets")</f>
        <v>0</v>
      </c>
      <c r="F23">
        <f>SUMIFS('Federal Data'!Q2:Q501,'Federal Data'!$G2:$G501,"Sales of Major Assets")</f>
        <v>0</v>
      </c>
      <c r="G23">
        <f>SUMIFS('Federal Data'!R2:R501,'Federal Data'!$G2:$G501,"Sales of Major Assets")</f>
        <v>0</v>
      </c>
      <c r="H23">
        <f>SUMIFS('Federal Data'!S2:S501,'Federal Data'!$G2:$G501,"Sales of Major Assets")</f>
        <v>0</v>
      </c>
      <c r="I23">
        <f>SUMIFS('Federal Data'!T2:T501,'Federal Data'!$G2:$G501,"Sales of Major Assets")</f>
        <v>1874588</v>
      </c>
      <c r="J23">
        <f>SUMIFS('Federal Data'!U2:U501,'Federal Data'!$G2:$G501,"Sales of Major Assets")</f>
        <v>0</v>
      </c>
      <c r="K23">
        <f>SUMIFS('Federal Data'!V2:V501,'Federal Data'!$G2:$G501,"Sales of Major Assets")</f>
        <v>0</v>
      </c>
      <c r="L23">
        <f>SUMIFS('Federal Data'!W2:W501,'Federal Data'!$G2:$G501,"Sales of Major Assets")</f>
        <v>0</v>
      </c>
      <c r="M23">
        <f>SUMIFS('Federal Data'!X2:X501,'Federal Data'!$G2:$G501,"Sales of Major Assets")</f>
        <v>0</v>
      </c>
      <c r="N23">
        <f>SUMIFS('Federal Data'!Y2:Y501,'Federal Data'!$G2:$G501,"Sales of Major Assets")</f>
        <v>0</v>
      </c>
      <c r="O23">
        <f>SUMIFS('Federal Data'!Z2:Z501,'Federal Data'!$G2:$G501,"Sales of Major Assets")</f>
        <v>0</v>
      </c>
      <c r="P23">
        <f>SUMIFS('Federal Data'!AA2:AA501,'Federal Data'!$G2:$G501,"Sales of Major Assets")</f>
        <v>0</v>
      </c>
      <c r="Q23">
        <f>SUMIFS('Federal Data'!AB2:AB501,'Federal Data'!$G2:$G501,"Sales of Major Assets")</f>
        <v>0</v>
      </c>
      <c r="R23">
        <f>SUMIFS('Federal Data'!AC2:AC501,'Federal Data'!$G2:$G501,"Sales of Major Assets")</f>
        <v>0</v>
      </c>
      <c r="S23">
        <f>SUMIFS('Federal Data'!AD2:AD501,'Federal Data'!$G2:$G501,"Sales of Major Assets")</f>
        <v>0</v>
      </c>
      <c r="T23">
        <f>SUMIFS('Federal Data'!AE2:AE501,'Federal Data'!$G2:$G501,"Sales of Major Assets")</f>
        <v>5158000</v>
      </c>
      <c r="U23">
        <f>SUMIFS('Federal Data'!AF2:AF501,'Federal Data'!$G2:$G501,"Sales of Major Assets")</f>
        <v>0</v>
      </c>
      <c r="V23">
        <f>SUMIFS('Federal Data'!AG2:AG501,'Federal Data'!$G2:$G501,"Sales of Major Assets")</f>
        <v>0</v>
      </c>
      <c r="W23">
        <f>SUMIFS('Federal Data'!AH2:AH501,'Federal Data'!$G2:$G501,"Sales of Major Assets")</f>
        <v>0</v>
      </c>
      <c r="X23">
        <f>SUMIFS('Federal Data'!AI2:AI501,'Federal Data'!$G2:$G501,"Sales of Major Assets")</f>
        <v>0</v>
      </c>
      <c r="Y23">
        <f>SUMIFS('Federal Data'!AJ2:AJ501,'Federal Data'!$G2:$G501,"Sales of Major Assets")</f>
        <v>0</v>
      </c>
      <c r="Z23">
        <f>SUMIFS('Federal Data'!AK2:AK501,'Federal Data'!$G2:$G501,"Sales of Major Assets")</f>
        <v>0</v>
      </c>
      <c r="AA23">
        <f>SUMIFS('Federal Data'!AL2:AL501,'Federal Data'!$G2:$G501,"Sales of Major Assets")</f>
        <v>0</v>
      </c>
      <c r="AB23">
        <f>SUMIFS('Federal Data'!AM2:AM501,'Federal Data'!$G2:$G501,"Sales of Major Assets")</f>
        <v>0</v>
      </c>
      <c r="AC23">
        <f>SUMIFS('Federal Data'!AN2:AN501,'Federal Data'!$G2:$G501,"Sales of Major Assets")</f>
        <v>0</v>
      </c>
      <c r="AD23">
        <f>SUMIFS('Federal Data'!AO2:AO501,'Federal Data'!$G2:$G501,"Sales of Major Assets")</f>
        <v>0</v>
      </c>
      <c r="AE23">
        <f>SUMIFS('Federal Data'!AP2:AP501,'Federal Data'!$G2:$G501,"Sales of Major Assets")</f>
        <v>0</v>
      </c>
      <c r="AF23">
        <f>SUMIFS('Federal Data'!AQ2:AQ501,'Federal Data'!$G2:$G501,"Sales of Major Assets")</f>
        <v>0</v>
      </c>
      <c r="AG23">
        <f>SUMIFS('Federal Data'!AR2:AR501,'Federal Data'!$G2:$G501,"Sales of Major Assets")</f>
        <v>2404000</v>
      </c>
      <c r="AH23">
        <f>SUMIFS('Federal Data'!AS2:AS501,'Federal Data'!$G2:$G501,"Sales of Major Assets")</f>
        <v>12992000</v>
      </c>
      <c r="AI23">
        <f>SUMIFS('Federal Data'!AT2:AT501,'Federal Data'!$G2:$G501,"Sales of Major Assets")</f>
        <v>2588000</v>
      </c>
      <c r="AJ23">
        <f>SUMIFS('Federal Data'!AU2:AU501,'Federal Data'!$G2:$G501,"Sales of Major Assets")</f>
        <v>0</v>
      </c>
      <c r="AK23">
        <f>SUMIFS('Federal Data'!AV2:AV501,'Federal Data'!$G2:$G501,"Sales of Major Assets")</f>
        <v>0</v>
      </c>
    </row>
    <row r="24" spans="1:37">
      <c r="A24" s="3" t="s">
        <v>14</v>
      </c>
      <c r="B24">
        <f>SUMIFS('Federal Data'!M2:M501,'Federal Data'!$F2:$F501,"Federal Reserve earnings")</f>
        <v>11767143</v>
      </c>
      <c r="C24">
        <f>SUMIFS('Federal Data'!N2:N501,'Federal Data'!$F2:$F501,"Federal Reserve earnings")</f>
        <v>12833713</v>
      </c>
      <c r="D24">
        <f>SUMIFS('Federal Data'!O2:O501,'Federal Data'!$F2:$F501,"Federal Reserve earnings")</f>
        <v>15185696</v>
      </c>
      <c r="E24">
        <f>SUMIFS('Federal Data'!P2:P501,'Federal Data'!$F2:$F501,"Federal Reserve earnings")</f>
        <v>14492350</v>
      </c>
      <c r="F24">
        <f>SUMIFS('Federal Data'!Q2:Q501,'Federal Data'!$F2:$F501,"Federal Reserve earnings")</f>
        <v>15683846</v>
      </c>
      <c r="G24">
        <f>SUMIFS('Federal Data'!R2:R501,'Federal Data'!$F2:$F501,"Federal Reserve earnings")</f>
        <v>17058986</v>
      </c>
      <c r="H24">
        <f>SUMIFS('Federal Data'!S2:S501,'Federal Data'!$F2:$F501,"Federal Reserve earnings")</f>
        <v>18373909</v>
      </c>
      <c r="I24">
        <f>SUMIFS('Federal Data'!T2:T501,'Federal Data'!$F2:$F501,"Federal Reserve earnings")</f>
        <v>16816623</v>
      </c>
      <c r="J24">
        <f>SUMIFS('Federal Data'!U2:U501,'Federal Data'!$F2:$F501,"Federal Reserve earnings")</f>
        <v>17163237</v>
      </c>
      <c r="K24">
        <f>SUMIFS('Federal Data'!V2:V501,'Federal Data'!$F2:$F501,"Federal Reserve earnings")</f>
        <v>19604126</v>
      </c>
      <c r="L24">
        <f>SUMIFS('Federal Data'!W2:W501,'Federal Data'!$F2:$F501,"Federal Reserve earnings")</f>
        <v>24319216</v>
      </c>
      <c r="M24">
        <f>SUMIFS('Federal Data'!X2:X501,'Federal Data'!$F2:$F501,"Federal Reserve earnings")</f>
        <v>19158322</v>
      </c>
      <c r="N24">
        <f>SUMIFS('Federal Data'!Y2:Y501,'Federal Data'!$F2:$F501,"Federal Reserve earnings")</f>
        <v>22920445</v>
      </c>
      <c r="O24">
        <f>SUMIFS('Federal Data'!Z2:Z501,'Federal Data'!$F2:$F501,"Federal Reserve earnings")</f>
        <v>14908084</v>
      </c>
      <c r="P24">
        <f>SUMIFS('Federal Data'!AA2:AA501,'Federal Data'!$F2:$F501,"Federal Reserve earnings")</f>
        <v>18022729</v>
      </c>
      <c r="Q24">
        <f>SUMIFS('Federal Data'!AB2:AB501,'Federal Data'!$F2:$F501,"Federal Reserve earnings")</f>
        <v>23378000</v>
      </c>
      <c r="R24">
        <f>SUMIFS('Federal Data'!AC2:AC501,'Federal Data'!$F2:$F501,"Federal Reserve earnings")</f>
        <v>20477000</v>
      </c>
      <c r="S24">
        <f>SUMIFS('Federal Data'!AD2:AD501,'Federal Data'!$F2:$F501,"Federal Reserve earnings")</f>
        <v>19636000</v>
      </c>
      <c r="T24">
        <f>SUMIFS('Federal Data'!AE2:AE501,'Federal Data'!$F2:$F501,"Federal Reserve earnings")</f>
        <v>24540000</v>
      </c>
      <c r="U24">
        <f>SUMIFS('Federal Data'!AF2:AF501,'Federal Data'!$F2:$F501,"Federal Reserve earnings")</f>
        <v>25917000</v>
      </c>
      <c r="V24">
        <f>SUMIFS('Federal Data'!AG2:AG501,'Federal Data'!$F2:$F501,"Federal Reserve earnings")</f>
        <v>32293000</v>
      </c>
      <c r="W24">
        <f>SUMIFS('Federal Data'!AH2:AH501,'Federal Data'!$F2:$F501,"Federal Reserve earnings")</f>
        <v>26124000</v>
      </c>
      <c r="X24">
        <f>SUMIFS('Federal Data'!AI2:AI501,'Federal Data'!$F2:$F501,"Federal Reserve earnings")</f>
        <v>23683000</v>
      </c>
      <c r="Y24">
        <f>SUMIFS('Federal Data'!AJ2:AJ501,'Federal Data'!$F2:$F501,"Federal Reserve earnings")</f>
        <v>21878000</v>
      </c>
      <c r="Z24">
        <f>SUMIFS('Federal Data'!AK2:AK501,'Federal Data'!$F2:$F501,"Federal Reserve earnings")</f>
        <v>19652000</v>
      </c>
      <c r="AA24">
        <f>SUMIFS('Federal Data'!AL2:AL501,'Federal Data'!$F2:$F501,"Federal Reserve earnings")</f>
        <v>19297000</v>
      </c>
      <c r="AB24">
        <f>SUMIFS('Federal Data'!AM2:AM501,'Federal Data'!$F2:$F501,"Federal Reserve earnings")</f>
        <v>29945000</v>
      </c>
      <c r="AC24">
        <f>SUMIFS('Federal Data'!AN2:AN501,'Federal Data'!$F2:$F501,"Federal Reserve earnings")</f>
        <v>32043000</v>
      </c>
      <c r="AD24">
        <f>SUMIFS('Federal Data'!AO2:AO501,'Federal Data'!$F2:$F501,"Federal Reserve earnings")</f>
        <v>33598000</v>
      </c>
      <c r="AE24">
        <f>SUMIFS('Federal Data'!AP2:AP501,'Federal Data'!$F2:$F501,"Federal Reserve earnings")</f>
        <v>34318000</v>
      </c>
      <c r="AF24">
        <f>SUMIFS('Federal Data'!AQ2:AQ501,'Federal Data'!$F2:$F501,"Federal Reserve earnings")</f>
        <v>75863000</v>
      </c>
      <c r="AG24">
        <f>SUMIFS('Federal Data'!AR2:AR501,'Federal Data'!$F2:$F501,"Federal Reserve earnings")</f>
        <v>82729000</v>
      </c>
      <c r="AH24">
        <f>SUMIFS('Federal Data'!AS2:AS501,'Federal Data'!$F2:$F501,"Federal Reserve earnings")</f>
        <v>82468000</v>
      </c>
      <c r="AI24">
        <f>SUMIFS('Federal Data'!AT2:AT501,'Federal Data'!$F2:$F501,"Federal Reserve earnings")</f>
        <v>76320000</v>
      </c>
      <c r="AJ24">
        <f>SUMIFS('Federal Data'!AU2:AU501,'Federal Data'!$F2:$F501,"Federal Reserve earnings")</f>
        <v>99875000</v>
      </c>
      <c r="AK24">
        <f>SUMIFS('Federal Data'!AV2:AV501,'Federal Data'!$F2:$F501,"Federal Reserve earnings")</f>
        <v>97046000</v>
      </c>
    </row>
    <row r="25" spans="1:37">
      <c r="A25" s="3" t="s">
        <v>17</v>
      </c>
      <c r="B25">
        <f>SUMIFS('Federal Data'!M2:M501,'Federal Data'!$F2:$F501,"Other Non-Tax Revenue")</f>
        <v>980627</v>
      </c>
      <c r="C25">
        <f>SUMIFS('Federal Data'!N2:N501,'Federal Data'!$F2:$F501,"Other Non-Tax Revenue")</f>
        <v>955860</v>
      </c>
      <c r="D25">
        <f>SUMIFS('Federal Data'!O2:O501,'Federal Data'!$F2:$F501,"Other Non-Tax Revenue")</f>
        <v>975481</v>
      </c>
      <c r="E25">
        <f>SUMIFS('Federal Data'!P2:P501,'Federal Data'!$F2:$F501,"Other Non-Tax Revenue")</f>
        <v>1108320</v>
      </c>
      <c r="F25">
        <f>SUMIFS('Federal Data'!Q2:Q501,'Federal Data'!$F2:$F501,"Other Non-Tax Revenue")</f>
        <v>1111554</v>
      </c>
      <c r="G25">
        <f>SUMIFS('Federal Data'!R2:R501,'Federal Data'!$F2:$F501,"Other Non-Tax Revenue")</f>
        <v>1145524</v>
      </c>
      <c r="H25">
        <f>SUMIFS('Federal Data'!S2:S501,'Federal Data'!$F2:$F501,"Other Non-Tax Revenue")</f>
        <v>1292842</v>
      </c>
      <c r="I25">
        <f>SUMIFS('Federal Data'!T2:T501,'Federal Data'!$F2:$F501,"Other Non-Tax Revenue")</f>
        <v>2259446</v>
      </c>
      <c r="J25">
        <f>SUMIFS('Federal Data'!U2:U501,'Federal Data'!$F2:$F501,"Other Non-Tax Revenue")</f>
        <v>2545038</v>
      </c>
      <c r="K25">
        <f>SUMIFS('Federal Data'!V2:V501,'Federal Data'!$F2:$F501,"Other Non-Tax Revenue")</f>
        <v>3007266</v>
      </c>
      <c r="L25">
        <f>SUMIFS('Federal Data'!W2:W501,'Federal Data'!$F2:$F501,"Other Non-Tax Revenue")</f>
        <v>2882243</v>
      </c>
      <c r="M25">
        <f>SUMIFS('Federal Data'!X2:X501,'Federal Data'!$F2:$F501,"Other Non-Tax Revenue")</f>
        <v>3469595</v>
      </c>
      <c r="N25">
        <f>SUMIFS('Federal Data'!Y2:Y501,'Federal Data'!$F2:$F501,"Other Non-Tax Revenue")</f>
        <v>3346309</v>
      </c>
      <c r="O25">
        <f>SUMIFS('Federal Data'!Z2:Z501,'Federal Data'!$F2:$F501,"Other Non-Tax Revenue")</f>
        <v>3494349</v>
      </c>
      <c r="P25">
        <f>SUMIFS('Federal Data'!AA2:AA501,'Federal Data'!$F2:$F501,"Other Non-Tax Revenue")</f>
        <v>4027415</v>
      </c>
      <c r="Q25">
        <f>SUMIFS('Federal Data'!AB2:AB501,'Federal Data'!$F2:$F501,"Other Non-Tax Revenue")</f>
        <v>4088000</v>
      </c>
      <c r="R25">
        <f>SUMIFS('Federal Data'!AC2:AC501,'Federal Data'!$F2:$F501,"Other Non-Tax Revenue")</f>
        <v>3994000</v>
      </c>
      <c r="S25">
        <f>SUMIFS('Federal Data'!AD2:AD501,'Federal Data'!$F2:$F501,"Other Non-Tax Revenue")</f>
        <v>4627000</v>
      </c>
      <c r="T25">
        <f>SUMIFS('Federal Data'!AE2:AE501,'Federal Data'!$F2:$F501,"Other Non-Tax Revenue")</f>
        <v>5177000</v>
      </c>
      <c r="U25">
        <f>SUMIFS('Federal Data'!AF2:AF501,'Federal Data'!$F2:$F501,"Other Non-Tax Revenue")</f>
        <v>5162000</v>
      </c>
      <c r="V25">
        <f>SUMIFS('Federal Data'!AG2:AG501,'Federal Data'!$F2:$F501,"Other Non-Tax Revenue")</f>
        <v>5869000</v>
      </c>
      <c r="W25">
        <f>SUMIFS('Federal Data'!AH2:AH501,'Federal Data'!$F2:$F501,"Other Non-Tax Revenue")</f>
        <v>6200000</v>
      </c>
      <c r="X25">
        <f>SUMIFS('Federal Data'!AI2:AI501,'Federal Data'!$F2:$F501,"Other Non-Tax Revenue")</f>
        <v>4701000</v>
      </c>
      <c r="Y25">
        <f>SUMIFS('Federal Data'!AJ2:AJ501,'Federal Data'!$F2:$F501,"Other Non-Tax Revenue")</f>
        <v>6838000</v>
      </c>
      <c r="Z25">
        <f>SUMIFS('Federal Data'!AK2:AK501,'Federal Data'!$F2:$F501,"Other Non-Tax Revenue")</f>
        <v>6321000</v>
      </c>
      <c r="AA25">
        <f>SUMIFS('Federal Data'!AL2:AL501,'Federal Data'!$F2:$F501,"Other Non-Tax Revenue")</f>
        <v>6106000</v>
      </c>
      <c r="AB25">
        <f>SUMIFS('Federal Data'!AM2:AM501,'Federal Data'!$F2:$F501,"Other Non-Tax Revenue")</f>
        <v>6910000</v>
      </c>
      <c r="AC25">
        <f>SUMIFS('Federal Data'!AN2:AN501,'Federal Data'!$F2:$F501,"Other Non-Tax Revenue")</f>
        <v>7891000</v>
      </c>
      <c r="AD25">
        <f>SUMIFS('Federal Data'!AO2:AO501,'Federal Data'!$F2:$F501,"Other Non-Tax Revenue")</f>
        <v>7904000</v>
      </c>
      <c r="AE25">
        <f>SUMIFS('Federal Data'!AP2:AP501,'Federal Data'!$F2:$F501,"Other Non-Tax Revenue")</f>
        <v>9398000</v>
      </c>
      <c r="AF25">
        <f>SUMIFS('Federal Data'!AQ2:AQ501,'Federal Data'!$F2:$F501,"Other Non-Tax Revenue")</f>
        <v>11902000</v>
      </c>
      <c r="AG25">
        <f>SUMIFS('Federal Data'!AR2:AR501,'Federal Data'!$F2:$F501,"Other Non-Tax Revenue")</f>
        <v>11266000</v>
      </c>
      <c r="AH25">
        <f>SUMIFS('Federal Data'!AS2:AS501,'Federal Data'!$F2:$F501,"Other Non-Tax Revenue")</f>
        <v>14249000</v>
      </c>
      <c r="AI25">
        <f>SUMIFS('Federal Data'!AT2:AT501,'Federal Data'!$F2:$F501,"Other Non-Tax Revenue")</f>
        <v>16255000</v>
      </c>
      <c r="AJ25">
        <f>SUMIFS('Federal Data'!AU2:AU501,'Federal Data'!$F2:$F501,"Other Non-Tax Revenue")</f>
        <v>26312000</v>
      </c>
      <c r="AK25">
        <f>SUMIFS('Federal Data'!AV2:AV501,'Federal Data'!$F2:$F501,"Other Non-Tax Revenue")</f>
        <v>40786000</v>
      </c>
    </row>
    <row r="27" spans="1:37">
      <c r="A27" s="1" t="s">
        <v>233</v>
      </c>
      <c r="B27">
        <f>SUMIFS('Federal Data'!M2:M501,'Federal Data'!$C2:$C501,"Spending")</f>
        <v>592776596</v>
      </c>
      <c r="C27">
        <f>SUMIFS('Federal Data'!N2:N501,'Federal Data'!$C2:$C501,"Spending")</f>
        <v>686156141</v>
      </c>
      <c r="D27">
        <f>SUMIFS('Federal Data'!O2:O501,'Federal Data'!$C2:$C501,"Spending")</f>
        <v>749859637</v>
      </c>
      <c r="E27">
        <f>SUMIFS('Federal Data'!P2:P501,'Federal Data'!$C2:$C501,"Spending")</f>
        <v>817506768</v>
      </c>
      <c r="F27">
        <f>SUMIFS('Federal Data'!Q2:Q501,'Federal Data'!$C2:$C501,"Spending")</f>
        <v>857437758</v>
      </c>
      <c r="G27">
        <f>SUMIFS('Federal Data'!R2:R501,'Federal Data'!$C2:$C501,"Spending")</f>
        <v>951426993</v>
      </c>
      <c r="H27">
        <f>SUMIFS('Federal Data'!S2:S501,'Federal Data'!$C2:$C501,"Spending")</f>
        <v>995109127</v>
      </c>
      <c r="I27">
        <f>SUMIFS('Federal Data'!T2:T501,'Federal Data'!$C2:$C501,"Spending")</f>
        <v>1010483282</v>
      </c>
      <c r="J27">
        <f>SUMIFS('Federal Data'!U2:U501,'Federal Data'!$C2:$C501,"Spending")</f>
        <v>1069396532</v>
      </c>
      <c r="K27">
        <f>SUMIFS('Federal Data'!V2:V501,'Federal Data'!$C2:$C501,"Spending")</f>
        <v>1148813278</v>
      </c>
      <c r="L27">
        <f>SUMIFS('Federal Data'!W2:W501,'Federal Data'!$C2:$C501,"Spending")</f>
        <v>1258906091</v>
      </c>
      <c r="M27">
        <f>SUMIFS('Federal Data'!X2:X501,'Federal Data'!$C2:$C501,"Spending")</f>
        <v>1330674210</v>
      </c>
      <c r="N27">
        <f>SUMIFS('Federal Data'!Y2:Y501,'Federal Data'!$C2:$C501,"Spending")</f>
        <v>1387960688</v>
      </c>
      <c r="O27">
        <f>SUMIFS('Federal Data'!Z2:Z501,'Federal Data'!$C2:$C501,"Spending")</f>
        <v>1416699862</v>
      </c>
      <c r="P27">
        <f>SUMIFS('Federal Data'!AA2:AA501,'Federal Data'!$C2:$C501,"Spending")</f>
        <v>1469291048</v>
      </c>
      <c r="Q27">
        <f>SUMIFS('Federal Data'!AB2:AB501,'Federal Data'!$C2:$C501,"Spending")</f>
        <v>1530442000</v>
      </c>
      <c r="R27">
        <f>SUMIFS('Federal Data'!AC2:AC501,'Federal Data'!$C2:$C501,"Spending")</f>
        <v>1568974000</v>
      </c>
      <c r="S27">
        <f>SUMIFS('Federal Data'!AD2:AD501,'Federal Data'!$C2:$C501,"Spending")</f>
        <v>1621595000</v>
      </c>
      <c r="T27">
        <f>SUMIFS('Federal Data'!AE2:AE501,'Federal Data'!$C2:$C501,"Spending")</f>
        <v>1670157000</v>
      </c>
      <c r="U27">
        <f>SUMIFS('Federal Data'!AF2:AF501,'Federal Data'!$C2:$C501,"Spending")</f>
        <v>1712249000</v>
      </c>
      <c r="V27">
        <f>SUMIFS('Federal Data'!AG2:AG501,'Federal Data'!$C2:$C501,"Spending")</f>
        <v>1799572000</v>
      </c>
      <c r="W27">
        <f>SUMIFS('Federal Data'!AH2:AH501,'Federal Data'!$C2:$C501,"Spending")</f>
        <v>1877386000</v>
      </c>
      <c r="X27">
        <f>SUMIFS('Federal Data'!AI2:AI501,'Federal Data'!$C2:$C501,"Spending")</f>
        <v>2023564000</v>
      </c>
      <c r="Y27">
        <f>SUMIFS('Federal Data'!AJ2:AJ501,'Federal Data'!$C2:$C501,"Spending")</f>
        <v>2173574000</v>
      </c>
      <c r="Z27">
        <f>SUMIFS('Federal Data'!AK2:AK501,'Federal Data'!$C2:$C501,"Spending")</f>
        <v>2307948000</v>
      </c>
      <c r="AA27">
        <f>SUMIFS('Federal Data'!AL2:AL501,'Federal Data'!$C2:$C501,"Spending")</f>
        <v>2488820000</v>
      </c>
      <c r="AB27">
        <f>SUMIFS('Federal Data'!AM2:AM501,'Federal Data'!$C2:$C501,"Spending")</f>
        <v>2673943000</v>
      </c>
      <c r="AC27">
        <f>SUMIFS('Federal Data'!AN2:AN501,'Federal Data'!$C2:$C501,"Spending")</f>
        <v>2761484000</v>
      </c>
      <c r="AD27">
        <f>SUMIFS('Federal Data'!AO2:AO501,'Federal Data'!$C2:$C501,"Spending")</f>
        <v>3016008000</v>
      </c>
      <c r="AE27">
        <f>SUMIFS('Federal Data'!AP2:AP501,'Federal Data'!$C2:$C501,"Spending")</f>
        <v>3554747000</v>
      </c>
      <c r="AF27">
        <f>SUMIFS('Federal Data'!AQ2:AQ501,'Federal Data'!$C2:$C501,"Spending")</f>
        <v>3478268000</v>
      </c>
      <c r="AG27">
        <f>SUMIFS('Federal Data'!AR2:AR501,'Federal Data'!$C2:$C501,"Spending")</f>
        <v>3628341000</v>
      </c>
      <c r="AH27">
        <f>SUMIFS('Federal Data'!AS2:AS501,'Federal Data'!$C2:$C501,"Spending")</f>
        <v>3573880000</v>
      </c>
      <c r="AI27">
        <f>SUMIFS('Federal Data'!AT2:AT501,'Federal Data'!$C2:$C501,"Spending")</f>
        <v>3484044000</v>
      </c>
      <c r="AJ27">
        <f>SUMIFS('Federal Data'!AU2:AU501,'Federal Data'!$C2:$C501,"Spending")</f>
        <v>3532124000</v>
      </c>
      <c r="AK27">
        <f>SUMIFS('Federal Data'!AV2:AV501,'Federal Data'!$C2:$C501,"Spending")</f>
        <v>3740179000</v>
      </c>
    </row>
    <row r="28" spans="1:37">
      <c r="A28" s="8" t="s">
        <v>109</v>
      </c>
      <c r="B28">
        <f>SUMIFS('Federal Data'!M2:M501,'Federal Data'!$C2:$C501,"Spending",'Federal Data'!$D2:$D501,"Nongrant")</f>
        <v>505110126</v>
      </c>
      <c r="C28">
        <f>SUMIFS('Federal Data'!N2:N501,'Federal Data'!$C2:$C501,"Spending",'Federal Data'!$D2:$D501,"Nongrant")</f>
        <v>595436876</v>
      </c>
      <c r="D28">
        <f>SUMIFS('Federal Data'!O2:O501,'Federal Data'!$C2:$C501,"Spending",'Federal Data'!$D2:$D501,"Nongrant")</f>
        <v>665937011</v>
      </c>
      <c r="E28">
        <f>SUMIFS('Federal Data'!P2:P501,'Federal Data'!$C2:$C501,"Spending",'Federal Data'!$D2:$D501,"Nongrant")</f>
        <v>729487828</v>
      </c>
      <c r="F28">
        <f>SUMIFS('Federal Data'!Q2:Q501,'Federal Data'!$C2:$C501,"Spending",'Federal Data'!$D2:$D501,"Nongrant")</f>
        <v>764465521</v>
      </c>
      <c r="G28">
        <f>SUMIFS('Federal Data'!R2:R501,'Federal Data'!$C2:$C501,"Spending",'Federal Data'!$D2:$D501,"Nongrant")</f>
        <v>850333972</v>
      </c>
      <c r="H28">
        <f>SUMIFS('Federal Data'!S2:S501,'Federal Data'!$C2:$C501,"Spending",'Federal Data'!$D2:$D501,"Nongrant")</f>
        <v>887519834</v>
      </c>
      <c r="I28">
        <f>SUMIFS('Federal Data'!T2:T501,'Federal Data'!$C2:$C501,"Spending",'Federal Data'!$D2:$D501,"Nongrant")</f>
        <v>906798403</v>
      </c>
      <c r="J28">
        <f>SUMIFS('Federal Data'!U2:U501,'Federal Data'!$C2:$C501,"Spending",'Federal Data'!$D2:$D501,"Nongrant")</f>
        <v>958713420</v>
      </c>
      <c r="K28">
        <f>SUMIFS('Federal Data'!V2:V501,'Federal Data'!$C2:$C501,"Spending",'Federal Data'!$D2:$D501,"Nongrant")</f>
        <v>1031431193</v>
      </c>
      <c r="L28">
        <f>SUMIFS('Federal Data'!W2:W501,'Federal Data'!$C2:$C501,"Spending",'Federal Data'!$D2:$D501,"Nongrant")</f>
        <v>1128102716</v>
      </c>
      <c r="M28">
        <f>SUMIFS('Federal Data'!X2:X501,'Federal Data'!$C2:$C501,"Spending",'Federal Data'!$D2:$D501,"Nongrant")</f>
        <v>1180723140</v>
      </c>
      <c r="N28">
        <f>SUMIFS('Federal Data'!Y2:Y501,'Federal Data'!$C2:$C501,"Spending",'Federal Data'!$D2:$D501,"Nongrant")</f>
        <v>1214683364</v>
      </c>
      <c r="O28">
        <f>SUMIFS('Federal Data'!Z2:Z501,'Federal Data'!$C2:$C501,"Spending",'Federal Data'!$D2:$D501,"Nongrant")</f>
        <v>1227892340</v>
      </c>
      <c r="P28">
        <f>SUMIFS('Federal Data'!AA2:AA501,'Federal Data'!$C2:$C501,"Spending",'Federal Data'!$D2:$D501,"Nongrant")</f>
        <v>1263355815</v>
      </c>
      <c r="Q28">
        <f>SUMIFS('Federal Data'!AB2:AB501,'Federal Data'!$C2:$C501,"Spending",'Federal Data'!$D2:$D501,"Nongrant")</f>
        <v>1310001000</v>
      </c>
      <c r="R28">
        <f>SUMIFS('Federal Data'!AC2:AC501,'Federal Data'!$C2:$C501,"Spending",'Federal Data'!$D2:$D501,"Nongrant")</f>
        <v>1345632000</v>
      </c>
      <c r="S28">
        <f>SUMIFS('Federal Data'!AD2:AD501,'Federal Data'!$C2:$C501,"Spending",'Federal Data'!$D2:$D501,"Nongrant")</f>
        <v>1391853000</v>
      </c>
      <c r="T28">
        <f>SUMIFS('Federal Data'!AE2:AE501,'Federal Data'!$C2:$C501,"Spending",'Federal Data'!$D2:$D501,"Nongrant")</f>
        <v>1428362000</v>
      </c>
      <c r="U28">
        <f>SUMIFS('Federal Data'!AF2:AF501,'Federal Data'!$C2:$C501,"Spending",'Federal Data'!$D2:$D501,"Nongrant")</f>
        <v>1448836000</v>
      </c>
      <c r="V28">
        <f>SUMIFS('Federal Data'!AG2:AG501,'Federal Data'!$C2:$C501,"Spending",'Federal Data'!$D2:$D501,"Nongrant")</f>
        <v>1518459000</v>
      </c>
      <c r="W28">
        <f>SUMIFS('Federal Data'!AH2:AH501,'Federal Data'!$C2:$C501,"Spending",'Federal Data'!$D2:$D501,"Nongrant")</f>
        <v>1563557000</v>
      </c>
      <c r="X28">
        <f>SUMIFS('Federal Data'!AI2:AI501,'Federal Data'!$C2:$C501,"Spending",'Federal Data'!$D2:$D501,"Nongrant")</f>
        <v>1675263000</v>
      </c>
      <c r="Y28">
        <f>SUMIFS('Federal Data'!AJ2:AJ501,'Federal Data'!$C2:$C501,"Spending",'Federal Data'!$D2:$D501,"Nongrant")</f>
        <v>1789663000</v>
      </c>
      <c r="Z28">
        <f>SUMIFS('Federal Data'!AK2:AK501,'Federal Data'!$C2:$C501,"Spending",'Federal Data'!$D2:$D501,"Nongrant")</f>
        <v>1905030000</v>
      </c>
      <c r="AA28">
        <f>SUMIFS('Federal Data'!AL2:AL501,'Federal Data'!$C2:$C501,"Spending",'Federal Data'!$D2:$D501,"Nongrant")</f>
        <v>2065261000</v>
      </c>
      <c r="AB28">
        <f>SUMIFS('Federal Data'!AM2:AM501,'Federal Data'!$C2:$C501,"Spending",'Federal Data'!$D2:$D501,"Nongrant")</f>
        <v>2244202000</v>
      </c>
      <c r="AC28">
        <f>SUMIFS('Federal Data'!AN2:AN501,'Federal Data'!$C2:$C501,"Spending",'Federal Data'!$D2:$D501,"Nongrant")</f>
        <v>2321945000</v>
      </c>
      <c r="AD28">
        <f>SUMIFS('Federal Data'!AO2:AO501,'Federal Data'!$C2:$C501,"Spending",'Federal Data'!$D2:$D501,"Nongrant")</f>
        <v>2558860000</v>
      </c>
      <c r="AE28">
        <f>SUMIFS('Federal Data'!AP2:AP501,'Federal Data'!$C2:$C501,"Spending",'Federal Data'!$D2:$D501,"Nongrant")</f>
        <v>3020899000</v>
      </c>
      <c r="AF28">
        <f>SUMIFS('Federal Data'!AQ2:AQ501,'Federal Data'!$C2:$C501,"Spending",'Federal Data'!$D2:$D501,"Nongrant")</f>
        <v>2873975000</v>
      </c>
      <c r="AG28">
        <f>SUMIFS('Federal Data'!AR2:AR501,'Federal Data'!$C2:$C501,"Spending",'Federal Data'!$D2:$D501,"Nongrant")</f>
        <v>3025610000</v>
      </c>
      <c r="AH28">
        <f>SUMIFS('Federal Data'!AS2:AS501,'Federal Data'!$C2:$C501,"Spending",'Federal Data'!$D2:$D501,"Nongrant")</f>
        <v>3033051000</v>
      </c>
      <c r="AI28">
        <f>SUMIFS('Federal Data'!AT2:AT501,'Federal Data'!$C2:$C501,"Spending",'Federal Data'!$D2:$D501,"Nongrant")</f>
        <v>2941437000</v>
      </c>
      <c r="AJ28">
        <f>SUMIFS('Federal Data'!AU2:AU501,'Federal Data'!$C2:$C501,"Spending",'Federal Data'!$D2:$D501,"Nongrant")</f>
        <v>2958629000</v>
      </c>
      <c r="AK28">
        <f>SUMIFS('Federal Data'!AV2:AV501,'Federal Data'!$C2:$C501,"Spending",'Federal Data'!$D2:$D501,"Nongrant")</f>
        <v>3119477000</v>
      </c>
    </row>
    <row r="29" spans="1:37">
      <c r="A29" s="3" t="s">
        <v>325</v>
      </c>
      <c r="B29">
        <f>SUMIFS('Federal Data'!M2:M501,'Federal Data'!$E2:$E501,"Establish Justice",'Federal Data'!$D2:$D501,"Nongrant")</f>
        <v>6917101</v>
      </c>
      <c r="C29">
        <f>SUMIFS('Federal Data'!N2:N501,'Federal Data'!$E2:$E501,"Establish Justice",'Federal Data'!$D2:$D501,"Nongrant")</f>
        <v>7133368</v>
      </c>
      <c r="D29">
        <f>SUMIFS('Federal Data'!O2:O501,'Federal Data'!$E2:$E501,"Establish Justice",'Federal Data'!$D2:$D501,"Nongrant")</f>
        <v>5496214</v>
      </c>
      <c r="E29">
        <f>SUMIFS('Federal Data'!P2:P501,'Federal Data'!$E2:$E501,"Establish Justice",'Federal Data'!$D2:$D501,"Nongrant")</f>
        <v>5964405</v>
      </c>
      <c r="F29">
        <f>SUMIFS('Federal Data'!Q2:Q501,'Federal Data'!$E2:$E501,"Establish Justice",'Federal Data'!$D2:$D501,"Nongrant")</f>
        <v>6680784</v>
      </c>
      <c r="G29">
        <f>SUMIFS('Federal Data'!R2:R501,'Federal Data'!$E2:$E501,"Establish Justice",'Federal Data'!$D2:$D501,"Nongrant")</f>
        <v>7138859</v>
      </c>
      <c r="H29">
        <f>SUMIFS('Federal Data'!S2:S501,'Federal Data'!$E2:$E501,"Establish Justice",'Federal Data'!$D2:$D501,"Nongrant")</f>
        <v>7661165</v>
      </c>
      <c r="I29">
        <f>SUMIFS('Federal Data'!T2:T501,'Federal Data'!$E2:$E501,"Establish Justice",'Federal Data'!$D2:$D501,"Nongrant")</f>
        <v>7825617</v>
      </c>
      <c r="J29">
        <f>SUMIFS('Federal Data'!U2:U501,'Federal Data'!$E2:$E501,"Establish Justice",'Federal Data'!$D2:$D501,"Nongrant")</f>
        <v>8969668</v>
      </c>
      <c r="K29">
        <f>SUMIFS('Federal Data'!V2:V501,'Federal Data'!$E2:$E501,"Establish Justice",'Federal Data'!$D2:$D501,"Nongrant")</f>
        <v>10121750</v>
      </c>
      <c r="L29">
        <f>SUMIFS('Federal Data'!W2:W501,'Federal Data'!$E2:$E501,"Establish Justice",'Federal Data'!$D2:$D501,"Nongrant")</f>
        <v>12314347</v>
      </c>
      <c r="M29">
        <f>SUMIFS('Federal Data'!X2:X501,'Federal Data'!$E2:$E501,"Establish Justice",'Federal Data'!$D2:$D501,"Nongrant")</f>
        <v>12960174</v>
      </c>
      <c r="N29">
        <f>SUMIFS('Federal Data'!Y2:Y501,'Federal Data'!$E2:$E501,"Establish Justice",'Federal Data'!$D2:$D501,"Nongrant")</f>
        <v>15299353</v>
      </c>
      <c r="O29">
        <f>SUMIFS('Federal Data'!Z2:Z501,'Federal Data'!$E2:$E501,"Establish Justice",'Federal Data'!$D2:$D501,"Nongrant")</f>
        <v>16379501</v>
      </c>
      <c r="P29">
        <f>SUMIFS('Federal Data'!AA2:AA501,'Federal Data'!$E2:$E501,"Establish Justice",'Federal Data'!$D2:$D501,"Nongrant")</f>
        <v>16901362</v>
      </c>
      <c r="Q29">
        <f>SUMIFS('Federal Data'!AB2:AB501,'Federal Data'!$E2:$E501,"Establish Justice",'Federal Data'!$D2:$D501,"Nongrant")</f>
        <v>18731000</v>
      </c>
      <c r="R29">
        <f>SUMIFS('Federal Data'!AC2:AC501,'Federal Data'!$E2:$E501,"Establish Justice",'Federal Data'!$D2:$D501,"Nongrant")</f>
        <v>18874000</v>
      </c>
      <c r="S29">
        <f>SUMIFS('Federal Data'!AD2:AD501,'Federal Data'!$E2:$E501,"Establish Justice",'Federal Data'!$D2:$D501,"Nongrant")</f>
        <v>19879000</v>
      </c>
      <c r="T29">
        <f>SUMIFS('Federal Data'!AE2:AE501,'Federal Data'!$E2:$E501,"Establish Justice",'Federal Data'!$D2:$D501,"Nongrant")</f>
        <v>19182000</v>
      </c>
      <c r="U29">
        <f>SUMIFS('Federal Data'!AF2:AF501,'Federal Data'!$E2:$E501,"Establish Justice",'Federal Data'!$D2:$D501,"Nongrant")</f>
        <v>21849000</v>
      </c>
      <c r="V29">
        <f>SUMIFS('Federal Data'!AG2:AG501,'Federal Data'!$E2:$E501,"Establish Justice",'Federal Data'!$D2:$D501,"Nongrant")</f>
        <v>22426000</v>
      </c>
      <c r="W29">
        <f>SUMIFS('Federal Data'!AH2:AH501,'Federal Data'!$E2:$E501,"Establish Justice",'Federal Data'!$D2:$D501,"Nongrant")</f>
        <v>23323000</v>
      </c>
      <c r="X29">
        <f>SUMIFS('Federal Data'!AI2:AI501,'Federal Data'!$E2:$E501,"Establish Justice",'Federal Data'!$D2:$D501,"Nongrant")</f>
        <v>27607000</v>
      </c>
      <c r="Y29">
        <f>SUMIFS('Federal Data'!AJ2:AJ501,'Federal Data'!$E2:$E501,"Establish Justice",'Federal Data'!$D2:$D501,"Nongrant")</f>
        <v>30956000</v>
      </c>
      <c r="Z29">
        <f>SUMIFS('Federal Data'!AK2:AK501,'Federal Data'!$E2:$E501,"Establish Justice",'Federal Data'!$D2:$D501,"Nongrant")</f>
        <v>38981000</v>
      </c>
      <c r="AA29">
        <f>SUMIFS('Federal Data'!AL2:AL501,'Federal Data'!$E2:$E501,"Establish Justice",'Federal Data'!$D2:$D501,"Nongrant")</f>
        <v>35611000</v>
      </c>
      <c r="AB29">
        <f>SUMIFS('Federal Data'!AM2:AM501,'Federal Data'!$E2:$E501,"Establish Justice",'Federal Data'!$D2:$D501,"Nongrant")</f>
        <v>63171000</v>
      </c>
      <c r="AC29">
        <f>SUMIFS('Federal Data'!AN2:AN501,'Federal Data'!$E2:$E501,"Establish Justice",'Federal Data'!$D2:$D501,"Nongrant")</f>
        <v>40284000</v>
      </c>
      <c r="AD29">
        <f>SUMIFS('Federal Data'!AO2:AO501,'Federal Data'!$E2:$E501,"Establish Justice",'Federal Data'!$D2:$D501,"Nongrant")</f>
        <v>39622000</v>
      </c>
      <c r="AE29">
        <f>SUMIFS('Federal Data'!AP2:AP501,'Federal Data'!$E2:$E501,"Establish Justice",'Federal Data'!$D2:$D501,"Nongrant")</f>
        <v>46407000</v>
      </c>
      <c r="AF29">
        <f>SUMIFS('Federal Data'!AQ2:AQ501,'Federal Data'!$E2:$E501,"Establish Justice",'Federal Data'!$D2:$D501,"Nongrant")</f>
        <v>44311000</v>
      </c>
      <c r="AG29">
        <f>SUMIFS('Federal Data'!AR2:AR501,'Federal Data'!$E2:$E501,"Establish Justice",'Federal Data'!$D2:$D501,"Nongrant")</f>
        <v>43183000</v>
      </c>
      <c r="AH29">
        <f>SUMIFS('Federal Data'!AS2:AS501,'Federal Data'!$E2:$E501,"Establish Justice",'Federal Data'!$D2:$D501,"Nongrant")</f>
        <v>45163000</v>
      </c>
      <c r="AI29">
        <f>SUMIFS('Federal Data'!AT2:AT501,'Federal Data'!$E2:$E501,"Establish Justice",'Federal Data'!$D2:$D501,"Nongrant")</f>
        <v>55174000</v>
      </c>
      <c r="AJ29">
        <f>SUMIFS('Federal Data'!AU2:AU501,'Federal Data'!$E2:$E501,"Establish Justice",'Federal Data'!$D2:$D501,"Nongrant")</f>
        <v>43978000</v>
      </c>
      <c r="AK29">
        <f>SUMIFS('Federal Data'!AV2:AV501,'Federal Data'!$E2:$E501,"Establish Justice",'Federal Data'!$D2:$D501,"Nongrant")</f>
        <v>44636000</v>
      </c>
    </row>
    <row r="30" spans="1:37">
      <c r="A30" s="4" t="s">
        <v>28</v>
      </c>
      <c r="B30">
        <f>SUMIFS('Federal Data'!M2:M501,'Federal Data'!$F2:$F501,"Crime and Disaster",'Federal Data'!$D2:$D501,"Nongrant")</f>
        <v>4958436</v>
      </c>
      <c r="C30">
        <f>SUMIFS('Federal Data'!N2:N501,'Federal Data'!$F2:$F501,"Crime and Disaster",'Federal Data'!$D2:$D501,"Nongrant")</f>
        <v>5026744</v>
      </c>
      <c r="D30">
        <f>SUMIFS('Federal Data'!O2:O501,'Federal Data'!$F2:$F501,"Crime and Disaster",'Federal Data'!$D2:$D501,"Nongrant")</f>
        <v>3432551</v>
      </c>
      <c r="E30">
        <f>SUMIFS('Federal Data'!P2:P501,'Federal Data'!$F2:$F501,"Crime and Disaster",'Federal Data'!$D2:$D501,"Nongrant")</f>
        <v>3823995</v>
      </c>
      <c r="F30">
        <f>SUMIFS('Federal Data'!Q2:Q501,'Federal Data'!$F2:$F501,"Crime and Disaster",'Federal Data'!$D2:$D501,"Nongrant")</f>
        <v>4435764</v>
      </c>
      <c r="G30">
        <f>SUMIFS('Federal Data'!R2:R501,'Federal Data'!$F2:$F501,"Crime and Disaster",'Federal Data'!$D2:$D501,"Nongrant")</f>
        <v>4819522</v>
      </c>
      <c r="H30">
        <f>SUMIFS('Federal Data'!S2:S501,'Federal Data'!$F2:$F501,"Crime and Disaster",'Federal Data'!$D2:$D501,"Nongrant")</f>
        <v>5317853</v>
      </c>
      <c r="I30">
        <f>SUMIFS('Federal Data'!T2:T501,'Federal Data'!$F2:$F501,"Crime and Disaster",'Federal Data'!$D2:$D501,"Nongrant")</f>
        <v>5288909</v>
      </c>
      <c r="J30">
        <f>SUMIFS('Federal Data'!U2:U501,'Federal Data'!$F2:$F501,"Crime and Disaster",'Federal Data'!$D2:$D501,"Nongrant")</f>
        <v>6300984</v>
      </c>
      <c r="K30">
        <f>SUMIFS('Federal Data'!V2:V501,'Federal Data'!$F2:$F501,"Crime and Disaster",'Federal Data'!$D2:$D501,"Nongrant")</f>
        <v>7074842</v>
      </c>
      <c r="L30">
        <f>SUMIFS('Federal Data'!W2:W501,'Federal Data'!$F2:$F501,"Crime and Disaster",'Federal Data'!$D2:$D501,"Nongrant")</f>
        <v>9162348</v>
      </c>
      <c r="M30">
        <f>SUMIFS('Federal Data'!X2:X501,'Federal Data'!$F2:$F501,"Crime and Disaster",'Federal Data'!$D2:$D501,"Nongrant")</f>
        <v>9830138</v>
      </c>
      <c r="N30">
        <f>SUMIFS('Federal Data'!Y2:Y501,'Federal Data'!$F2:$F501,"Crime and Disaster",'Federal Data'!$D2:$D501,"Nongrant")</f>
        <v>11964359</v>
      </c>
      <c r="O30">
        <f>SUMIFS('Federal Data'!Z2:Z501,'Federal Data'!$F2:$F501,"Crime and Disaster",'Federal Data'!$D2:$D501,"Nongrant")</f>
        <v>13283307</v>
      </c>
      <c r="P30">
        <f>SUMIFS('Federal Data'!AA2:AA501,'Federal Data'!$F2:$F501,"Crime and Disaster",'Federal Data'!$D2:$D501,"Nongrant")</f>
        <v>13520188</v>
      </c>
      <c r="Q30">
        <f>SUMIFS('Federal Data'!AB2:AB501,'Federal Data'!$F2:$F501,"Crime and Disaster",'Federal Data'!$D2:$D501,"Nongrant")</f>
        <v>15128000</v>
      </c>
      <c r="R30">
        <f>SUMIFS('Federal Data'!AC2:AC501,'Federal Data'!$F2:$F501,"Crime and Disaster",'Federal Data'!$D2:$D501,"Nongrant")</f>
        <v>15629000</v>
      </c>
      <c r="S30">
        <f>SUMIFS('Federal Data'!AD2:AD501,'Federal Data'!$F2:$F501,"Crime and Disaster",'Federal Data'!$D2:$D501,"Nongrant")</f>
        <v>16652000</v>
      </c>
      <c r="T30">
        <f>SUMIFS('Federal Data'!AE2:AE501,'Federal Data'!$F2:$F501,"Crime and Disaster",'Federal Data'!$D2:$D501,"Nongrant")</f>
        <v>16712000</v>
      </c>
      <c r="U30">
        <f>SUMIFS('Federal Data'!AF2:AF501,'Federal Data'!$F2:$F501,"Crime and Disaster",'Federal Data'!$D2:$D501,"Nongrant")</f>
        <v>19147000</v>
      </c>
      <c r="V30">
        <f>SUMIFS('Federal Data'!AG2:AG501,'Federal Data'!$F2:$F501,"Crime and Disaster",'Federal Data'!$D2:$D501,"Nongrant")</f>
        <v>19505000</v>
      </c>
      <c r="W30">
        <f>SUMIFS('Federal Data'!AH2:AH501,'Federal Data'!$F2:$F501,"Crime and Disaster",'Federal Data'!$D2:$D501,"Nongrant")</f>
        <v>20441000</v>
      </c>
      <c r="X30">
        <f>SUMIFS('Federal Data'!AI2:AI501,'Federal Data'!$F2:$F501,"Crime and Disaster",'Federal Data'!$D2:$D501,"Nongrant")</f>
        <v>24503000</v>
      </c>
      <c r="Y30">
        <f>SUMIFS('Federal Data'!AJ2:AJ501,'Federal Data'!$F2:$F501,"Crime and Disaster",'Federal Data'!$D2:$D501,"Nongrant")</f>
        <v>27451000</v>
      </c>
      <c r="Z30">
        <f>SUMIFS('Federal Data'!AK2:AK501,'Federal Data'!$F2:$F501,"Crime and Disaster",'Federal Data'!$D2:$D501,"Nongrant")</f>
        <v>35440000</v>
      </c>
      <c r="AA30">
        <f>SUMIFS('Federal Data'!AL2:AL501,'Federal Data'!$F2:$F501,"Crime and Disaster",'Federal Data'!$D2:$D501,"Nongrant")</f>
        <v>32381000</v>
      </c>
      <c r="AB30">
        <f>SUMIFS('Federal Data'!AM2:AM501,'Federal Data'!$F2:$F501,"Crime and Disaster",'Federal Data'!$D2:$D501,"Nongrant")</f>
        <v>59723000</v>
      </c>
      <c r="AC30">
        <f>SUMIFS('Federal Data'!AN2:AN501,'Federal Data'!$F2:$F501,"Crime and Disaster",'Federal Data'!$D2:$D501,"Nongrant")</f>
        <v>36048000</v>
      </c>
      <c r="AD30">
        <f>SUMIFS('Federal Data'!AO2:AO501,'Federal Data'!$F2:$F501,"Crime and Disaster",'Federal Data'!$D2:$D501,"Nongrant")</f>
        <v>35166000</v>
      </c>
      <c r="AE30">
        <f>SUMIFS('Federal Data'!AP2:AP501,'Federal Data'!$F2:$F501,"Crime and Disaster",'Federal Data'!$D2:$D501,"Nongrant")</f>
        <v>40114000</v>
      </c>
      <c r="AF30">
        <f>SUMIFS('Federal Data'!AQ2:AQ501,'Federal Data'!$F2:$F501,"Crime and Disaster",'Federal Data'!$D2:$D501,"Nongrant")</f>
        <v>37191000</v>
      </c>
      <c r="AG30">
        <f>SUMIFS('Federal Data'!AR2:AR501,'Federal Data'!$F2:$F501,"Crime and Disaster",'Federal Data'!$D2:$D501,"Nongrant")</f>
        <v>37297000</v>
      </c>
      <c r="AH30">
        <f>SUMIFS('Federal Data'!AS2:AS501,'Federal Data'!$F2:$F501,"Crime and Disaster",'Federal Data'!$D2:$D501,"Nongrant")</f>
        <v>38800000</v>
      </c>
      <c r="AI30">
        <f>SUMIFS('Federal Data'!AT2:AT501,'Federal Data'!$F2:$F501,"Crime and Disaster",'Federal Data'!$D2:$D501,"Nongrant")</f>
        <v>49411000</v>
      </c>
      <c r="AJ30">
        <f>SUMIFS('Federal Data'!AU2:AU501,'Federal Data'!$F2:$F501,"Crime and Disaster",'Federal Data'!$D2:$D501,"Nongrant")</f>
        <v>37801000</v>
      </c>
      <c r="AK30">
        <f>SUMIFS('Federal Data'!AV2:AV501,'Federal Data'!$F2:$F501,"Crime and Disaster",'Federal Data'!$D2:$D501,"Nongrant")</f>
        <v>37499000</v>
      </c>
    </row>
    <row r="31" spans="1:37">
      <c r="A31" s="5" t="s">
        <v>29</v>
      </c>
      <c r="B31">
        <f>SUMIFS('Federal Data'!M2:M501,'Federal Data'!$G2:$G501,"Law Enforcement and Corrections",'Federal Data'!$D2:$D501,"Nongrant")</f>
        <v>1949721</v>
      </c>
      <c r="C31">
        <f>SUMIFS('Federal Data'!N2:N501,'Federal Data'!$G2:$G501,"Law Enforcement and Corrections",'Federal Data'!$D2:$D501,"Nongrant")</f>
        <v>2124302</v>
      </c>
      <c r="D31">
        <f>SUMIFS('Federal Data'!O2:O501,'Federal Data'!$G2:$G501,"Law Enforcement and Corrections",'Federal Data'!$D2:$D501,"Nongrant")</f>
        <v>2130865</v>
      </c>
      <c r="E31">
        <f>SUMIFS('Federal Data'!P2:P501,'Federal Data'!$G2:$G501,"Law Enforcement and Corrections",'Federal Data'!$D2:$D501,"Nongrant")</f>
        <v>2384343</v>
      </c>
      <c r="F31">
        <f>SUMIFS('Federal Data'!Q2:Q501,'Federal Data'!$G2:$G501,"Law Enforcement and Corrections",'Federal Data'!$D2:$D501,"Nongrant")</f>
        <v>2708787</v>
      </c>
      <c r="G31">
        <f>SUMIFS('Federal Data'!R2:R501,'Federal Data'!$G2:$G501,"Law Enforcement and Corrections",'Federal Data'!$D2:$D501,"Nongrant")</f>
        <v>2969315</v>
      </c>
      <c r="H31">
        <f>SUMIFS('Federal Data'!S2:S501,'Federal Data'!$G2:$G501,"Law Enforcement and Corrections",'Federal Data'!$D2:$D501,"Nongrant")</f>
        <v>3042038</v>
      </c>
      <c r="I31">
        <f>SUMIFS('Federal Data'!T2:T501,'Federal Data'!$G2:$G501,"Law Enforcement and Corrections",'Federal Data'!$D2:$D501,"Nongrant")</f>
        <v>3284776</v>
      </c>
      <c r="J31">
        <f>SUMIFS('Federal Data'!U2:U501,'Federal Data'!$G2:$G501,"Law Enforcement and Corrections",'Federal Data'!$D2:$D501,"Nongrant")</f>
        <v>3904564</v>
      </c>
      <c r="K31">
        <f>SUMIFS('Federal Data'!V2:V501,'Federal Data'!$G2:$G501,"Law Enforcement and Corrections",'Federal Data'!$D2:$D501,"Nongrant")</f>
        <v>4341198</v>
      </c>
      <c r="L31">
        <f>SUMIFS('Federal Data'!W2:W501,'Federal Data'!$G2:$G501,"Law Enforcement and Corrections",'Federal Data'!$D2:$D501,"Nongrant")</f>
        <v>4858420</v>
      </c>
      <c r="M31">
        <f>SUMIFS('Federal Data'!X2:X501,'Federal Data'!$G2:$G501,"Law Enforcement and Corrections",'Federal Data'!$D2:$D501,"Nongrant")</f>
        <v>5731719</v>
      </c>
      <c r="N31">
        <f>SUMIFS('Federal Data'!Y2:Y501,'Federal Data'!$G2:$G501,"Law Enforcement and Corrections",'Federal Data'!$D2:$D501,"Nongrant")</f>
        <v>6873806</v>
      </c>
      <c r="O31">
        <f>SUMIFS('Federal Data'!Z2:Z501,'Federal Data'!$G2:$G501,"Law Enforcement and Corrections",'Federal Data'!$D2:$D501,"Nongrant")</f>
        <v>7065082</v>
      </c>
      <c r="P31">
        <f>SUMIFS('Federal Data'!AA2:AA501,'Federal Data'!$G2:$G501,"Law Enforcement and Corrections",'Federal Data'!$D2:$D501,"Nongrant")</f>
        <v>7322033</v>
      </c>
      <c r="Q31">
        <f>SUMIFS('Federal Data'!AB2:AB501,'Federal Data'!$G2:$G501,"Law Enforcement and Corrections",'Federal Data'!$D2:$D501,"Nongrant")</f>
        <v>7742000</v>
      </c>
      <c r="R31">
        <f>SUMIFS('Federal Data'!AC2:AC501,'Federal Data'!$G2:$G501,"Law Enforcement and Corrections",'Federal Data'!$D2:$D501,"Nongrant")</f>
        <v>8468000</v>
      </c>
      <c r="S31">
        <f>SUMIFS('Federal Data'!AD2:AD501,'Federal Data'!$G2:$G501,"Law Enforcement and Corrections",'Federal Data'!$D2:$D501,"Nongrant")</f>
        <v>9307000</v>
      </c>
      <c r="T31">
        <f>SUMIFS('Federal Data'!AE2:AE501,'Federal Data'!$G2:$G501,"Law Enforcement and Corrections",'Federal Data'!$D2:$D501,"Nongrant")</f>
        <v>9823000</v>
      </c>
      <c r="U31">
        <f>SUMIFS('Federal Data'!AF2:AF501,'Federal Data'!$G2:$G501,"Law Enforcement and Corrections",'Federal Data'!$D2:$D501,"Nongrant")</f>
        <v>10868000</v>
      </c>
      <c r="V31">
        <f>SUMIFS('Federal Data'!AG2:AG501,'Federal Data'!$G2:$G501,"Law Enforcement and Corrections",'Federal Data'!$D2:$D501,"Nongrant")</f>
        <v>11871000</v>
      </c>
      <c r="W31">
        <f>SUMIFS('Federal Data'!AH2:AH501,'Federal Data'!$G2:$G501,"Law Enforcement and Corrections",'Federal Data'!$D2:$D501,"Nongrant")</f>
        <v>11534000</v>
      </c>
      <c r="X31">
        <f>SUMIFS('Federal Data'!AI2:AI501,'Federal Data'!$G2:$G501,"Law Enforcement and Corrections",'Federal Data'!$D2:$D501,"Nongrant")</f>
        <v>14697000</v>
      </c>
      <c r="Y31">
        <f>SUMIFS('Federal Data'!AJ2:AJ501,'Federal Data'!$G2:$G501,"Law Enforcement and Corrections",'Federal Data'!$D2:$D501,"Nongrant")</f>
        <v>15558000</v>
      </c>
      <c r="Z31">
        <f>SUMIFS('Federal Data'!AK2:AK501,'Federal Data'!$G2:$G501,"Law Enforcement and Corrections",'Federal Data'!$D2:$D501,"Nongrant")</f>
        <v>23453000</v>
      </c>
      <c r="AA31">
        <f>SUMIFS('Federal Data'!AL2:AL501,'Federal Data'!$G2:$G501,"Law Enforcement and Corrections",'Federal Data'!$D2:$D501,"Nongrant")</f>
        <v>17939000</v>
      </c>
      <c r="AB31">
        <f>SUMIFS('Federal Data'!AM2:AM501,'Federal Data'!$G2:$G501,"Law Enforcement and Corrections",'Federal Data'!$D2:$D501,"Nongrant")</f>
        <v>17589000</v>
      </c>
      <c r="AC31">
        <f>SUMIFS('Federal Data'!AN2:AN501,'Federal Data'!$G2:$G501,"Law Enforcement and Corrections",'Federal Data'!$D2:$D501,"Nongrant")</f>
        <v>17385000</v>
      </c>
      <c r="AD31">
        <f>SUMIFS('Federal Data'!AO2:AO501,'Federal Data'!$G2:$G501,"Law Enforcement and Corrections",'Federal Data'!$D2:$D501,"Nongrant")</f>
        <v>20059000</v>
      </c>
      <c r="AE31">
        <f>SUMIFS('Federal Data'!AP2:AP501,'Federal Data'!$G2:$G501,"Law Enforcement and Corrections",'Federal Data'!$D2:$D501,"Nongrant")</f>
        <v>19497000</v>
      </c>
      <c r="AF31">
        <f>SUMIFS('Federal Data'!AQ2:AQ501,'Federal Data'!$G2:$G501,"Law Enforcement and Corrections",'Federal Data'!$D2:$D501,"Nongrant")</f>
        <v>20879000</v>
      </c>
      <c r="AG31">
        <f>SUMIFS('Federal Data'!AR2:AR501,'Federal Data'!$G2:$G501,"Law Enforcement and Corrections",'Federal Data'!$D2:$D501,"Nongrant")</f>
        <v>22030000</v>
      </c>
      <c r="AH31">
        <f>SUMIFS('Federal Data'!AS2:AS501,'Federal Data'!$G2:$G501,"Law Enforcement and Corrections",'Federal Data'!$D2:$D501,"Nongrant")</f>
        <v>21364000</v>
      </c>
      <c r="AI31">
        <f>SUMIFS('Federal Data'!AT2:AT501,'Federal Data'!$G2:$G501,"Law Enforcement and Corrections",'Federal Data'!$D2:$D501,"Nongrant")</f>
        <v>20101000</v>
      </c>
      <c r="AJ31">
        <f>SUMIFS('Federal Data'!AU2:AU501,'Federal Data'!$G2:$G501,"Law Enforcement and Corrections",'Federal Data'!$D2:$D501,"Nongrant")</f>
        <v>19067000</v>
      </c>
      <c r="AK31">
        <f>SUMIFS('Federal Data'!AV2:AV501,'Federal Data'!$G2:$G501,"Law Enforcement and Corrections",'Federal Data'!$D2:$D501,"Nongrant")</f>
        <v>20321000</v>
      </c>
    </row>
    <row r="32" spans="1:37">
      <c r="A32" s="5" t="s">
        <v>30</v>
      </c>
      <c r="B32">
        <f>SUMIFS('Federal Data'!M2:M501,'Federal Data'!$G2:$G501,"Justice System",'Federal Data'!$D2:$D501,"Nongrant")</f>
        <v>1346920</v>
      </c>
      <c r="C32">
        <f>SUMIFS('Federal Data'!N2:N501,'Federal Data'!$G2:$G501,"Justice System",'Federal Data'!$D2:$D501,"Nongrant")</f>
        <v>1491332</v>
      </c>
      <c r="D32">
        <f>SUMIFS('Federal Data'!O2:O501,'Federal Data'!$G2:$G501,"Justice System",'Federal Data'!$D2:$D501,"Nongrant")</f>
        <v>1516922</v>
      </c>
      <c r="E32">
        <f>SUMIFS('Federal Data'!P2:P501,'Federal Data'!$G2:$G501,"Justice System",'Federal Data'!$D2:$D501,"Nongrant")</f>
        <v>1627393</v>
      </c>
      <c r="F32">
        <f>SUMIFS('Federal Data'!Q2:Q501,'Federal Data'!$G2:$G501,"Justice System",'Federal Data'!$D2:$D501,"Nongrant")</f>
        <v>1824786</v>
      </c>
      <c r="G32">
        <f>SUMIFS('Federal Data'!R2:R501,'Federal Data'!$G2:$G501,"Justice System",'Federal Data'!$D2:$D501,"Nongrant")</f>
        <v>2064475</v>
      </c>
      <c r="H32">
        <f>SUMIFS('Federal Data'!S2:S501,'Federal Data'!$G2:$G501,"Justice System",'Federal Data'!$D2:$D501,"Nongrant")</f>
        <v>2158502</v>
      </c>
      <c r="I32">
        <f>SUMIFS('Federal Data'!T2:T501,'Federal Data'!$G2:$G501,"Justice System",'Federal Data'!$D2:$D501,"Nongrant")</f>
        <v>2434204</v>
      </c>
      <c r="J32">
        <f>SUMIFS('Federal Data'!U2:U501,'Federal Data'!$G2:$G501,"Justice System",'Federal Data'!$D2:$D501,"Nongrant")</f>
        <v>2799575</v>
      </c>
      <c r="K32">
        <f>SUMIFS('Federal Data'!V2:V501,'Federal Data'!$G2:$G501,"Justice System",'Federal Data'!$D2:$D501,"Nongrant")</f>
        <v>3091863</v>
      </c>
      <c r="L32">
        <f>SUMIFS('Federal Data'!W2:W501,'Federal Data'!$G2:$G501,"Justice System",'Federal Data'!$D2:$D501,"Nongrant")</f>
        <v>3389904</v>
      </c>
      <c r="M32">
        <f>SUMIFS('Federal Data'!X2:X501,'Federal Data'!$G2:$G501,"Justice System",'Federal Data'!$D2:$D501,"Nongrant")</f>
        <v>4072217</v>
      </c>
      <c r="N32">
        <f>SUMIFS('Federal Data'!Y2:Y501,'Federal Data'!$G2:$G501,"Justice System",'Federal Data'!$D2:$D501,"Nongrant")</f>
        <v>4842839</v>
      </c>
      <c r="O32">
        <f>SUMIFS('Federal Data'!Z2:Z501,'Federal Data'!$G2:$G501,"Justice System",'Federal Data'!$D2:$D501,"Nongrant")</f>
        <v>5131516</v>
      </c>
      <c r="P32">
        <f>SUMIFS('Federal Data'!AA2:AA501,'Federal Data'!$G2:$G501,"Justice System",'Federal Data'!$D2:$D501,"Nongrant")</f>
        <v>5245441</v>
      </c>
      <c r="Q32">
        <f>SUMIFS('Federal Data'!AB2:AB501,'Federal Data'!$G2:$G501,"Justice System",'Federal Data'!$D2:$D501,"Nongrant")</f>
        <v>5879000</v>
      </c>
      <c r="R32">
        <f>SUMIFS('Federal Data'!AC2:AC501,'Federal Data'!$G2:$G501,"Justice System",'Federal Data'!$D2:$D501,"Nongrant")</f>
        <v>5904000</v>
      </c>
      <c r="S32">
        <f>SUMIFS('Federal Data'!AD2:AD501,'Federal Data'!$G2:$G501,"Justice System",'Federal Data'!$D2:$D501,"Nongrant")</f>
        <v>6148000</v>
      </c>
      <c r="T32">
        <f>SUMIFS('Federal Data'!AE2:AE501,'Federal Data'!$G2:$G501,"Justice System",'Federal Data'!$D2:$D501,"Nongrant")</f>
        <v>6497000</v>
      </c>
      <c r="U32">
        <f>SUMIFS('Federal Data'!AF2:AF501,'Federal Data'!$G2:$G501,"Justice System",'Federal Data'!$D2:$D501,"Nongrant")</f>
        <v>7122000</v>
      </c>
      <c r="V32">
        <f>SUMIFS('Federal Data'!AG2:AG501,'Federal Data'!$G2:$G501,"Justice System",'Federal Data'!$D2:$D501,"Nongrant")</f>
        <v>7468000</v>
      </c>
      <c r="W32">
        <f>SUMIFS('Federal Data'!AH2:AH501,'Federal Data'!$G2:$G501,"Justice System",'Federal Data'!$D2:$D501,"Nongrant")</f>
        <v>8091000</v>
      </c>
      <c r="X32">
        <f>SUMIFS('Federal Data'!AI2:AI501,'Federal Data'!$G2:$G501,"Justice System",'Federal Data'!$D2:$D501,"Nongrant")</f>
        <v>8912000</v>
      </c>
      <c r="Y32">
        <f>SUMIFS('Federal Data'!AJ2:AJ501,'Federal Data'!$G2:$G501,"Justice System",'Federal Data'!$D2:$D501,"Nongrant")</f>
        <v>9647000</v>
      </c>
      <c r="Z32">
        <f>SUMIFS('Federal Data'!AK2:AK501,'Federal Data'!$G2:$G501,"Justice System",'Federal Data'!$D2:$D501,"Nongrant")</f>
        <v>10175000</v>
      </c>
      <c r="AA32">
        <f>SUMIFS('Federal Data'!AL2:AL501,'Federal Data'!$G2:$G501,"Justice System",'Federal Data'!$D2:$D501,"Nongrant")</f>
        <v>10327000</v>
      </c>
      <c r="AB32">
        <f>SUMIFS('Federal Data'!AM2:AM501,'Federal Data'!$G2:$G501,"Justice System",'Federal Data'!$D2:$D501,"Nongrant")</f>
        <v>10825000</v>
      </c>
      <c r="AC32">
        <f>SUMIFS('Federal Data'!AN2:AN501,'Federal Data'!$G2:$G501,"Justice System",'Federal Data'!$D2:$D501,"Nongrant")</f>
        <v>11711000</v>
      </c>
      <c r="AD32">
        <f>SUMIFS('Federal Data'!AO2:AO501,'Federal Data'!$G2:$G501,"Justice System",'Federal Data'!$D2:$D501,"Nongrant")</f>
        <v>12567000</v>
      </c>
      <c r="AE32">
        <f>SUMIFS('Federal Data'!AP2:AP501,'Federal Data'!$G2:$G501,"Justice System",'Federal Data'!$D2:$D501,"Nongrant")</f>
        <v>12975000</v>
      </c>
      <c r="AF32">
        <f>SUMIFS('Federal Data'!AQ2:AQ501,'Federal Data'!$G2:$G501,"Justice System",'Federal Data'!$D2:$D501,"Nongrant")</f>
        <v>14051000</v>
      </c>
      <c r="AG32">
        <f>SUMIFS('Federal Data'!AR2:AR501,'Federal Data'!$G2:$G501,"Justice System",'Federal Data'!$D2:$D501,"Nongrant")</f>
        <v>14562000</v>
      </c>
      <c r="AH32">
        <f>SUMIFS('Federal Data'!AS2:AS501,'Federal Data'!$G2:$G501,"Justice System",'Federal Data'!$D2:$D501,"Nongrant")</f>
        <v>15703000</v>
      </c>
      <c r="AI32">
        <f>SUMIFS('Federal Data'!AT2:AT501,'Federal Data'!$G2:$G501,"Justice System",'Federal Data'!$D2:$D501,"Nongrant")</f>
        <v>14126000</v>
      </c>
      <c r="AJ32">
        <f>SUMIFS('Federal Data'!AU2:AU501,'Federal Data'!$G2:$G501,"Justice System",'Federal Data'!$D2:$D501,"Nongrant")</f>
        <v>13746000</v>
      </c>
      <c r="AK32">
        <f>SUMIFS('Federal Data'!AV2:AV501,'Federal Data'!$G2:$G501,"Justice System",'Federal Data'!$D2:$D501,"Nongrant")</f>
        <v>14110000</v>
      </c>
    </row>
    <row r="33" spans="1:37">
      <c r="A33" s="5" t="s">
        <v>300</v>
      </c>
      <c r="B33">
        <f>SUMIFS('Federal Data'!M2:M501,'Federal Data'!$G2:$G501,"Disaster Relief",'Federal Data'!$D2:$D501,"Nongrant")</f>
        <v>1661795</v>
      </c>
      <c r="C33">
        <f>SUMIFS('Federal Data'!N2:N501,'Federal Data'!$G2:$G501,"Disaster Relief",'Federal Data'!$D2:$D501,"Nongrant")</f>
        <v>1411110</v>
      </c>
      <c r="D33">
        <f>SUMIFS('Federal Data'!O2:O501,'Federal Data'!$G2:$G501,"Disaster Relief",'Federal Data'!$D2:$D501,"Nongrant")</f>
        <v>-215236</v>
      </c>
      <c r="E33">
        <f>SUMIFS('Federal Data'!P2:P501,'Federal Data'!$G2:$G501,"Disaster Relief",'Federal Data'!$D2:$D501,"Nongrant")</f>
        <v>-187741</v>
      </c>
      <c r="F33">
        <f>SUMIFS('Federal Data'!Q2:Q501,'Federal Data'!$G2:$G501,"Disaster Relief",'Federal Data'!$D2:$D501,"Nongrant")</f>
        <v>-97809</v>
      </c>
      <c r="G33">
        <f>SUMIFS('Federal Data'!R2:R501,'Federal Data'!$G2:$G501,"Disaster Relief",'Federal Data'!$D2:$D501,"Nongrant")</f>
        <v>-214268</v>
      </c>
      <c r="H33">
        <f>SUMIFS('Federal Data'!S2:S501,'Federal Data'!$G2:$G501,"Disaster Relief",'Federal Data'!$D2:$D501,"Nongrant")</f>
        <v>117313</v>
      </c>
      <c r="I33">
        <f>SUMIFS('Federal Data'!T2:T501,'Federal Data'!$G2:$G501,"Disaster Relief",'Federal Data'!$D2:$D501,"Nongrant")</f>
        <v>-430071</v>
      </c>
      <c r="J33">
        <f>SUMIFS('Federal Data'!U2:U501,'Federal Data'!$G2:$G501,"Disaster Relief",'Federal Data'!$D2:$D501,"Nongrant")</f>
        <v>-403155</v>
      </c>
      <c r="K33">
        <f>SUMIFS('Federal Data'!V2:V501,'Federal Data'!$G2:$G501,"Disaster Relief",'Federal Data'!$D2:$D501,"Nongrant")</f>
        <v>-358219</v>
      </c>
      <c r="L33">
        <f>SUMIFS('Federal Data'!W2:W501,'Federal Data'!$G2:$G501,"Disaster Relief",'Federal Data'!$D2:$D501,"Nongrant")</f>
        <v>914024</v>
      </c>
      <c r="M33">
        <f>SUMIFS('Federal Data'!X2:X501,'Federal Data'!$G2:$G501,"Disaster Relief",'Federal Data'!$D2:$D501,"Nongrant")</f>
        <v>26202</v>
      </c>
      <c r="N33">
        <f>SUMIFS('Federal Data'!Y2:Y501,'Federal Data'!$G2:$G501,"Disaster Relief",'Federal Data'!$D2:$D501,"Nongrant")</f>
        <v>247714</v>
      </c>
      <c r="O33">
        <f>SUMIFS('Federal Data'!Z2:Z501,'Federal Data'!$G2:$G501,"Disaster Relief",'Federal Data'!$D2:$D501,"Nongrant")</f>
        <v>1086709</v>
      </c>
      <c r="P33">
        <f>SUMIFS('Federal Data'!AA2:AA501,'Federal Data'!$G2:$G501,"Disaster Relief",'Federal Data'!$D2:$D501,"Nongrant")</f>
        <v>952714</v>
      </c>
      <c r="Q33">
        <f>SUMIFS('Federal Data'!AB2:AB501,'Federal Data'!$G2:$G501,"Disaster Relief",'Federal Data'!$D2:$D501,"Nongrant")</f>
        <v>1507000</v>
      </c>
      <c r="R33">
        <f>SUMIFS('Federal Data'!AC2:AC501,'Federal Data'!$G2:$G501,"Disaster Relief",'Federal Data'!$D2:$D501,"Nongrant")</f>
        <v>1257000</v>
      </c>
      <c r="S33">
        <f>SUMIFS('Federal Data'!AD2:AD501,'Federal Data'!$G2:$G501,"Disaster Relief",'Federal Data'!$D2:$D501,"Nongrant")</f>
        <v>1197000</v>
      </c>
      <c r="T33">
        <f>SUMIFS('Federal Data'!AE2:AE501,'Federal Data'!$G2:$G501,"Disaster Relief",'Federal Data'!$D2:$D501,"Nongrant")</f>
        <v>392000</v>
      </c>
      <c r="U33">
        <f>SUMIFS('Federal Data'!AF2:AF501,'Federal Data'!$G2:$G501,"Disaster Relief",'Federal Data'!$D2:$D501,"Nongrant")</f>
        <v>1157000</v>
      </c>
      <c r="V33">
        <f>SUMIFS('Federal Data'!AG2:AG501,'Federal Data'!$G2:$G501,"Disaster Relief",'Federal Data'!$D2:$D501,"Nongrant")</f>
        <v>166000</v>
      </c>
      <c r="W33">
        <f>SUMIFS('Federal Data'!AH2:AH501,'Federal Data'!$G2:$G501,"Disaster Relief",'Federal Data'!$D2:$D501,"Nongrant")</f>
        <v>816000</v>
      </c>
      <c r="X33">
        <f>SUMIFS('Federal Data'!AI2:AI501,'Federal Data'!$G2:$G501,"Disaster Relief",'Federal Data'!$D2:$D501,"Nongrant")</f>
        <v>894000</v>
      </c>
      <c r="Y33">
        <f>SUMIFS('Federal Data'!AJ2:AJ501,'Federal Data'!$G2:$G501,"Disaster Relief",'Federal Data'!$D2:$D501,"Nongrant")</f>
        <v>2246000</v>
      </c>
      <c r="Z33">
        <f>SUMIFS('Federal Data'!AK2:AK501,'Federal Data'!$G2:$G501,"Disaster Relief",'Federal Data'!$D2:$D501,"Nongrant")</f>
        <v>1812000</v>
      </c>
      <c r="AA33">
        <f>SUMIFS('Federal Data'!AL2:AL501,'Federal Data'!$G2:$G501,"Disaster Relief",'Federal Data'!$D2:$D501,"Nongrant")</f>
        <v>4115000</v>
      </c>
      <c r="AB33">
        <f>SUMIFS('Federal Data'!AM2:AM501,'Federal Data'!$G2:$G501,"Disaster Relief",'Federal Data'!$D2:$D501,"Nongrant")</f>
        <v>31309000</v>
      </c>
      <c r="AC33">
        <f>SUMIFS('Federal Data'!AN2:AN501,'Federal Data'!$G2:$G501,"Disaster Relief",'Federal Data'!$D2:$D501,"Nongrant")</f>
        <v>6952000</v>
      </c>
      <c r="AD33">
        <f>SUMIFS('Federal Data'!AO2:AO501,'Federal Data'!$G2:$G501,"Disaster Relief",'Federal Data'!$D2:$D501,"Nongrant")</f>
        <v>2540000</v>
      </c>
      <c r="AE33">
        <f>SUMIFS('Federal Data'!AP2:AP501,'Federal Data'!$G2:$G501,"Disaster Relief",'Federal Data'!$D2:$D501,"Nongrant")</f>
        <v>7642000</v>
      </c>
      <c r="AF33">
        <f>SUMIFS('Federal Data'!AQ2:AQ501,'Federal Data'!$G2:$G501,"Disaster Relief",'Federal Data'!$D2:$D501,"Nongrant")</f>
        <v>2261000</v>
      </c>
      <c r="AG33">
        <f>SUMIFS('Federal Data'!AR2:AR501,'Federal Data'!$G2:$G501,"Disaster Relief",'Federal Data'!$D2:$D501,"Nongrant")</f>
        <v>705000</v>
      </c>
      <c r="AH33">
        <f>SUMIFS('Federal Data'!AS2:AS501,'Federal Data'!$G2:$G501,"Disaster Relief",'Federal Data'!$D2:$D501,"Nongrant")</f>
        <v>1733000</v>
      </c>
      <c r="AI33">
        <f>SUMIFS('Federal Data'!AT2:AT501,'Federal Data'!$G2:$G501,"Disaster Relief",'Federal Data'!$D2:$D501,"Nongrant")</f>
        <v>15184000</v>
      </c>
      <c r="AJ33">
        <f>SUMIFS('Federal Data'!AU2:AU501,'Federal Data'!$G2:$G501,"Disaster Relief",'Federal Data'!$D2:$D501,"Nongrant")</f>
        <v>4988000</v>
      </c>
      <c r="AK33">
        <f>SUMIFS('Federal Data'!AV2:AV501,'Federal Data'!$G2:$G501,"Disaster Relief",'Federal Data'!$D2:$D501,"Nongrant")</f>
        <v>3068000</v>
      </c>
    </row>
    <row r="34" spans="1:37">
      <c r="A34" s="4" t="s">
        <v>262</v>
      </c>
      <c r="B34">
        <f>SUMIFS('Federal Data'!M2:M501,'Federal Data'!$F2:$F501,"General Business Regulation",'Federal Data'!$D2:$D501,"Nongrant")</f>
        <v>1626416</v>
      </c>
      <c r="C34">
        <f>SUMIFS('Federal Data'!N2:N501,'Federal Data'!$F2:$F501,"General Business Regulation",'Federal Data'!$D2:$D501,"Nongrant")</f>
        <v>1717261</v>
      </c>
      <c r="D34">
        <f>SUMIFS('Federal Data'!O2:O501,'Federal Data'!$F2:$F501,"General Business Regulation",'Federal Data'!$D2:$D501,"Nongrant")</f>
        <v>1746586</v>
      </c>
      <c r="E34">
        <f>SUMIFS('Federal Data'!P2:P501,'Federal Data'!$F2:$F501,"General Business Regulation",'Federal Data'!$D2:$D501,"Nongrant")</f>
        <v>1749609</v>
      </c>
      <c r="F34">
        <f>SUMIFS('Federal Data'!Q2:Q501,'Federal Data'!$F2:$F501,"General Business Regulation",'Federal Data'!$D2:$D501,"Nongrant")</f>
        <v>1824386</v>
      </c>
      <c r="G34">
        <f>SUMIFS('Federal Data'!R2:R501,'Federal Data'!$F2:$F501,"General Business Regulation",'Federal Data'!$D2:$D501,"Nongrant")</f>
        <v>1948900</v>
      </c>
      <c r="H34">
        <f>SUMIFS('Federal Data'!S2:S501,'Federal Data'!$F2:$F501,"General Business Regulation",'Federal Data'!$D2:$D501,"Nongrant")</f>
        <v>1958647</v>
      </c>
      <c r="I34">
        <f>SUMIFS('Federal Data'!T2:T501,'Federal Data'!$F2:$F501,"General Business Regulation",'Federal Data'!$D2:$D501,"Nongrant")</f>
        <v>2044006</v>
      </c>
      <c r="J34">
        <f>SUMIFS('Federal Data'!U2:U501,'Federal Data'!$F2:$F501,"General Business Regulation",'Federal Data'!$D2:$D501,"Nongrant")</f>
        <v>2157626</v>
      </c>
      <c r="K34">
        <f>SUMIFS('Federal Data'!V2:V501,'Federal Data'!$F2:$F501,"General Business Regulation",'Federal Data'!$D2:$D501,"Nongrant")</f>
        <v>2468697</v>
      </c>
      <c r="L34">
        <f>SUMIFS('Federal Data'!W2:W501,'Federal Data'!$F2:$F501,"General Business Regulation",'Federal Data'!$D2:$D501,"Nongrant")</f>
        <v>2543879</v>
      </c>
      <c r="M34">
        <f>SUMIFS('Federal Data'!X2:X501,'Federal Data'!$F2:$F501,"General Business Regulation",'Federal Data'!$D2:$D501,"Nongrant")</f>
        <v>2467736</v>
      </c>
      <c r="N34">
        <f>SUMIFS('Federal Data'!Y2:Y501,'Federal Data'!$F2:$F501,"General Business Regulation",'Federal Data'!$D2:$D501,"Nongrant")</f>
        <v>2733280</v>
      </c>
      <c r="O34">
        <f>SUMIFS('Federal Data'!Z2:Z501,'Federal Data'!$F2:$F501,"General Business Regulation",'Federal Data'!$D2:$D501,"Nongrant")</f>
        <v>2507029</v>
      </c>
      <c r="P34">
        <f>SUMIFS('Federal Data'!AA2:AA501,'Federal Data'!$F2:$F501,"General Business Regulation",'Federal Data'!$D2:$D501,"Nongrant")</f>
        <v>2720996</v>
      </c>
      <c r="Q34">
        <f>SUMIFS('Federal Data'!AB2:AB501,'Federal Data'!$F2:$F501,"General Business Regulation",'Federal Data'!$D2:$D501,"Nongrant")</f>
        <v>2885000</v>
      </c>
      <c r="R34">
        <f>SUMIFS('Federal Data'!AC2:AC501,'Federal Data'!$F2:$F501,"General Business Regulation",'Federal Data'!$D2:$D501,"Nongrant")</f>
        <v>2513000</v>
      </c>
      <c r="S34">
        <f>SUMIFS('Federal Data'!AD2:AD501,'Federal Data'!$F2:$F501,"General Business Regulation",'Federal Data'!$D2:$D501,"Nongrant")</f>
        <v>2713000</v>
      </c>
      <c r="T34">
        <f>SUMIFS('Federal Data'!AE2:AE501,'Federal Data'!$F2:$F501,"General Business Regulation",'Federal Data'!$D2:$D501,"Nongrant")</f>
        <v>2547000</v>
      </c>
      <c r="U34">
        <f>SUMIFS('Federal Data'!AF2:AF501,'Federal Data'!$F2:$F501,"General Business Regulation",'Federal Data'!$D2:$D501,"Nongrant")</f>
        <v>2733000</v>
      </c>
      <c r="V34">
        <f>SUMIFS('Federal Data'!AG2:AG501,'Federal Data'!$F2:$F501,"General Business Regulation",'Federal Data'!$D2:$D501,"Nongrant")</f>
        <v>2843000</v>
      </c>
      <c r="W34">
        <f>SUMIFS('Federal Data'!AH2:AH501,'Federal Data'!$F2:$F501,"General Business Regulation",'Federal Data'!$D2:$D501,"Nongrant")</f>
        <v>3133000</v>
      </c>
      <c r="X34">
        <f>SUMIFS('Federal Data'!AI2:AI501,'Federal Data'!$F2:$F501,"General Business Regulation",'Federal Data'!$D2:$D501,"Nongrant")</f>
        <v>3211000</v>
      </c>
      <c r="Y34">
        <f>SUMIFS('Federal Data'!AJ2:AJ501,'Federal Data'!$F2:$F501,"General Business Regulation",'Federal Data'!$D2:$D501,"Nongrant")</f>
        <v>3482000</v>
      </c>
      <c r="Z34">
        <f>SUMIFS('Federal Data'!AK2:AK501,'Federal Data'!$F2:$F501,"General Business Regulation",'Federal Data'!$D2:$D501,"Nongrant")</f>
        <v>3467000</v>
      </c>
      <c r="AA34">
        <f>SUMIFS('Federal Data'!AL2:AL501,'Federal Data'!$F2:$F501,"General Business Regulation",'Federal Data'!$D2:$D501,"Nongrant")</f>
        <v>3243000</v>
      </c>
      <c r="AB34">
        <f>SUMIFS('Federal Data'!AM2:AM501,'Federal Data'!$F2:$F501,"General Business Regulation",'Federal Data'!$D2:$D501,"Nongrant")</f>
        <v>3304000</v>
      </c>
      <c r="AC34">
        <f>SUMIFS('Federal Data'!AN2:AN501,'Federal Data'!$F2:$F501,"General Business Regulation",'Federal Data'!$D2:$D501,"Nongrant")</f>
        <v>3966000</v>
      </c>
      <c r="AD34">
        <f>SUMIFS('Federal Data'!AO2:AO501,'Federal Data'!$F2:$F501,"General Business Regulation",'Federal Data'!$D2:$D501,"Nongrant")</f>
        <v>4236000</v>
      </c>
      <c r="AE34">
        <f>SUMIFS('Federal Data'!AP2:AP501,'Federal Data'!$F2:$F501,"General Business Regulation",'Federal Data'!$D2:$D501,"Nongrant")</f>
        <v>6047000</v>
      </c>
      <c r="AF34">
        <f>SUMIFS('Federal Data'!AQ2:AQ501,'Federal Data'!$F2:$F501,"General Business Regulation",'Federal Data'!$D2:$D501,"Nongrant")</f>
        <v>6525000</v>
      </c>
      <c r="AG34">
        <f>SUMIFS('Federal Data'!AR2:AR501,'Federal Data'!$F2:$F501,"General Business Regulation",'Federal Data'!$D2:$D501,"Nongrant")</f>
        <v>5255000</v>
      </c>
      <c r="AH34">
        <f>SUMIFS('Federal Data'!AS2:AS501,'Federal Data'!$F2:$F501,"General Business Regulation",'Federal Data'!$D2:$D501,"Nongrant")</f>
        <v>5815000</v>
      </c>
      <c r="AI34">
        <f>SUMIFS('Federal Data'!AT2:AT501,'Federal Data'!$F2:$F501,"General Business Regulation",'Federal Data'!$D2:$D501,"Nongrant")</f>
        <v>5278000</v>
      </c>
      <c r="AJ34">
        <f>SUMIFS('Federal Data'!AU2:AU501,'Federal Data'!$F2:$F501,"General Business Regulation",'Federal Data'!$D2:$D501,"Nongrant")</f>
        <v>5561000</v>
      </c>
      <c r="AK34">
        <f>SUMIFS('Federal Data'!AV2:AV501,'Federal Data'!$F2:$F501,"General Business Regulation",'Federal Data'!$D2:$D501,"Nongrant")</f>
        <v>6556000</v>
      </c>
    </row>
    <row r="35" spans="1:37">
      <c r="A35" s="5" t="s">
        <v>91</v>
      </c>
      <c r="B35">
        <f>SUMIFS('Federal Data'!M2:M501,'Federal Data'!$G2:$G501,"Consumer Protection",'Federal Data'!$D2:$D501,"Nongrant")</f>
        <v>717821</v>
      </c>
      <c r="C35">
        <f>SUMIFS('Federal Data'!N2:N501,'Federal Data'!$G2:$G501,"Consumer Protection",'Federal Data'!$D2:$D501,"Nongrant")</f>
        <v>736935</v>
      </c>
      <c r="D35">
        <f>SUMIFS('Federal Data'!O2:O501,'Federal Data'!$G2:$G501,"Consumer Protection",'Federal Data'!$D2:$D501,"Nongrant")</f>
        <v>747735</v>
      </c>
      <c r="E35">
        <f>SUMIFS('Federal Data'!P2:P501,'Federal Data'!$G2:$G501,"Consumer Protection",'Federal Data'!$D2:$D501,"Nongrant")</f>
        <v>780363</v>
      </c>
      <c r="F35">
        <f>SUMIFS('Federal Data'!Q2:Q501,'Federal Data'!$G2:$G501,"Consumer Protection",'Federal Data'!$D2:$D501,"Nongrant")</f>
        <v>822081</v>
      </c>
      <c r="G35">
        <f>SUMIFS('Federal Data'!R2:R501,'Federal Data'!$G2:$G501,"Consumer Protection",'Federal Data'!$D2:$D501,"Nongrant")</f>
        <v>881852</v>
      </c>
      <c r="H35">
        <f>SUMIFS('Federal Data'!S2:S501,'Federal Data'!$G2:$G501,"Consumer Protection",'Federal Data'!$D2:$D501,"Nongrant")</f>
        <v>870218</v>
      </c>
      <c r="I35">
        <f>SUMIFS('Federal Data'!T2:T501,'Federal Data'!$G2:$G501,"Consumer Protection",'Federal Data'!$D2:$D501,"Nongrant")</f>
        <v>901402</v>
      </c>
      <c r="J35">
        <f>SUMIFS('Federal Data'!U2:U501,'Federal Data'!$G2:$G501,"Consumer Protection",'Federal Data'!$D2:$D501,"Nongrant")</f>
        <v>977638</v>
      </c>
      <c r="K35">
        <f>SUMIFS('Federal Data'!V2:V501,'Federal Data'!$G2:$G501,"Consumer Protection",'Federal Data'!$D2:$D501,"Nongrant")</f>
        <v>1048454</v>
      </c>
      <c r="L35">
        <f>SUMIFS('Federal Data'!W2:W501,'Federal Data'!$G2:$G501,"Consumer Protection",'Federal Data'!$D2:$D501,"Nongrant")</f>
        <v>1101564</v>
      </c>
      <c r="M35">
        <f>SUMIFS('Federal Data'!X2:X501,'Federal Data'!$G2:$G501,"Consumer Protection",'Federal Data'!$D2:$D501,"Nongrant")</f>
        <v>1229030</v>
      </c>
      <c r="N35">
        <f>SUMIFS('Federal Data'!Y2:Y501,'Federal Data'!$G2:$G501,"Consumer Protection",'Federal Data'!$D2:$D501,"Nongrant")</f>
        <v>1335881</v>
      </c>
      <c r="O35">
        <f>SUMIFS('Federal Data'!Z2:Z501,'Federal Data'!$G2:$G501,"Consumer Protection",'Federal Data'!$D2:$D501,"Nongrant")</f>
        <v>1344636</v>
      </c>
      <c r="P35">
        <f>SUMIFS('Federal Data'!AA2:AA501,'Federal Data'!$G2:$G501,"Consumer Protection",'Federal Data'!$D2:$D501,"Nongrant")</f>
        <v>1385536</v>
      </c>
      <c r="Q35">
        <f>SUMIFS('Federal Data'!AB2:AB501,'Federal Data'!$G2:$G501,"Consumer Protection",'Federal Data'!$D2:$D501,"Nongrant")</f>
        <v>1502000</v>
      </c>
      <c r="R35">
        <f>SUMIFS('Federal Data'!AC2:AC501,'Federal Data'!$G2:$G501,"Consumer Protection",'Federal Data'!$D2:$D501,"Nongrant")</f>
        <v>1440000</v>
      </c>
      <c r="S35">
        <f>SUMIFS('Federal Data'!AD2:AD501,'Federal Data'!$G2:$G501,"Consumer Protection",'Federal Data'!$D2:$D501,"Nongrant")</f>
        <v>1422000</v>
      </c>
      <c r="T35">
        <f>SUMIFS('Federal Data'!AE2:AE501,'Federal Data'!$G2:$G501,"Consumer Protection",'Federal Data'!$D2:$D501,"Nongrant")</f>
        <v>1201000</v>
      </c>
      <c r="U35">
        <f>SUMIFS('Federal Data'!AF2:AF501,'Federal Data'!$G2:$G501,"Consumer Protection",'Federal Data'!$D2:$D501,"Nongrant")</f>
        <v>1299000</v>
      </c>
      <c r="V35">
        <f>SUMIFS('Federal Data'!AG2:AG501,'Federal Data'!$G2:$G501,"Consumer Protection",'Federal Data'!$D2:$D501,"Nongrant")</f>
        <v>1167000</v>
      </c>
      <c r="W35">
        <f>SUMIFS('Federal Data'!AH2:AH501,'Federal Data'!$G2:$G501,"Consumer Protection",'Federal Data'!$D2:$D501,"Nongrant")</f>
        <v>1399000</v>
      </c>
      <c r="X35">
        <f>SUMIFS('Federal Data'!AI2:AI501,'Federal Data'!$G2:$G501,"Consumer Protection",'Federal Data'!$D2:$D501,"Nongrant")</f>
        <v>1314000</v>
      </c>
      <c r="Y35">
        <f>SUMIFS('Federal Data'!AJ2:AJ501,'Federal Data'!$G2:$G501,"Consumer Protection",'Federal Data'!$D2:$D501,"Nongrant")</f>
        <v>1610000</v>
      </c>
      <c r="Z35">
        <f>SUMIFS('Federal Data'!AK2:AK501,'Federal Data'!$G2:$G501,"Consumer Protection",'Federal Data'!$D2:$D501,"Nongrant")</f>
        <v>1469000</v>
      </c>
      <c r="AA35">
        <f>SUMIFS('Federal Data'!AL2:AL501,'Federal Data'!$G2:$G501,"Consumer Protection",'Federal Data'!$D2:$D501,"Nongrant")</f>
        <v>1350000</v>
      </c>
      <c r="AB35">
        <f>SUMIFS('Federal Data'!AM2:AM501,'Federal Data'!$G2:$G501,"Consumer Protection",'Federal Data'!$D2:$D501,"Nongrant")</f>
        <v>1268000</v>
      </c>
      <c r="AC35">
        <f>SUMIFS('Federal Data'!AN2:AN501,'Federal Data'!$G2:$G501,"Consumer Protection",'Federal Data'!$D2:$D501,"Nongrant")</f>
        <v>1684000</v>
      </c>
      <c r="AD35">
        <f>SUMIFS('Federal Data'!AO2:AO501,'Federal Data'!$G2:$G501,"Consumer Protection",'Federal Data'!$D2:$D501,"Nongrant")</f>
        <v>1968000</v>
      </c>
      <c r="AE35">
        <f>SUMIFS('Federal Data'!AP2:AP501,'Federal Data'!$G2:$G501,"Consumer Protection",'Federal Data'!$D2:$D501,"Nongrant")</f>
        <v>3463000</v>
      </c>
      <c r="AF35">
        <f>SUMIFS('Federal Data'!AQ2:AQ501,'Federal Data'!$G2:$G501,"Consumer Protection",'Federal Data'!$D2:$D501,"Nongrant")</f>
        <v>3164000</v>
      </c>
      <c r="AG35">
        <f>SUMIFS('Federal Data'!AR2:AR501,'Federal Data'!$G2:$G501,"Consumer Protection",'Federal Data'!$D2:$D501,"Nongrant")</f>
        <v>3008000</v>
      </c>
      <c r="AH35">
        <f>SUMIFS('Federal Data'!AS2:AS501,'Federal Data'!$G2:$G501,"Consumer Protection",'Federal Data'!$D2:$D501,"Nongrant")</f>
        <v>3467000</v>
      </c>
      <c r="AI35">
        <f>SUMIFS('Federal Data'!AT2:AT501,'Federal Data'!$G2:$G501,"Consumer Protection",'Federal Data'!$D2:$D501,"Nongrant")</f>
        <v>3098000</v>
      </c>
      <c r="AJ35">
        <f>SUMIFS('Federal Data'!AU2:AU501,'Federal Data'!$G2:$G501,"Consumer Protection",'Federal Data'!$D2:$D501,"Nongrant")</f>
        <v>3651000</v>
      </c>
      <c r="AK35">
        <f>SUMIFS('Federal Data'!AV2:AV501,'Federal Data'!$G2:$G501,"Consumer Protection",'Federal Data'!$D2:$D501,"Nongrant")</f>
        <v>4168000</v>
      </c>
    </row>
    <row r="36" spans="1:37">
      <c r="A36" s="5" t="s">
        <v>92</v>
      </c>
      <c r="B36">
        <f>SUMIFS('Federal Data'!M2:M501,'Federal Data'!$G2:$G501,"Employee Protection",'Federal Data'!$D2:$D501,"Nongrant")</f>
        <v>728937</v>
      </c>
      <c r="C36">
        <f>SUMIFS('Federal Data'!N2:N501,'Federal Data'!$G2:$G501,"Employee Protection",'Federal Data'!$D2:$D501,"Nongrant")</f>
        <v>790984</v>
      </c>
      <c r="D36">
        <f>SUMIFS('Federal Data'!O2:O501,'Federal Data'!$G2:$G501,"Employee Protection",'Federal Data'!$D2:$D501,"Nongrant")</f>
        <v>774212</v>
      </c>
      <c r="E36">
        <f>SUMIFS('Federal Data'!P2:P501,'Federal Data'!$G2:$G501,"Employee Protection",'Federal Data'!$D2:$D501,"Nongrant")</f>
        <v>785102</v>
      </c>
      <c r="F36">
        <f>SUMIFS('Federal Data'!Q2:Q501,'Federal Data'!$G2:$G501,"Employee Protection",'Federal Data'!$D2:$D501,"Nongrant")</f>
        <v>809924</v>
      </c>
      <c r="G36">
        <f>SUMIFS('Federal Data'!R2:R501,'Federal Data'!$G2:$G501,"Employee Protection",'Federal Data'!$D2:$D501,"Nongrant")</f>
        <v>844408</v>
      </c>
      <c r="H36">
        <f>SUMIFS('Federal Data'!S2:S501,'Federal Data'!$G2:$G501,"Employee Protection",'Federal Data'!$D2:$D501,"Nongrant")</f>
        <v>831242</v>
      </c>
      <c r="I36">
        <f>SUMIFS('Federal Data'!T2:T501,'Federal Data'!$G2:$G501,"Employee Protection",'Federal Data'!$D2:$D501,"Nongrant")</f>
        <v>826326</v>
      </c>
      <c r="J36">
        <f>SUMIFS('Federal Data'!U2:U501,'Federal Data'!$G2:$G501,"Employee Protection",'Federal Data'!$D2:$D501,"Nongrant")</f>
        <v>916897</v>
      </c>
      <c r="K36">
        <f>SUMIFS('Federal Data'!V2:V501,'Federal Data'!$G2:$G501,"Employee Protection",'Federal Data'!$D2:$D501,"Nongrant")</f>
        <v>957746</v>
      </c>
      <c r="L36">
        <f>SUMIFS('Federal Data'!W2:W501,'Federal Data'!$G2:$G501,"Employee Protection",'Federal Data'!$D2:$D501,"Nongrant")</f>
        <v>1013700</v>
      </c>
      <c r="M36">
        <f>SUMIFS('Federal Data'!X2:X501,'Federal Data'!$G2:$G501,"Employee Protection",'Federal Data'!$D2:$D501,"Nongrant")</f>
        <v>948268</v>
      </c>
      <c r="N36">
        <f>SUMIFS('Federal Data'!Y2:Y501,'Federal Data'!$G2:$G501,"Employee Protection",'Federal Data'!$D2:$D501,"Nongrant")</f>
        <v>1074924</v>
      </c>
      <c r="O36">
        <f>SUMIFS('Federal Data'!Z2:Z501,'Federal Data'!$G2:$G501,"Employee Protection",'Federal Data'!$D2:$D501,"Nongrant")</f>
        <v>1075993</v>
      </c>
      <c r="P36">
        <f>SUMIFS('Federal Data'!AA2:AA501,'Federal Data'!$G2:$G501,"Employee Protection",'Federal Data'!$D2:$D501,"Nongrant")</f>
        <v>1102305</v>
      </c>
      <c r="Q36">
        <f>SUMIFS('Federal Data'!AB2:AB501,'Federal Data'!$G2:$G501,"Employee Protection",'Federal Data'!$D2:$D501,"Nongrant")</f>
        <v>1107000</v>
      </c>
      <c r="R36">
        <f>SUMIFS('Federal Data'!AC2:AC501,'Federal Data'!$G2:$G501,"Employee Protection",'Federal Data'!$D2:$D501,"Nongrant")</f>
        <v>1060000</v>
      </c>
      <c r="S36">
        <f>SUMIFS('Federal Data'!AD2:AD501,'Federal Data'!$G2:$G501,"Employee Protection",'Federal Data'!$D2:$D501,"Nongrant")</f>
        <v>1144000</v>
      </c>
      <c r="T36">
        <f>SUMIFS('Federal Data'!AE2:AE501,'Federal Data'!$G2:$G501,"Employee Protection",'Federal Data'!$D2:$D501,"Nongrant")</f>
        <v>1190000</v>
      </c>
      <c r="U36">
        <f>SUMIFS('Federal Data'!AF2:AF501,'Federal Data'!$G2:$G501,"Employee Protection",'Federal Data'!$D2:$D501,"Nongrant")</f>
        <v>1240000</v>
      </c>
      <c r="V36">
        <f>SUMIFS('Federal Data'!AG2:AG501,'Federal Data'!$G2:$G501,"Employee Protection",'Federal Data'!$D2:$D501,"Nongrant")</f>
        <v>1359000</v>
      </c>
      <c r="W36">
        <f>SUMIFS('Federal Data'!AH2:AH501,'Federal Data'!$G2:$G501,"Employee Protection",'Federal Data'!$D2:$D501,"Nongrant")</f>
        <v>1471000</v>
      </c>
      <c r="X36">
        <f>SUMIFS('Federal Data'!AI2:AI501,'Federal Data'!$G2:$G501,"Employee Protection",'Federal Data'!$D2:$D501,"Nongrant")</f>
        <v>1609000</v>
      </c>
      <c r="Y36">
        <f>SUMIFS('Federal Data'!AJ2:AJ501,'Federal Data'!$G2:$G501,"Employee Protection",'Federal Data'!$D2:$D501,"Nongrant")</f>
        <v>1678000</v>
      </c>
      <c r="Z36">
        <f>SUMIFS('Federal Data'!AK2:AK501,'Federal Data'!$G2:$G501,"Employee Protection",'Federal Data'!$D2:$D501,"Nongrant")</f>
        <v>1754000</v>
      </c>
      <c r="AA36">
        <f>SUMIFS('Federal Data'!AL2:AL501,'Federal Data'!$G2:$G501,"Employee Protection",'Federal Data'!$D2:$D501,"Nongrant")</f>
        <v>1811000</v>
      </c>
      <c r="AB36">
        <f>SUMIFS('Federal Data'!AM2:AM501,'Federal Data'!$G2:$G501,"Employee Protection",'Federal Data'!$D2:$D501,"Nongrant")</f>
        <v>1843000</v>
      </c>
      <c r="AC36">
        <f>SUMIFS('Federal Data'!AN2:AN501,'Federal Data'!$G2:$G501,"Employee Protection",'Federal Data'!$D2:$D501,"Nongrant")</f>
        <v>1846000</v>
      </c>
      <c r="AD36">
        <f>SUMIFS('Federal Data'!AO2:AO501,'Federal Data'!$G2:$G501,"Employee Protection",'Federal Data'!$D2:$D501,"Nongrant")</f>
        <v>1904000</v>
      </c>
      <c r="AE36">
        <f>SUMIFS('Federal Data'!AP2:AP501,'Federal Data'!$G2:$G501,"Employee Protection",'Federal Data'!$D2:$D501,"Nongrant")</f>
        <v>1915000</v>
      </c>
      <c r="AF36">
        <f>SUMIFS('Federal Data'!AQ2:AQ501,'Federal Data'!$G2:$G501,"Employee Protection",'Federal Data'!$D2:$D501,"Nongrant")</f>
        <v>2040000</v>
      </c>
      <c r="AG36">
        <f>SUMIFS('Federal Data'!AR2:AR501,'Federal Data'!$G2:$G501,"Employee Protection",'Federal Data'!$D2:$D501,"Nongrant")</f>
        <v>2164000</v>
      </c>
      <c r="AH36">
        <f>SUMIFS('Federal Data'!AS2:AS501,'Federal Data'!$G2:$G501,"Employee Protection",'Federal Data'!$D2:$D501,"Nongrant")</f>
        <v>2162000</v>
      </c>
      <c r="AI36">
        <f>SUMIFS('Federal Data'!AT2:AT501,'Federal Data'!$G2:$G501,"Employee Protection",'Federal Data'!$D2:$D501,"Nongrant")</f>
        <v>2184000</v>
      </c>
      <c r="AJ36">
        <f>SUMIFS('Federal Data'!AU2:AU501,'Federal Data'!$G2:$G501,"Employee Protection",'Federal Data'!$D2:$D501,"Nongrant")</f>
        <v>2114000</v>
      </c>
      <c r="AK36">
        <f>SUMIFS('Federal Data'!AV2:AV501,'Federal Data'!$G2:$G501,"Employee Protection",'Federal Data'!$D2:$D501,"Nongrant")</f>
        <v>2115000</v>
      </c>
    </row>
    <row r="37" spans="1:37">
      <c r="A37" s="5" t="s">
        <v>120</v>
      </c>
      <c r="B37">
        <f>SUMIFS('Federal Data'!M2:M501,'Federal Data'!$G2:$G501,"Patents and Copyrights",'Federal Data'!$D2:$D501,"Nongrant")</f>
        <v>111142</v>
      </c>
      <c r="C37">
        <f>SUMIFS('Federal Data'!N2:N501,'Federal Data'!$G2:$G501,"Patents and Copyrights",'Federal Data'!$D2:$D501,"Nongrant")</f>
        <v>119218</v>
      </c>
      <c r="D37">
        <f>SUMIFS('Federal Data'!O2:O501,'Federal Data'!$G2:$G501,"Patents and Copyrights",'Federal Data'!$D2:$D501,"Nongrant")</f>
        <v>156633</v>
      </c>
      <c r="E37">
        <f>SUMIFS('Federal Data'!P2:P501,'Federal Data'!$G2:$G501,"Patents and Copyrights",'Federal Data'!$D2:$D501,"Nongrant")</f>
        <v>118680</v>
      </c>
      <c r="F37">
        <f>SUMIFS('Federal Data'!Q2:Q501,'Federal Data'!$G2:$G501,"Patents and Copyrights",'Federal Data'!$D2:$D501,"Nongrant")</f>
        <v>126517</v>
      </c>
      <c r="G37">
        <f>SUMIFS('Federal Data'!R2:R501,'Federal Data'!$G2:$G501,"Patents and Copyrights",'Federal Data'!$D2:$D501,"Nongrant")</f>
        <v>157373</v>
      </c>
      <c r="H37">
        <f>SUMIFS('Federal Data'!S2:S501,'Federal Data'!$G2:$G501,"Patents and Copyrights",'Federal Data'!$D2:$D501,"Nongrant")</f>
        <v>195173</v>
      </c>
      <c r="I37">
        <f>SUMIFS('Federal Data'!T2:T501,'Federal Data'!$G2:$G501,"Patents and Copyrights",'Federal Data'!$D2:$D501,"Nongrant")</f>
        <v>250211</v>
      </c>
      <c r="J37">
        <f>SUMIFS('Federal Data'!U2:U501,'Federal Data'!$G2:$G501,"Patents and Copyrights",'Federal Data'!$D2:$D501,"Nongrant")</f>
        <v>167670</v>
      </c>
      <c r="K37">
        <f>SUMIFS('Federal Data'!V2:V501,'Federal Data'!$G2:$G501,"Patents and Copyrights",'Federal Data'!$D2:$D501,"Nongrant")</f>
        <v>354162</v>
      </c>
      <c r="L37">
        <f>SUMIFS('Federal Data'!W2:W501,'Federal Data'!$G2:$G501,"Patents and Copyrights",'Federal Data'!$D2:$D501,"Nongrant")</f>
        <v>331638</v>
      </c>
      <c r="M37">
        <f>SUMIFS('Federal Data'!X2:X501,'Federal Data'!$G2:$G501,"Patents and Copyrights",'Federal Data'!$D2:$D501,"Nongrant")</f>
        <v>186428</v>
      </c>
      <c r="N37">
        <f>SUMIFS('Federal Data'!Y2:Y501,'Federal Data'!$G2:$G501,"Patents and Copyrights",'Federal Data'!$D2:$D501,"Nongrant")</f>
        <v>207834</v>
      </c>
      <c r="O37">
        <f>SUMIFS('Federal Data'!Z2:Z501,'Federal Data'!$G2:$G501,"Patents and Copyrights",'Federal Data'!$D2:$D501,"Nongrant")</f>
        <v>-18601</v>
      </c>
      <c r="P37">
        <f>SUMIFS('Federal Data'!AA2:AA501,'Federal Data'!$G2:$G501,"Patents and Copyrights",'Federal Data'!$D2:$D501,"Nongrant")</f>
        <v>129535</v>
      </c>
      <c r="Q37">
        <f>SUMIFS('Federal Data'!AB2:AB501,'Federal Data'!$G2:$G501,"Patents and Copyrights",'Federal Data'!$D2:$D501,"Nongrant")</f>
        <v>206000</v>
      </c>
      <c r="R37">
        <f>SUMIFS('Federal Data'!AC2:AC501,'Federal Data'!$G2:$G501,"Patents and Copyrights",'Federal Data'!$D2:$D501,"Nongrant")</f>
        <v>-64000</v>
      </c>
      <c r="S37">
        <f>SUMIFS('Federal Data'!AD2:AD501,'Federal Data'!$G2:$G501,"Patents and Copyrights",'Federal Data'!$D2:$D501,"Nongrant")</f>
        <v>81000</v>
      </c>
      <c r="T37">
        <f>SUMIFS('Federal Data'!AE2:AE501,'Federal Data'!$G2:$G501,"Patents and Copyrights",'Federal Data'!$D2:$D501,"Nongrant")</f>
        <v>111000</v>
      </c>
      <c r="U37">
        <f>SUMIFS('Federal Data'!AF2:AF501,'Federal Data'!$G2:$G501,"Patents and Copyrights",'Federal Data'!$D2:$D501,"Nongrant")</f>
        <v>139000</v>
      </c>
      <c r="V37">
        <f>SUMIFS('Federal Data'!AG2:AG501,'Federal Data'!$G2:$G501,"Patents and Copyrights",'Federal Data'!$D2:$D501,"Nongrant")</f>
        <v>249000</v>
      </c>
      <c r="W37">
        <f>SUMIFS('Federal Data'!AH2:AH501,'Federal Data'!$G2:$G501,"Patents and Copyrights",'Federal Data'!$D2:$D501,"Nongrant")</f>
        <v>169000</v>
      </c>
      <c r="X37">
        <f>SUMIFS('Federal Data'!AI2:AI501,'Federal Data'!$G2:$G501,"Patents and Copyrights",'Federal Data'!$D2:$D501,"Nongrant")</f>
        <v>140000</v>
      </c>
      <c r="Y37">
        <f>SUMIFS('Federal Data'!AJ2:AJ501,'Federal Data'!$G2:$G501,"Patents and Copyrights",'Federal Data'!$D2:$D501,"Nongrant")</f>
        <v>34000</v>
      </c>
      <c r="Z37">
        <f>SUMIFS('Federal Data'!AK2:AK501,'Federal Data'!$G2:$G501,"Patents and Copyrights",'Federal Data'!$D2:$D501,"Nongrant")</f>
        <v>100000</v>
      </c>
      <c r="AA37">
        <f>SUMIFS('Federal Data'!AL2:AL501,'Federal Data'!$G2:$G501,"Patents and Copyrights",'Federal Data'!$D2:$D501,"Nongrant")</f>
        <v>-41000</v>
      </c>
      <c r="AB37">
        <f>SUMIFS('Federal Data'!AM2:AM501,'Federal Data'!$G2:$G501,"Patents and Copyrights",'Federal Data'!$D2:$D501,"Nongrant")</f>
        <v>64000</v>
      </c>
      <c r="AC37">
        <f>SUMIFS('Federal Data'!AN2:AN501,'Federal Data'!$G2:$G501,"Patents and Copyrights",'Federal Data'!$D2:$D501,"Nongrant")</f>
        <v>320000</v>
      </c>
      <c r="AD37">
        <f>SUMIFS('Federal Data'!AO2:AO501,'Federal Data'!$G2:$G501,"Patents and Copyrights",'Federal Data'!$D2:$D501,"Nongrant")</f>
        <v>205000</v>
      </c>
      <c r="AE37">
        <f>SUMIFS('Federal Data'!AP2:AP501,'Federal Data'!$G2:$G501,"Patents and Copyrights",'Federal Data'!$D2:$D501,"Nongrant")</f>
        <v>396000</v>
      </c>
      <c r="AF37">
        <f>SUMIFS('Federal Data'!AQ2:AQ501,'Federal Data'!$G2:$G501,"Patents and Copyrights",'Federal Data'!$D2:$D501,"Nongrant")</f>
        <v>1082000</v>
      </c>
      <c r="AG37">
        <f>SUMIFS('Federal Data'!AR2:AR501,'Federal Data'!$G2:$G501,"Patents and Copyrights",'Federal Data'!$D2:$D501,"Nongrant")</f>
        <v>-166000</v>
      </c>
      <c r="AH37">
        <f>SUMIFS('Federal Data'!AS2:AS501,'Federal Data'!$G2:$G501,"Patents and Copyrights",'Federal Data'!$D2:$D501,"Nongrant")</f>
        <v>-56000</v>
      </c>
      <c r="AI37">
        <f>SUMIFS('Federal Data'!AT2:AT501,'Federal Data'!$G2:$G501,"Patents and Copyrights",'Federal Data'!$D2:$D501,"Nongrant")</f>
        <v>-254000</v>
      </c>
      <c r="AJ37">
        <f>SUMIFS('Federal Data'!AU2:AU501,'Federal Data'!$G2:$G501,"Patents and Copyrights",'Federal Data'!$D2:$D501,"Nongrant")</f>
        <v>-475000</v>
      </c>
      <c r="AK37">
        <f>SUMIFS('Federal Data'!AV2:AV501,'Federal Data'!$G2:$G501,"Patents and Copyrights",'Federal Data'!$D2:$D501,"Nongrant")</f>
        <v>40000</v>
      </c>
    </row>
    <row r="38" spans="1:37">
      <c r="A38" s="5" t="s">
        <v>93</v>
      </c>
      <c r="B38">
        <f>SUMIFS('Federal Data'!M2:M501,'Federal Data'!$G2:$G501,"Other Business Regulation",'Federal Data'!$D2:$D501,"Nongrant")</f>
        <v>68516</v>
      </c>
      <c r="C38">
        <f>SUMIFS('Federal Data'!N2:N501,'Federal Data'!$G2:$G501,"Other Business Regulation",'Federal Data'!$D2:$D501,"Nongrant")</f>
        <v>70124</v>
      </c>
      <c r="D38">
        <f>SUMIFS('Federal Data'!O2:O501,'Federal Data'!$G2:$G501,"Other Business Regulation",'Federal Data'!$D2:$D501,"Nongrant")</f>
        <v>68006</v>
      </c>
      <c r="E38">
        <f>SUMIFS('Federal Data'!P2:P501,'Federal Data'!$G2:$G501,"Other Business Regulation",'Federal Data'!$D2:$D501,"Nongrant")</f>
        <v>65464</v>
      </c>
      <c r="F38">
        <f>SUMIFS('Federal Data'!Q2:Q501,'Federal Data'!$G2:$G501,"Other Business Regulation",'Federal Data'!$D2:$D501,"Nongrant")</f>
        <v>65864</v>
      </c>
      <c r="G38">
        <f>SUMIFS('Federal Data'!R2:R501,'Federal Data'!$G2:$G501,"Other Business Regulation",'Federal Data'!$D2:$D501,"Nongrant")</f>
        <v>65267</v>
      </c>
      <c r="H38">
        <f>SUMIFS('Federal Data'!S2:S501,'Federal Data'!$G2:$G501,"Other Business Regulation",'Federal Data'!$D2:$D501,"Nongrant")</f>
        <v>62014</v>
      </c>
      <c r="I38">
        <f>SUMIFS('Federal Data'!T2:T501,'Federal Data'!$G2:$G501,"Other Business Regulation",'Federal Data'!$D2:$D501,"Nongrant")</f>
        <v>66067</v>
      </c>
      <c r="J38">
        <f>SUMIFS('Federal Data'!U2:U501,'Federal Data'!$G2:$G501,"Other Business Regulation",'Federal Data'!$D2:$D501,"Nongrant")</f>
        <v>95421</v>
      </c>
      <c r="K38">
        <f>SUMIFS('Federal Data'!V2:V501,'Federal Data'!$G2:$G501,"Other Business Regulation",'Federal Data'!$D2:$D501,"Nongrant")</f>
        <v>108335</v>
      </c>
      <c r="L38">
        <f>SUMIFS('Federal Data'!W2:W501,'Federal Data'!$G2:$G501,"Other Business Regulation",'Federal Data'!$D2:$D501,"Nongrant")</f>
        <v>96977</v>
      </c>
      <c r="M38">
        <f>SUMIFS('Federal Data'!X2:X501,'Federal Data'!$G2:$G501,"Other Business Regulation",'Federal Data'!$D2:$D501,"Nongrant")</f>
        <v>104010</v>
      </c>
      <c r="N38">
        <f>SUMIFS('Federal Data'!Y2:Y501,'Federal Data'!$G2:$G501,"Other Business Regulation",'Federal Data'!$D2:$D501,"Nongrant")</f>
        <v>114641</v>
      </c>
      <c r="O38">
        <f>SUMIFS('Federal Data'!Z2:Z501,'Federal Data'!$G2:$G501,"Other Business Regulation",'Federal Data'!$D2:$D501,"Nongrant")</f>
        <v>105001</v>
      </c>
      <c r="P38">
        <f>SUMIFS('Federal Data'!AA2:AA501,'Federal Data'!$G2:$G501,"Other Business Regulation",'Federal Data'!$D2:$D501,"Nongrant")</f>
        <v>103620</v>
      </c>
      <c r="Q38">
        <f>SUMIFS('Federal Data'!AB2:AB501,'Federal Data'!$G2:$G501,"Other Business Regulation",'Federal Data'!$D2:$D501,"Nongrant")</f>
        <v>70000</v>
      </c>
      <c r="R38">
        <f>SUMIFS('Federal Data'!AC2:AC501,'Federal Data'!$G2:$G501,"Other Business Regulation",'Federal Data'!$D2:$D501,"Nongrant")</f>
        <v>77000</v>
      </c>
      <c r="S38">
        <f>SUMIFS('Federal Data'!AD2:AD501,'Federal Data'!$G2:$G501,"Other Business Regulation",'Federal Data'!$D2:$D501,"Nongrant")</f>
        <v>66000</v>
      </c>
      <c r="T38">
        <f>SUMIFS('Federal Data'!AE2:AE501,'Federal Data'!$G2:$G501,"Other Business Regulation",'Federal Data'!$D2:$D501,"Nongrant")</f>
        <v>45000</v>
      </c>
      <c r="U38">
        <f>SUMIFS('Federal Data'!AF2:AF501,'Federal Data'!$G2:$G501,"Other Business Regulation",'Federal Data'!$D2:$D501,"Nongrant")</f>
        <v>55000</v>
      </c>
      <c r="V38">
        <f>SUMIFS('Federal Data'!AG2:AG501,'Federal Data'!$G2:$G501,"Other Business Regulation",'Federal Data'!$D2:$D501,"Nongrant")</f>
        <v>68000</v>
      </c>
      <c r="W38">
        <f>SUMIFS('Federal Data'!AH2:AH501,'Federal Data'!$G2:$G501,"Other Business Regulation",'Federal Data'!$D2:$D501,"Nongrant")</f>
        <v>94000</v>
      </c>
      <c r="X38">
        <f>SUMIFS('Federal Data'!AI2:AI501,'Federal Data'!$G2:$G501,"Other Business Regulation",'Federal Data'!$D2:$D501,"Nongrant")</f>
        <v>148000</v>
      </c>
      <c r="Y38">
        <f>SUMIFS('Federal Data'!AJ2:AJ501,'Federal Data'!$G2:$G501,"Other Business Regulation",'Federal Data'!$D2:$D501,"Nongrant")</f>
        <v>160000</v>
      </c>
      <c r="Z38">
        <f>SUMIFS('Federal Data'!AK2:AK501,'Federal Data'!$G2:$G501,"Other Business Regulation",'Federal Data'!$D2:$D501,"Nongrant")</f>
        <v>144000</v>
      </c>
      <c r="AA38">
        <f>SUMIFS('Federal Data'!AL2:AL501,'Federal Data'!$G2:$G501,"Other Business Regulation",'Federal Data'!$D2:$D501,"Nongrant")</f>
        <v>123000</v>
      </c>
      <c r="AB38">
        <f>SUMIFS('Federal Data'!AM2:AM501,'Federal Data'!$G2:$G501,"Other Business Regulation",'Federal Data'!$D2:$D501,"Nongrant")</f>
        <v>129000</v>
      </c>
      <c r="AC38">
        <f>SUMIFS('Federal Data'!AN2:AN501,'Federal Data'!$G2:$G501,"Other Business Regulation",'Federal Data'!$D2:$D501,"Nongrant")</f>
        <v>116000</v>
      </c>
      <c r="AD38">
        <f>SUMIFS('Federal Data'!AO2:AO501,'Federal Data'!$G2:$G501,"Other Business Regulation",'Federal Data'!$D2:$D501,"Nongrant")</f>
        <v>159000</v>
      </c>
      <c r="AE38">
        <f>SUMIFS('Federal Data'!AP2:AP501,'Federal Data'!$G2:$G501,"Other Business Regulation",'Federal Data'!$D2:$D501,"Nongrant")</f>
        <v>273000</v>
      </c>
      <c r="AF38">
        <f>SUMIFS('Federal Data'!AQ2:AQ501,'Federal Data'!$G2:$G501,"Other Business Regulation",'Federal Data'!$D2:$D501,"Nongrant")</f>
        <v>239000</v>
      </c>
      <c r="AG38">
        <f>SUMIFS('Federal Data'!AR2:AR501,'Federal Data'!$G2:$G501,"Other Business Regulation",'Federal Data'!$D2:$D501,"Nongrant")</f>
        <v>249000</v>
      </c>
      <c r="AH38">
        <f>SUMIFS('Federal Data'!AS2:AS501,'Federal Data'!$G2:$G501,"Other Business Regulation",'Federal Data'!$D2:$D501,"Nongrant")</f>
        <v>242000</v>
      </c>
      <c r="AI38">
        <f>SUMIFS('Federal Data'!AT2:AT501,'Federal Data'!$G2:$G501,"Other Business Regulation",'Federal Data'!$D2:$D501,"Nongrant")</f>
        <v>250000</v>
      </c>
      <c r="AJ38">
        <f>SUMIFS('Federal Data'!AU2:AU501,'Federal Data'!$G2:$G501,"Other Business Regulation",'Federal Data'!$D2:$D501,"Nongrant")</f>
        <v>271000</v>
      </c>
      <c r="AK38">
        <f>SUMIFS('Federal Data'!AV2:AV501,'Federal Data'!$G2:$G501,"Other Business Regulation",'Federal Data'!$D2:$D501,"Nongrant")</f>
        <v>233000</v>
      </c>
    </row>
    <row r="39" spans="1:37">
      <c r="A39" s="4" t="s">
        <v>248</v>
      </c>
      <c r="B39">
        <f>SUMIFS('Federal Data'!M2:M501,'Federal Data'!$F2:$F501,"Child and Social Services",'Federal Data'!$D2:$D501,"Nongrant")</f>
        <v>332249</v>
      </c>
      <c r="C39">
        <f>SUMIFS('Federal Data'!N2:N501,'Federal Data'!$F2:$F501,"Child and Social Services",'Federal Data'!$D2:$D501,"Nongrant")</f>
        <v>389363</v>
      </c>
      <c r="D39">
        <f>SUMIFS('Federal Data'!O2:O501,'Federal Data'!$F2:$F501,"Child and Social Services",'Federal Data'!$D2:$D501,"Nongrant")</f>
        <v>317077</v>
      </c>
      <c r="E39">
        <f>SUMIFS('Federal Data'!P2:P501,'Federal Data'!$F2:$F501,"Child and Social Services",'Federal Data'!$D2:$D501,"Nongrant")</f>
        <v>390801</v>
      </c>
      <c r="F39">
        <f>SUMIFS('Federal Data'!Q2:Q501,'Federal Data'!$F2:$F501,"Child and Social Services",'Federal Data'!$D2:$D501,"Nongrant")</f>
        <v>420634</v>
      </c>
      <c r="G39">
        <f>SUMIFS('Federal Data'!R2:R501,'Federal Data'!$F2:$F501,"Child and Social Services",'Federal Data'!$D2:$D501,"Nongrant")</f>
        <v>370437</v>
      </c>
      <c r="H39">
        <f>SUMIFS('Federal Data'!S2:S501,'Federal Data'!$F2:$F501,"Child and Social Services",'Federal Data'!$D2:$D501,"Nongrant")</f>
        <v>384665</v>
      </c>
      <c r="I39">
        <f>SUMIFS('Federal Data'!T2:T501,'Federal Data'!$F2:$F501,"Child and Social Services",'Federal Data'!$D2:$D501,"Nongrant")</f>
        <v>492702</v>
      </c>
      <c r="J39">
        <f>SUMIFS('Federal Data'!U2:U501,'Federal Data'!$F2:$F501,"Child and Social Services",'Federal Data'!$D2:$D501,"Nongrant")</f>
        <v>511058</v>
      </c>
      <c r="K39">
        <f>SUMIFS('Federal Data'!V2:V501,'Federal Data'!$F2:$F501,"Child and Social Services",'Federal Data'!$D2:$D501,"Nongrant")</f>
        <v>578211</v>
      </c>
      <c r="L39">
        <f>SUMIFS('Federal Data'!W2:W501,'Federal Data'!$F2:$F501,"Child and Social Services",'Federal Data'!$D2:$D501,"Nongrant")</f>
        <v>608120</v>
      </c>
      <c r="M39">
        <f>SUMIFS('Federal Data'!X2:X501,'Federal Data'!$F2:$F501,"Child and Social Services",'Federal Data'!$D2:$D501,"Nongrant")</f>
        <v>662300</v>
      </c>
      <c r="N39">
        <f>SUMIFS('Federal Data'!Y2:Y501,'Federal Data'!$F2:$F501,"Child and Social Services",'Federal Data'!$D2:$D501,"Nongrant")</f>
        <v>601714</v>
      </c>
      <c r="O39">
        <f>SUMIFS('Federal Data'!Z2:Z501,'Federal Data'!$F2:$F501,"Child and Social Services",'Federal Data'!$D2:$D501,"Nongrant")</f>
        <v>589165</v>
      </c>
      <c r="P39">
        <f>SUMIFS('Federal Data'!AA2:AA501,'Federal Data'!$F2:$F501,"Child and Social Services",'Federal Data'!$D2:$D501,"Nongrant")</f>
        <v>660178</v>
      </c>
      <c r="Q39">
        <f>SUMIFS('Federal Data'!AB2:AB501,'Federal Data'!$F2:$F501,"Child and Social Services",'Federal Data'!$D2:$D501,"Nongrant")</f>
        <v>718000</v>
      </c>
      <c r="R39">
        <f>SUMIFS('Federal Data'!AC2:AC501,'Federal Data'!$F2:$F501,"Child and Social Services",'Federal Data'!$D2:$D501,"Nongrant")</f>
        <v>732000</v>
      </c>
      <c r="S39">
        <f>SUMIFS('Federal Data'!AD2:AD501,'Federal Data'!$F2:$F501,"Child and Social Services",'Federal Data'!$D2:$D501,"Nongrant")</f>
        <v>514000</v>
      </c>
      <c r="T39">
        <f>SUMIFS('Federal Data'!AE2:AE501,'Federal Data'!$F2:$F501,"Child and Social Services",'Federal Data'!$D2:$D501,"Nongrant")</f>
        <v>-77000</v>
      </c>
      <c r="U39">
        <f>SUMIFS('Federal Data'!AF2:AF501,'Federal Data'!$F2:$F501,"Child and Social Services",'Federal Data'!$D2:$D501,"Nongrant")</f>
        <v>-31000</v>
      </c>
      <c r="V39">
        <f>SUMIFS('Federal Data'!AG2:AG501,'Federal Data'!$F2:$F501,"Child and Social Services",'Federal Data'!$D2:$D501,"Nongrant")</f>
        <v>78000</v>
      </c>
      <c r="W39">
        <f>SUMIFS('Federal Data'!AH2:AH501,'Federal Data'!$F2:$F501,"Child and Social Services",'Federal Data'!$D2:$D501,"Nongrant")</f>
        <v>-251000</v>
      </c>
      <c r="X39">
        <f>SUMIFS('Federal Data'!AI2:AI501,'Federal Data'!$F2:$F501,"Child and Social Services",'Federal Data'!$D2:$D501,"Nongrant")</f>
        <v>-107000</v>
      </c>
      <c r="Y39">
        <f>SUMIFS('Federal Data'!AJ2:AJ501,'Federal Data'!$F2:$F501,"Child and Social Services",'Federal Data'!$D2:$D501,"Nongrant")</f>
        <v>23000</v>
      </c>
      <c r="Z39">
        <f>SUMIFS('Federal Data'!AK2:AK501,'Federal Data'!$F2:$F501,"Child and Social Services",'Federal Data'!$D2:$D501,"Nongrant")</f>
        <v>74000</v>
      </c>
      <c r="AA39">
        <f>SUMIFS('Federal Data'!AL2:AL501,'Federal Data'!$F2:$F501,"Child and Social Services",'Federal Data'!$D2:$D501,"Nongrant")</f>
        <v>-13000</v>
      </c>
      <c r="AB39">
        <f>SUMIFS('Federal Data'!AM2:AM501,'Federal Data'!$F2:$F501,"Child and Social Services",'Federal Data'!$D2:$D501,"Nongrant")</f>
        <v>144000</v>
      </c>
      <c r="AC39">
        <f>SUMIFS('Federal Data'!AN2:AN501,'Federal Data'!$F2:$F501,"Child and Social Services",'Federal Data'!$D2:$D501,"Nongrant")</f>
        <v>270000</v>
      </c>
      <c r="AD39">
        <f>SUMIFS('Federal Data'!AO2:AO501,'Federal Data'!$F2:$F501,"Child and Social Services",'Federal Data'!$D2:$D501,"Nongrant")</f>
        <v>220000</v>
      </c>
      <c r="AE39">
        <f>SUMIFS('Federal Data'!AP2:AP501,'Federal Data'!$F2:$F501,"Child and Social Services",'Federal Data'!$D2:$D501,"Nongrant")</f>
        <v>246000</v>
      </c>
      <c r="AF39">
        <f>SUMIFS('Federal Data'!AQ2:AQ501,'Federal Data'!$F2:$F501,"Child and Social Services",'Federal Data'!$D2:$D501,"Nongrant")</f>
        <v>595000</v>
      </c>
      <c r="AG39">
        <f>SUMIFS('Federal Data'!AR2:AR501,'Federal Data'!$F2:$F501,"Child and Social Services",'Federal Data'!$D2:$D501,"Nongrant")</f>
        <v>631000</v>
      </c>
      <c r="AH39">
        <f>SUMIFS('Federal Data'!AS2:AS501,'Federal Data'!$F2:$F501,"Child and Social Services",'Federal Data'!$D2:$D501,"Nongrant")</f>
        <v>548000</v>
      </c>
      <c r="AI39">
        <f>SUMIFS('Federal Data'!AT2:AT501,'Federal Data'!$F2:$F501,"Child and Social Services",'Federal Data'!$D2:$D501,"Nongrant")</f>
        <v>485000</v>
      </c>
      <c r="AJ39">
        <f>SUMIFS('Federal Data'!AU2:AU501,'Federal Data'!$F2:$F501,"Child and Social Services",'Federal Data'!$D2:$D501,"Nongrant")</f>
        <v>616000</v>
      </c>
      <c r="AK39">
        <f>SUMIFS('Federal Data'!AV2:AV501,'Federal Data'!$F2:$F501,"Child and Social Services",'Federal Data'!$D2:$D501,"Nongrant")</f>
        <v>581000</v>
      </c>
    </row>
    <row r="40" spans="1:37">
      <c r="A40" s="3" t="s">
        <v>35</v>
      </c>
      <c r="B40">
        <f>SUMIFS('Federal Data'!M2:M501,'Federal Data'!$E2:$E501,"Common Defense",'Federal Data'!$D2:$D501,"Nongrant")</f>
        <v>168571621</v>
      </c>
      <c r="C40">
        <f>SUMIFS('Federal Data'!N2:N501,'Federal Data'!$E2:$E501,"Common Defense",'Federal Data'!$D2:$D501,"Nongrant")</f>
        <v>194400505</v>
      </c>
      <c r="D40">
        <f>SUMIFS('Federal Data'!O2:O501,'Federal Data'!$E2:$E501,"Common Defense",'Federal Data'!$D2:$D501,"Nongrant")</f>
        <v>222423450</v>
      </c>
      <c r="E40">
        <f>SUMIFS('Federal Data'!P2:P501,'Federal Data'!$E2:$E501,"Common Defense",'Federal Data'!$D2:$D501,"Nongrant")</f>
        <v>247554223</v>
      </c>
      <c r="F40">
        <f>SUMIFS('Federal Data'!Q2:Q501,'Federal Data'!$E2:$E501,"Common Defense",'Federal Data'!$D2:$D501,"Nongrant")</f>
        <v>269902036</v>
      </c>
      <c r="G40">
        <f>SUMIFS('Federal Data'!R2:R501,'Federal Data'!$E2:$E501,"Common Defense",'Federal Data'!$D2:$D501,"Nongrant")</f>
        <v>296212911</v>
      </c>
      <c r="H40">
        <f>SUMIFS('Federal Data'!S2:S501,'Federal Data'!$E2:$E501,"Common Defense",'Federal Data'!$D2:$D501,"Nongrant")</f>
        <v>314945187</v>
      </c>
      <c r="I40">
        <f>SUMIFS('Federal Data'!T2:T501,'Federal Data'!$E2:$E501,"Common Defense",'Federal Data'!$D2:$D501,"Nongrant")</f>
        <v>321789665</v>
      </c>
      <c r="J40">
        <f>SUMIFS('Federal Data'!U2:U501,'Federal Data'!$E2:$E501,"Common Defense",'Federal Data'!$D2:$D501,"Nongrant")</f>
        <v>332164297</v>
      </c>
      <c r="K40">
        <f>SUMIFS('Federal Data'!V2:V501,'Federal Data'!$E2:$E501,"Common Defense",'Federal Data'!$D2:$D501,"Nongrant")</f>
        <v>344451433</v>
      </c>
      <c r="L40">
        <f>SUMIFS('Federal Data'!W2:W501,'Federal Data'!$E2:$E501,"Common Defense",'Federal Data'!$D2:$D501,"Nongrant")</f>
        <v>343101182</v>
      </c>
      <c r="M40">
        <f>SUMIFS('Federal Data'!X2:X501,'Federal Data'!$E2:$E501,"Common Defense",'Federal Data'!$D2:$D501,"Nongrant")</f>
        <v>321823850</v>
      </c>
      <c r="N40">
        <f>SUMIFS('Federal Data'!Y2:Y501,'Federal Data'!$E2:$E501,"Common Defense",'Federal Data'!$D2:$D501,"Nongrant")</f>
        <v>349937694</v>
      </c>
      <c r="O40">
        <f>SUMIFS('Federal Data'!Z2:Z501,'Federal Data'!$E2:$E501,"Common Defense",'Federal Data'!$D2:$D501,"Nongrant")</f>
        <v>345611954</v>
      </c>
      <c r="P40">
        <f>SUMIFS('Federal Data'!AA2:AA501,'Federal Data'!$E2:$E501,"Common Defense",'Federal Data'!$D2:$D501,"Nongrant")</f>
        <v>337854378</v>
      </c>
      <c r="Q40">
        <f>SUMIFS('Federal Data'!AB2:AB501,'Federal Data'!$E2:$E501,"Common Defense",'Federal Data'!$D2:$D501,"Nongrant")</f>
        <v>327698000</v>
      </c>
      <c r="R40">
        <f>SUMIFS('Federal Data'!AC2:AC501,'Federal Data'!$E2:$E501,"Common Defense",'Federal Data'!$D2:$D501,"Nongrant")</f>
        <v>317866000</v>
      </c>
      <c r="S40">
        <f>SUMIFS('Federal Data'!AD2:AD501,'Federal Data'!$E2:$E501,"Common Defense",'Federal Data'!$D2:$D501,"Nongrant")</f>
        <v>326998000</v>
      </c>
      <c r="T40">
        <f>SUMIFS('Federal Data'!AE2:AE501,'Federal Data'!$E2:$E501,"Common Defense",'Federal Data'!$D2:$D501,"Nongrant")</f>
        <v>326063000</v>
      </c>
      <c r="U40">
        <f>SUMIFS('Federal Data'!AF2:AF501,'Federal Data'!$E2:$E501,"Common Defense",'Federal Data'!$D2:$D501,"Nongrant")</f>
        <v>336432000</v>
      </c>
      <c r="V40">
        <f>SUMIFS('Federal Data'!AG2:AG501,'Federal Data'!$E2:$E501,"Common Defense",'Federal Data'!$D2:$D501,"Nongrant")</f>
        <v>362035000</v>
      </c>
      <c r="W40">
        <f>SUMIFS('Federal Data'!AH2:AH501,'Federal Data'!$E2:$E501,"Common Defense",'Federal Data'!$D2:$D501,"Nongrant")</f>
        <v>369677000</v>
      </c>
      <c r="X40">
        <f>SUMIFS('Federal Data'!AI2:AI501,'Federal Data'!$E2:$E501,"Common Defense",'Federal Data'!$D2:$D501,"Nongrant")</f>
        <v>426928000</v>
      </c>
      <c r="Y40">
        <f>SUMIFS('Federal Data'!AJ2:AJ501,'Federal Data'!$E2:$E501,"Common Defense",'Federal Data'!$D2:$D501,"Nongrant")</f>
        <v>488105000</v>
      </c>
      <c r="Z40">
        <f>SUMIFS('Federal Data'!AK2:AK501,'Federal Data'!$E2:$E501,"Common Defense",'Federal Data'!$D2:$D501,"Nongrant")</f>
        <v>548848000</v>
      </c>
      <c r="AA40">
        <f>SUMIFS('Federal Data'!AL2:AL501,'Federal Data'!$E2:$E501,"Common Defense",'Federal Data'!$D2:$D501,"Nongrant")</f>
        <v>606411000</v>
      </c>
      <c r="AB40">
        <f>SUMIFS('Federal Data'!AM2:AM501,'Federal Data'!$E2:$E501,"Common Defense",'Federal Data'!$D2:$D501,"Nongrant")</f>
        <v>628161000</v>
      </c>
      <c r="AC40">
        <f>SUMIFS('Federal Data'!AN2:AN501,'Federal Data'!$E2:$E501,"Common Defense",'Federal Data'!$D2:$D501,"Nongrant")</f>
        <v>660571000</v>
      </c>
      <c r="AD40">
        <f>SUMIFS('Federal Data'!AO2:AO501,'Federal Data'!$E2:$E501,"Common Defense",'Federal Data'!$D2:$D501,"Nongrant")</f>
        <v>740148000</v>
      </c>
      <c r="AE40">
        <f>SUMIFS('Federal Data'!AP2:AP501,'Federal Data'!$E2:$E501,"Common Defense",'Federal Data'!$D2:$D501,"Nongrant")</f>
        <v>808463000</v>
      </c>
      <c r="AF40">
        <f>SUMIFS('Federal Data'!AQ2:AQ501,'Federal Data'!$E2:$E501,"Common Defense",'Federal Data'!$D2:$D501,"Nongrant")</f>
        <v>860670000</v>
      </c>
      <c r="AG40">
        <f>SUMIFS('Federal Data'!AR2:AR501,'Federal Data'!$E2:$E501,"Common Defense",'Federal Data'!$D2:$D501,"Nongrant")</f>
        <v>892003000</v>
      </c>
      <c r="AH40">
        <f>SUMIFS('Federal Data'!AS2:AS501,'Federal Data'!$E2:$E501,"Common Defense",'Federal Data'!$D2:$D501,"Nongrant")</f>
        <v>863054000</v>
      </c>
      <c r="AI40">
        <f>SUMIFS('Federal Data'!AT2:AT501,'Federal Data'!$E2:$E501,"Common Defense",'Federal Data'!$D2:$D501,"Nongrant")</f>
        <v>831329000</v>
      </c>
      <c r="AJ40">
        <f>SUMIFS('Federal Data'!AU2:AU501,'Federal Data'!$E2:$E501,"Common Defense",'Federal Data'!$D2:$D501,"Nongrant")</f>
        <v>811964000</v>
      </c>
      <c r="AK40">
        <f>SUMIFS('Federal Data'!AV2:AV501,'Federal Data'!$E2:$E501,"Common Defense",'Federal Data'!$D2:$D501,"Nongrant")</f>
        <v>809837000</v>
      </c>
    </row>
    <row r="41" spans="1:37">
      <c r="A41" s="4" t="s">
        <v>23</v>
      </c>
      <c r="B41">
        <f>SUMIFS('Federal Data'!M2:M501,'Federal Data'!$F2:$F501,"National Defense and Support for Veterans",'Federal Data'!$D2:$D501,"Nongrant")</f>
        <v>154981105</v>
      </c>
      <c r="C41">
        <f>SUMIFS('Federal Data'!N2:N501,'Federal Data'!$F2:$F501,"National Defense and Support for Veterans",'Federal Data'!$D2:$D501,"Nongrant")</f>
        <v>180336306</v>
      </c>
      <c r="D41">
        <f>SUMIFS('Federal Data'!O2:O501,'Federal Data'!$F2:$F501,"National Defense and Support for Veterans",'Federal Data'!$D2:$D501,"Nongrant")</f>
        <v>209116335</v>
      </c>
      <c r="E41">
        <f>SUMIFS('Federal Data'!P2:P501,'Federal Data'!$F2:$F501,"National Defense and Support for Veterans",'Federal Data'!$D2:$D501,"Nongrant")</f>
        <v>234574167</v>
      </c>
      <c r="F41">
        <f>SUMIFS('Federal Data'!Q2:Q501,'Federal Data'!$F2:$F501,"National Defense and Support for Veterans",'Federal Data'!$D2:$D501,"Nongrant")</f>
        <v>252824275</v>
      </c>
      <c r="G41">
        <f>SUMIFS('Federal Data'!R2:R501,'Federal Data'!$F2:$F501,"National Defense and Support for Veterans",'Federal Data'!$D2:$D501,"Nongrant")</f>
        <v>278745989</v>
      </c>
      <c r="H41">
        <f>SUMIFS('Federal Data'!S2:S501,'Federal Data'!$F2:$F501,"National Defense and Support for Veterans",'Federal Data'!$D2:$D501,"Nongrant")</f>
        <v>299420554</v>
      </c>
      <c r="I41">
        <f>SUMIFS('Federal Data'!T2:T501,'Federal Data'!$F2:$F501,"National Defense and Support for Veterans",'Federal Data'!$D2:$D501,"Nongrant")</f>
        <v>308436321</v>
      </c>
      <c r="J41">
        <f>SUMIFS('Federal Data'!U2:U501,'Federal Data'!$F2:$F501,"National Defense and Support for Veterans",'Federal Data'!$D2:$D501,"Nongrant")</f>
        <v>319432695</v>
      </c>
      <c r="K41">
        <f>SUMIFS('Federal Data'!V2:V501,'Federal Data'!$F2:$F501,"National Defense and Support for Veterans",'Federal Data'!$D2:$D501,"Nongrant")</f>
        <v>333177369</v>
      </c>
      <c r="L41">
        <f>SUMIFS('Federal Data'!W2:W501,'Federal Data'!$F2:$F501,"National Defense and Support for Veterans",'Federal Data'!$D2:$D501,"Nongrant")</f>
        <v>327979751</v>
      </c>
      <c r="M41">
        <f>SUMIFS('Federal Data'!X2:X501,'Federal Data'!$F2:$F501,"National Defense and Support for Veterans",'Federal Data'!$D2:$D501,"Nongrant")</f>
        <v>304234726</v>
      </c>
      <c r="N41">
        <f>SUMIFS('Federal Data'!Y2:Y501,'Federal Data'!$F2:$F501,"National Defense and Support for Veterans",'Federal Data'!$D2:$D501,"Nongrant")</f>
        <v>331901297</v>
      </c>
      <c r="O41">
        <f>SUMIFS('Federal Data'!Z2:Z501,'Federal Data'!$F2:$F501,"National Defense and Support for Veterans",'Federal Data'!$D2:$D501,"Nongrant")</f>
        <v>326384371</v>
      </c>
      <c r="P41">
        <f>SUMIFS('Federal Data'!AA2:AA501,'Federal Data'!$F2:$F501,"National Defense and Support for Veterans",'Federal Data'!$D2:$D501,"Nongrant")</f>
        <v>318830505</v>
      </c>
      <c r="Q41">
        <f>SUMIFS('Federal Data'!AB2:AB501,'Federal Data'!$F2:$F501,"National Defense and Support for Veterans",'Federal Data'!$D2:$D501,"Nongrant")</f>
        <v>309604000</v>
      </c>
      <c r="R41">
        <f>SUMIFS('Federal Data'!AC2:AC501,'Federal Data'!$F2:$F501,"National Defense and Support for Veterans",'Federal Data'!$D2:$D501,"Nongrant")</f>
        <v>302400000</v>
      </c>
      <c r="S41">
        <f>SUMIFS('Federal Data'!AD2:AD501,'Federal Data'!$F2:$F501,"National Defense and Support for Veterans",'Federal Data'!$D2:$D501,"Nongrant")</f>
        <v>309508000</v>
      </c>
      <c r="T41">
        <f>SUMIFS('Federal Data'!AE2:AE501,'Federal Data'!$F2:$F501,"National Defense and Support for Veterans",'Federal Data'!$D2:$D501,"Nongrant")</f>
        <v>309635000</v>
      </c>
      <c r="U41">
        <f>SUMIFS('Federal Data'!AF2:AF501,'Federal Data'!$F2:$F501,"National Defense and Support for Veterans",'Federal Data'!$D2:$D501,"Nongrant")</f>
        <v>317606000</v>
      </c>
      <c r="V41">
        <f>SUMIFS('Federal Data'!AG2:AG501,'Federal Data'!$F2:$F501,"National Defense and Support for Veterans",'Federal Data'!$D2:$D501,"Nongrant")</f>
        <v>340916000</v>
      </c>
      <c r="W41">
        <f>SUMIFS('Federal Data'!AH2:AH501,'Federal Data'!$F2:$F501,"National Defense and Support for Veterans",'Federal Data'!$D2:$D501,"Nongrant")</f>
        <v>349254000</v>
      </c>
      <c r="X41">
        <f>SUMIFS('Federal Data'!AI2:AI501,'Federal Data'!$F2:$F501,"National Defense and Support for Veterans",'Federal Data'!$D2:$D501,"Nongrant")</f>
        <v>398906000</v>
      </c>
      <c r="Y41">
        <f>SUMIFS('Federal Data'!AJ2:AJ501,'Federal Data'!$F2:$F501,"National Defense and Support for Veterans",'Federal Data'!$D2:$D501,"Nongrant")</f>
        <v>461289000</v>
      </c>
      <c r="Z41">
        <f>SUMIFS('Federal Data'!AK2:AK501,'Federal Data'!$F2:$F501,"National Defense and Support for Veterans",'Federal Data'!$D2:$D501,"Nongrant")</f>
        <v>515066000</v>
      </c>
      <c r="AA41">
        <f>SUMIFS('Federal Data'!AL2:AL501,'Federal Data'!$F2:$F501,"National Defense and Support for Veterans",'Federal Data'!$D2:$D501,"Nongrant")</f>
        <v>564860000</v>
      </c>
      <c r="AB41">
        <f>SUMIFS('Federal Data'!AM2:AM501,'Federal Data'!$F2:$F501,"National Defense and Support for Veterans",'Federal Data'!$D2:$D501,"Nongrant")</f>
        <v>591004000</v>
      </c>
      <c r="AC41">
        <f>SUMIFS('Federal Data'!AN2:AN501,'Federal Data'!$F2:$F501,"National Defense and Support for Veterans",'Federal Data'!$D2:$D501,"Nongrant")</f>
        <v>623437000</v>
      </c>
      <c r="AD41">
        <f>SUMIFS('Federal Data'!AO2:AO501,'Federal Data'!$F2:$F501,"National Defense and Support for Veterans",'Federal Data'!$D2:$D501,"Nongrant")</f>
        <v>700023000</v>
      </c>
      <c r="AE41">
        <f>SUMIFS('Federal Data'!AP2:AP501,'Federal Data'!$F2:$F501,"National Defense and Support for Veterans",'Federal Data'!$D2:$D501,"Nongrant")</f>
        <v>755632000</v>
      </c>
      <c r="AF41">
        <f>SUMIFS('Federal Data'!AQ2:AQ501,'Federal Data'!$F2:$F501,"National Defense and Support for Veterans",'Federal Data'!$D2:$D501,"Nongrant")</f>
        <v>801033000</v>
      </c>
      <c r="AG41">
        <f>SUMIFS('Federal Data'!AR2:AR501,'Federal Data'!$F2:$F501,"National Defense and Support for Veterans",'Federal Data'!$D2:$D501,"Nongrant")</f>
        <v>831747000</v>
      </c>
      <c r="AH41">
        <f>SUMIFS('Federal Data'!AS2:AS501,'Federal Data'!$F2:$F501,"National Defense and Support for Veterans",'Federal Data'!$D2:$D501,"Nongrant")</f>
        <v>801366000</v>
      </c>
      <c r="AI41">
        <f>SUMIFS('Federal Data'!AT2:AT501,'Federal Data'!$F2:$F501,"National Defense and Support for Veterans",'Federal Data'!$D2:$D501,"Nongrant")</f>
        <v>771297000</v>
      </c>
      <c r="AJ41">
        <f>SUMIFS('Federal Data'!AU2:AU501,'Federal Data'!$F2:$F501,"National Defense and Support for Veterans",'Federal Data'!$D2:$D501,"Nongrant")</f>
        <v>751850000</v>
      </c>
      <c r="AK41">
        <f>SUMIFS('Federal Data'!AV2:AV501,'Federal Data'!$F2:$F501,"National Defense and Support for Veterans",'Federal Data'!$D2:$D501,"Nongrant")</f>
        <v>747481000</v>
      </c>
    </row>
    <row r="42" spans="1:37">
      <c r="A42" s="5" t="s">
        <v>24</v>
      </c>
      <c r="B42">
        <f>SUMIFS('Federal Data'!M2:M501,'Federal Data'!$G2:$G501,"National Defense",'Federal Data'!$D2:$D501,"Nongrant")</f>
        <v>133902806</v>
      </c>
      <c r="C42">
        <f>SUMIFS('Federal Data'!N2:N501,'Federal Data'!$G2:$G501,"National Defense",'Federal Data'!$D2:$D501,"Nongrant")</f>
        <v>157437840</v>
      </c>
      <c r="D42">
        <f>SUMIFS('Federal Data'!O2:O501,'Federal Data'!$G2:$G501,"National Defense",'Federal Data'!$D2:$D501,"Nongrant")</f>
        <v>185240799</v>
      </c>
      <c r="E42">
        <f>SUMIFS('Federal Data'!P2:P501,'Federal Data'!$G2:$G501,"National Defense",'Federal Data'!$D2:$D501,"Nongrant")</f>
        <v>209816568</v>
      </c>
      <c r="F42">
        <f>SUMIFS('Federal Data'!Q2:Q501,'Federal Data'!$G2:$G501,"National Defense",'Federal Data'!$D2:$D501,"Nongrant")</f>
        <v>227315228</v>
      </c>
      <c r="G42">
        <f>SUMIFS('Federal Data'!R2:R501,'Federal Data'!$G2:$G501,"National Defense",'Federal Data'!$D2:$D501,"Nongrant")</f>
        <v>252586131</v>
      </c>
      <c r="H42">
        <f>SUMIFS('Federal Data'!S2:S501,'Federal Data'!$G2:$G501,"National Defense",'Federal Data'!$D2:$D501,"Nongrant")</f>
        <v>273196405</v>
      </c>
      <c r="I42">
        <f>SUMIFS('Federal Data'!T2:T501,'Federal Data'!$G2:$G501,"National Defense",'Federal Data'!$D2:$D501,"Nongrant")</f>
        <v>281802417</v>
      </c>
      <c r="J42">
        <f>SUMIFS('Federal Data'!U2:U501,'Federal Data'!$G2:$G501,"National Defense",'Federal Data'!$D2:$D501,"Nongrant")</f>
        <v>290172075</v>
      </c>
      <c r="K42">
        <f>SUMIFS('Federal Data'!V2:V501,'Federal Data'!$G2:$G501,"National Defense",'Federal Data'!$D2:$D501,"Nongrant")</f>
        <v>303301507</v>
      </c>
      <c r="L42">
        <f>SUMIFS('Federal Data'!W2:W501,'Federal Data'!$G2:$G501,"National Defense",'Federal Data'!$D2:$D501,"Nongrant")</f>
        <v>299079753</v>
      </c>
      <c r="M42">
        <f>SUMIFS('Federal Data'!X2:X501,'Federal Data'!$G2:$G501,"National Defense",'Federal Data'!$D2:$D501,"Nongrant")</f>
        <v>273100629</v>
      </c>
      <c r="N42">
        <f>SUMIFS('Federal Data'!Y2:Y501,'Federal Data'!$G2:$G501,"National Defense",'Federal Data'!$D2:$D501,"Nongrant")</f>
        <v>298027802</v>
      </c>
      <c r="O42">
        <f>SUMIFS('Federal Data'!Z2:Z501,'Federal Data'!$G2:$G501,"National Defense",'Federal Data'!$D2:$D501,"Nongrant")</f>
        <v>290932181</v>
      </c>
      <c r="P42">
        <f>SUMIFS('Federal Data'!AA2:AA501,'Federal Data'!$G2:$G501,"National Defense",'Federal Data'!$D2:$D501,"Nongrant")</f>
        <v>281470450</v>
      </c>
      <c r="Q42">
        <f>SUMIFS('Federal Data'!AB2:AB501,'Federal Data'!$G2:$G501,"National Defense",'Federal Data'!$D2:$D501,"Nongrant")</f>
        <v>271995000</v>
      </c>
      <c r="R42">
        <f>SUMIFS('Federal Data'!AC2:AC501,'Federal Data'!$G2:$G501,"National Defense",'Federal Data'!$D2:$D501,"Nongrant")</f>
        <v>265710000</v>
      </c>
      <c r="S42">
        <f>SUMIFS('Federal Data'!AD2:AD501,'Federal Data'!$G2:$G501,"National Defense",'Federal Data'!$D2:$D501,"Nongrant")</f>
        <v>270502000</v>
      </c>
      <c r="T42">
        <f>SUMIFS('Federal Data'!AE2:AE501,'Federal Data'!$G2:$G501,"National Defense",'Federal Data'!$D2:$D501,"Nongrant")</f>
        <v>268182000</v>
      </c>
      <c r="U42">
        <f>SUMIFS('Federal Data'!AF2:AF501,'Federal Data'!$G2:$G501,"National Defense",'Federal Data'!$D2:$D501,"Nongrant")</f>
        <v>274768000</v>
      </c>
      <c r="V42">
        <f>SUMIFS('Federal Data'!AG2:AG501,'Federal Data'!$G2:$G501,"National Defense",'Federal Data'!$D2:$D501,"Nongrant")</f>
        <v>294361000</v>
      </c>
      <c r="W42">
        <f>SUMIFS('Federal Data'!AH2:AH501,'Federal Data'!$G2:$G501,"National Defense",'Federal Data'!$D2:$D501,"Nongrant")</f>
        <v>304685000</v>
      </c>
      <c r="X42">
        <f>SUMIFS('Federal Data'!AI2:AI501,'Federal Data'!$G2:$G501,"National Defense",'Federal Data'!$D2:$D501,"Nongrant")</f>
        <v>348365000</v>
      </c>
      <c r="Y42">
        <f>SUMIFS('Federal Data'!AJ2:AJ501,'Federal Data'!$G2:$G501,"National Defense",'Federal Data'!$D2:$D501,"Nongrant")</f>
        <v>404733000</v>
      </c>
      <c r="Z42">
        <f>SUMIFS('Federal Data'!AK2:AK501,'Federal Data'!$G2:$G501,"National Defense",'Federal Data'!$D2:$D501,"Nongrant")</f>
        <v>455813000</v>
      </c>
      <c r="AA42">
        <f>SUMIFS('Federal Data'!AL2:AL501,'Federal Data'!$G2:$G501,"National Defense",'Federal Data'!$D2:$D501,"Nongrant")</f>
        <v>495292000</v>
      </c>
      <c r="AB42">
        <f>SUMIFS('Federal Data'!AM2:AM501,'Federal Data'!$G2:$G501,"National Defense",'Federal Data'!$D2:$D501,"Nongrant")</f>
        <v>521818000</v>
      </c>
      <c r="AC42">
        <f>SUMIFS('Federal Data'!AN2:AN501,'Federal Data'!$G2:$G501,"National Defense",'Federal Data'!$D2:$D501,"Nongrant")</f>
        <v>551258000</v>
      </c>
      <c r="AD42">
        <f>SUMIFS('Federal Data'!AO2:AO501,'Federal Data'!$G2:$G501,"National Defense",'Federal Data'!$D2:$D501,"Nongrant")</f>
        <v>616065000</v>
      </c>
      <c r="AE42">
        <f>SUMIFS('Federal Data'!AP2:AP501,'Federal Data'!$G2:$G501,"National Defense",'Federal Data'!$D2:$D501,"Nongrant")</f>
        <v>661012000</v>
      </c>
      <c r="AF42">
        <f>SUMIFS('Federal Data'!AQ2:AQ501,'Federal Data'!$G2:$G501,"National Defense",'Federal Data'!$D2:$D501,"Nongrant")</f>
        <v>693485000</v>
      </c>
      <c r="AG42">
        <f>SUMIFS('Federal Data'!AR2:AR501,'Federal Data'!$G2:$G501,"National Defense",'Federal Data'!$D2:$D501,"Nongrant")</f>
        <v>705554000</v>
      </c>
      <c r="AH42">
        <f>SUMIFS('Federal Data'!AS2:AS501,'Federal Data'!$G2:$G501,"National Defense",'Federal Data'!$D2:$D501,"Nongrant")</f>
        <v>677852000</v>
      </c>
      <c r="AI42">
        <f>SUMIFS('Federal Data'!AT2:AT501,'Federal Data'!$G2:$G501,"National Defense",'Federal Data'!$D2:$D501,"Nongrant")</f>
        <v>633446000</v>
      </c>
      <c r="AJ42">
        <f>SUMIFS('Federal Data'!AU2:AU501,'Federal Data'!$G2:$G501,"National Defense",'Federal Data'!$D2:$D501,"Nongrant")</f>
        <v>603457000</v>
      </c>
      <c r="AK42">
        <f>SUMIFS('Federal Data'!AV2:AV501,'Federal Data'!$G2:$G501,"National Defense",'Federal Data'!$D2:$D501,"Nongrant")</f>
        <v>589564000</v>
      </c>
    </row>
    <row r="43" spans="1:37">
      <c r="A43" s="5" t="s">
        <v>25</v>
      </c>
      <c r="B43">
        <f>SUMIFS('Federal Data'!M2:M501,'Federal Data'!$G2:$G501,"Support for Veterans",'Federal Data'!$D2:$D501,"Nongrant")</f>
        <v>21078299</v>
      </c>
      <c r="C43">
        <f>SUMIFS('Federal Data'!N2:N501,'Federal Data'!$G2:$G501,"Support for Veterans",'Federal Data'!$D2:$D501,"Nongrant")</f>
        <v>22898466</v>
      </c>
      <c r="D43">
        <f>SUMIFS('Federal Data'!O2:O501,'Federal Data'!$G2:$G501,"Support for Veterans",'Federal Data'!$D2:$D501,"Nongrant")</f>
        <v>23875536</v>
      </c>
      <c r="E43">
        <f>SUMIFS('Federal Data'!P2:P501,'Federal Data'!$G2:$G501,"Support for Veterans",'Federal Data'!$D2:$D501,"Nongrant")</f>
        <v>24757599</v>
      </c>
      <c r="F43">
        <f>SUMIFS('Federal Data'!Q2:Q501,'Federal Data'!$G2:$G501,"Support for Veterans",'Federal Data'!$D2:$D501,"Nongrant")</f>
        <v>25509047</v>
      </c>
      <c r="G43">
        <f>SUMIFS('Federal Data'!R2:R501,'Federal Data'!$G2:$G501,"Support for Veterans",'Federal Data'!$D2:$D501,"Nongrant")</f>
        <v>26159858</v>
      </c>
      <c r="H43">
        <f>SUMIFS('Federal Data'!S2:S501,'Federal Data'!$G2:$G501,"Support for Veterans",'Federal Data'!$D2:$D501,"Nongrant")</f>
        <v>26224149</v>
      </c>
      <c r="I43">
        <f>SUMIFS('Federal Data'!T2:T501,'Federal Data'!$G2:$G501,"Support for Veterans",'Federal Data'!$D2:$D501,"Nongrant")</f>
        <v>26633904</v>
      </c>
      <c r="J43">
        <f>SUMIFS('Federal Data'!U2:U501,'Federal Data'!$G2:$G501,"Support for Veterans",'Federal Data'!$D2:$D501,"Nongrant")</f>
        <v>29260620</v>
      </c>
      <c r="K43">
        <f>SUMIFS('Federal Data'!V2:V501,'Federal Data'!$G2:$G501,"Support for Veterans",'Federal Data'!$D2:$D501,"Nongrant")</f>
        <v>29875862</v>
      </c>
      <c r="L43">
        <f>SUMIFS('Federal Data'!W2:W501,'Federal Data'!$G2:$G501,"Support for Veterans",'Federal Data'!$D2:$D501,"Nongrant")</f>
        <v>28899998</v>
      </c>
      <c r="M43">
        <f>SUMIFS('Federal Data'!X2:X501,'Federal Data'!$G2:$G501,"Support for Veterans",'Federal Data'!$D2:$D501,"Nongrant")</f>
        <v>31134097</v>
      </c>
      <c r="N43">
        <f>SUMIFS('Federal Data'!Y2:Y501,'Federal Data'!$G2:$G501,"Support for Veterans",'Federal Data'!$D2:$D501,"Nongrant")</f>
        <v>33873495</v>
      </c>
      <c r="O43">
        <f>SUMIFS('Federal Data'!Z2:Z501,'Federal Data'!$G2:$G501,"Support for Veterans",'Federal Data'!$D2:$D501,"Nongrant")</f>
        <v>35452190</v>
      </c>
      <c r="P43">
        <f>SUMIFS('Federal Data'!AA2:AA501,'Federal Data'!$G2:$G501,"Support for Veterans",'Federal Data'!$D2:$D501,"Nongrant")</f>
        <v>37360055</v>
      </c>
      <c r="Q43">
        <f>SUMIFS('Federal Data'!AB2:AB501,'Federal Data'!$G2:$G501,"Support for Veterans",'Federal Data'!$D2:$D501,"Nongrant")</f>
        <v>37609000</v>
      </c>
      <c r="R43">
        <f>SUMIFS('Federal Data'!AC2:AC501,'Federal Data'!$G2:$G501,"Support for Veterans",'Federal Data'!$D2:$D501,"Nongrant")</f>
        <v>36690000</v>
      </c>
      <c r="S43">
        <f>SUMIFS('Federal Data'!AD2:AD501,'Federal Data'!$G2:$G501,"Support for Veterans",'Federal Data'!$D2:$D501,"Nongrant")</f>
        <v>39006000</v>
      </c>
      <c r="T43">
        <f>SUMIFS('Federal Data'!AE2:AE501,'Federal Data'!$G2:$G501,"Support for Veterans",'Federal Data'!$D2:$D501,"Nongrant")</f>
        <v>41453000</v>
      </c>
      <c r="U43">
        <f>SUMIFS('Federal Data'!AF2:AF501,'Federal Data'!$G2:$G501,"Support for Veterans",'Federal Data'!$D2:$D501,"Nongrant")</f>
        <v>42838000</v>
      </c>
      <c r="V43">
        <f>SUMIFS('Federal Data'!AG2:AG501,'Federal Data'!$G2:$G501,"Support for Veterans",'Federal Data'!$D2:$D501,"Nongrant")</f>
        <v>46555000</v>
      </c>
      <c r="W43">
        <f>SUMIFS('Federal Data'!AH2:AH501,'Federal Data'!$G2:$G501,"Support for Veterans",'Federal Data'!$D2:$D501,"Nongrant")</f>
        <v>44569000</v>
      </c>
      <c r="X43">
        <f>SUMIFS('Federal Data'!AI2:AI501,'Federal Data'!$G2:$G501,"Support for Veterans",'Federal Data'!$D2:$D501,"Nongrant")</f>
        <v>50541000</v>
      </c>
      <c r="Y43">
        <f>SUMIFS('Federal Data'!AJ2:AJ501,'Federal Data'!$G2:$G501,"Support for Veterans",'Federal Data'!$D2:$D501,"Nongrant")</f>
        <v>56556000</v>
      </c>
      <c r="Z43">
        <f>SUMIFS('Federal Data'!AK2:AK501,'Federal Data'!$G2:$G501,"Support for Veterans",'Federal Data'!$D2:$D501,"Nongrant")</f>
        <v>59253000</v>
      </c>
      <c r="AA43">
        <f>SUMIFS('Federal Data'!AL2:AL501,'Federal Data'!$G2:$G501,"Support for Veterans",'Federal Data'!$D2:$D501,"Nongrant")</f>
        <v>69568000</v>
      </c>
      <c r="AB43">
        <f>SUMIFS('Federal Data'!AM2:AM501,'Federal Data'!$G2:$G501,"Support for Veterans",'Federal Data'!$D2:$D501,"Nongrant")</f>
        <v>69186000</v>
      </c>
      <c r="AC43">
        <f>SUMIFS('Federal Data'!AN2:AN501,'Federal Data'!$G2:$G501,"Support for Veterans",'Federal Data'!$D2:$D501,"Nongrant")</f>
        <v>72179000</v>
      </c>
      <c r="AD43">
        <f>SUMIFS('Federal Data'!AO2:AO501,'Federal Data'!$G2:$G501,"Support for Veterans",'Federal Data'!$D2:$D501,"Nongrant")</f>
        <v>83958000</v>
      </c>
      <c r="AE43">
        <f>SUMIFS('Federal Data'!AP2:AP501,'Federal Data'!$G2:$G501,"Support for Veterans",'Federal Data'!$D2:$D501,"Nongrant")</f>
        <v>94620000</v>
      </c>
      <c r="AF43">
        <f>SUMIFS('Federal Data'!AQ2:AQ501,'Federal Data'!$G2:$G501,"Support for Veterans",'Federal Data'!$D2:$D501,"Nongrant")</f>
        <v>107548000</v>
      </c>
      <c r="AG43">
        <f>SUMIFS('Federal Data'!AR2:AR501,'Federal Data'!$G2:$G501,"Support for Veterans",'Federal Data'!$D2:$D501,"Nongrant")</f>
        <v>126193000</v>
      </c>
      <c r="AH43">
        <f>SUMIFS('Federal Data'!AS2:AS501,'Federal Data'!$G2:$G501,"Support for Veterans",'Federal Data'!$D2:$D501,"Nongrant")</f>
        <v>123514000</v>
      </c>
      <c r="AI43">
        <f>SUMIFS('Federal Data'!AT2:AT501,'Federal Data'!$G2:$G501,"Support for Veterans",'Federal Data'!$D2:$D501,"Nongrant")</f>
        <v>137851000</v>
      </c>
      <c r="AJ43">
        <f>SUMIFS('Federal Data'!AU2:AU501,'Federal Data'!$G2:$G501,"Support for Veterans",'Federal Data'!$D2:$D501,"Nongrant")</f>
        <v>148393000</v>
      </c>
      <c r="AK43">
        <f>SUMIFS('Federal Data'!AV2:AV501,'Federal Data'!$G2:$G501,"Support for Veterans",'Federal Data'!$D2:$D501,"Nongrant")</f>
        <v>157917000</v>
      </c>
    </row>
    <row r="44" spans="1:37">
      <c r="A44" s="6" t="s">
        <v>86</v>
      </c>
      <c r="B44">
        <f>SUMIFS('Federal Data'!M2:M501,'Federal Data'!$H2:$H501,"Veterans Pension &amp; Disability Benefits",'Federal Data'!$D2:$D501,"Nongrant")</f>
        <v>11700182</v>
      </c>
      <c r="C44">
        <f>SUMIFS('Federal Data'!N2:N501,'Federal Data'!$H2:$H501,"Veterans Pension &amp; Disability Benefits",'Federal Data'!$D2:$D501,"Nongrant")</f>
        <v>12921119</v>
      </c>
      <c r="D44">
        <f>SUMIFS('Federal Data'!O2:O501,'Federal Data'!$H2:$H501,"Veterans Pension &amp; Disability Benefits",'Federal Data'!$D2:$D501,"Nongrant")</f>
        <v>13722931</v>
      </c>
      <c r="E44">
        <f>SUMIFS('Federal Data'!P2:P501,'Federal Data'!$H2:$H501,"Veterans Pension &amp; Disability Benefits",'Federal Data'!$D2:$D501,"Nongrant")</f>
        <v>14263302</v>
      </c>
      <c r="F44">
        <f>SUMIFS('Federal Data'!Q2:Q501,'Federal Data'!$H2:$H501,"Veterans Pension &amp; Disability Benefits",'Federal Data'!$D2:$D501,"Nongrant")</f>
        <v>14412051</v>
      </c>
      <c r="G44">
        <f>SUMIFS('Federal Data'!R2:R501,'Federal Data'!$H2:$H501,"Veterans Pension &amp; Disability Benefits",'Federal Data'!$D2:$D501,"Nongrant")</f>
        <v>14728405</v>
      </c>
      <c r="H44">
        <f>SUMIFS('Federal Data'!S2:S501,'Federal Data'!$H2:$H501,"Veterans Pension &amp; Disability Benefits",'Federal Data'!$D2:$D501,"Nongrant")</f>
        <v>15047209</v>
      </c>
      <c r="I44">
        <f>SUMIFS('Federal Data'!T2:T501,'Federal Data'!$H2:$H501,"Veterans Pension &amp; Disability Benefits",'Federal Data'!$D2:$D501,"Nongrant")</f>
        <v>14978316</v>
      </c>
      <c r="J44">
        <f>SUMIFS('Federal Data'!U2:U501,'Federal Data'!$H2:$H501,"Veterans Pension &amp; Disability Benefits",'Federal Data'!$D2:$D501,"Nongrant")</f>
        <v>15979720</v>
      </c>
      <c r="K44">
        <f>SUMIFS('Federal Data'!V2:V501,'Federal Data'!$H2:$H501,"Veterans Pension &amp; Disability Benefits",'Federal Data'!$D2:$D501,"Nongrant")</f>
        <v>16561994</v>
      </c>
      <c r="L44">
        <f>SUMIFS('Federal Data'!W2:W501,'Federal Data'!$H2:$H501,"Veterans Pension &amp; Disability Benefits",'Federal Data'!$D2:$D501,"Nongrant")</f>
        <v>15260684</v>
      </c>
      <c r="M44">
        <f>SUMIFS('Federal Data'!X2:X501,'Federal Data'!$H2:$H501,"Veterans Pension &amp; Disability Benefits",'Federal Data'!$D2:$D501,"Nongrant")</f>
        <v>16980707</v>
      </c>
      <c r="N44">
        <f>SUMIFS('Federal Data'!Y2:Y501,'Federal Data'!$H2:$H501,"Veterans Pension &amp; Disability Benefits",'Federal Data'!$D2:$D501,"Nongrant")</f>
        <v>17317559</v>
      </c>
      <c r="O44">
        <f>SUMIFS('Federal Data'!Z2:Z501,'Federal Data'!$H2:$H501,"Veterans Pension &amp; Disability Benefits",'Federal Data'!$D2:$D501,"Nongrant")</f>
        <v>17780614</v>
      </c>
      <c r="P44">
        <f>SUMIFS('Federal Data'!AA2:AA501,'Federal Data'!$H2:$H501,"Veterans Pension &amp; Disability Benefits",'Federal Data'!$D2:$D501,"Nongrant")</f>
        <v>19638210</v>
      </c>
      <c r="Q44">
        <f>SUMIFS('Federal Data'!AB2:AB501,'Federal Data'!$H2:$H501,"Veterans Pension &amp; Disability Benefits",'Federal Data'!$D2:$D501,"Nongrant")</f>
        <v>18993000</v>
      </c>
      <c r="R44">
        <f>SUMIFS('Federal Data'!AC2:AC501,'Federal Data'!$H2:$H501,"Veterans Pension &amp; Disability Benefits",'Federal Data'!$D2:$D501,"Nongrant")</f>
        <v>18228000</v>
      </c>
      <c r="S44">
        <f>SUMIFS('Federal Data'!AD2:AD501,'Federal Data'!$H2:$H501,"Veterans Pension &amp; Disability Benefits",'Federal Data'!$D2:$D501,"Nongrant")</f>
        <v>20435000</v>
      </c>
      <c r="T44">
        <f>SUMIFS('Federal Data'!AE2:AE501,'Federal Data'!$H2:$H501,"Veterans Pension &amp; Disability Benefits",'Federal Data'!$D2:$D501,"Nongrant")</f>
        <v>21350000</v>
      </c>
      <c r="U44">
        <f>SUMIFS('Federal Data'!AF2:AF501,'Federal Data'!$H2:$H501,"Veterans Pension &amp; Disability Benefits",'Federal Data'!$D2:$D501,"Nongrant")</f>
        <v>22184000</v>
      </c>
      <c r="V44">
        <f>SUMIFS('Federal Data'!AG2:AG501,'Federal Data'!$H2:$H501,"Veterans Pension &amp; Disability Benefits",'Federal Data'!$D2:$D501,"Nongrant")</f>
        <v>24907000</v>
      </c>
      <c r="W44">
        <f>SUMIFS('Federal Data'!AH2:AH501,'Federal Data'!$H2:$H501,"Veterans Pension &amp; Disability Benefits",'Federal Data'!$D2:$D501,"Nongrant")</f>
        <v>22498000</v>
      </c>
      <c r="X44">
        <f>SUMIFS('Federal Data'!AI2:AI501,'Federal Data'!$H2:$H501,"Veterans Pension &amp; Disability Benefits",'Federal Data'!$D2:$D501,"Nongrant")</f>
        <v>26720000</v>
      </c>
      <c r="Y44">
        <f>SUMIFS('Federal Data'!AJ2:AJ501,'Federal Data'!$H2:$H501,"Veterans Pension &amp; Disability Benefits",'Federal Data'!$D2:$D501,"Nongrant")</f>
        <v>29091000</v>
      </c>
      <c r="Z44">
        <f>SUMIFS('Federal Data'!AK2:AK501,'Federal Data'!$H2:$H501,"Veterans Pension &amp; Disability Benefits",'Federal Data'!$D2:$D501,"Nongrant")</f>
        <v>30849000</v>
      </c>
      <c r="AA44">
        <f>SUMIFS('Federal Data'!AL2:AL501,'Federal Data'!$H2:$H501,"Veterans Pension &amp; Disability Benefits",'Federal Data'!$D2:$D501,"Nongrant")</f>
        <v>35767000</v>
      </c>
      <c r="AB44">
        <f>SUMIFS('Federal Data'!AM2:AM501,'Federal Data'!$H2:$H501,"Veterans Pension &amp; Disability Benefits",'Federal Data'!$D2:$D501,"Nongrant")</f>
        <v>35771000</v>
      </c>
      <c r="AC44">
        <f>SUMIFS('Federal Data'!AN2:AN501,'Federal Data'!$H2:$H501,"Veterans Pension &amp; Disability Benefits",'Federal Data'!$D2:$D501,"Nongrant")</f>
        <v>35684000</v>
      </c>
      <c r="AD44">
        <f>SUMIFS('Federal Data'!AO2:AO501,'Federal Data'!$H2:$H501,"Veterans Pension &amp; Disability Benefits",'Federal Data'!$D2:$D501,"Nongrant")</f>
        <v>41338000</v>
      </c>
      <c r="AE44">
        <f>SUMIFS('Federal Data'!AP2:AP501,'Federal Data'!$H2:$H501,"Veterans Pension &amp; Disability Benefits",'Federal Data'!$D2:$D501,"Nongrant")</f>
        <v>45952000</v>
      </c>
      <c r="AF44">
        <f>SUMIFS('Federal Data'!AQ2:AQ501,'Federal Data'!$H2:$H501,"Veterans Pension &amp; Disability Benefits",'Federal Data'!$D2:$D501,"Nongrant")</f>
        <v>49163000</v>
      </c>
      <c r="AG44">
        <f>SUMIFS('Federal Data'!AR2:AR501,'Federal Data'!$H2:$H501,"Veterans Pension &amp; Disability Benefits",'Federal Data'!$D2:$D501,"Nongrant")</f>
        <v>58747000</v>
      </c>
      <c r="AH44">
        <f>SUMIFS('Federal Data'!AS2:AS501,'Federal Data'!$H2:$H501,"Veterans Pension &amp; Disability Benefits",'Federal Data'!$D2:$D501,"Nongrant")</f>
        <v>55899000</v>
      </c>
      <c r="AI44">
        <f>SUMIFS('Federal Data'!AT2:AT501,'Federal Data'!$H2:$H501,"Veterans Pension &amp; Disability Benefits",'Federal Data'!$D2:$D501,"Nongrant")</f>
        <v>65890000</v>
      </c>
      <c r="AJ44">
        <f>SUMIFS('Federal Data'!AU2:AU501,'Federal Data'!$H2:$H501,"Veterans Pension &amp; Disability Benefits",'Federal Data'!$D2:$D501,"Nongrant")</f>
        <v>70906000</v>
      </c>
      <c r="AK44">
        <f>SUMIFS('Federal Data'!AV2:AV501,'Federal Data'!$H2:$H501,"Veterans Pension &amp; Disability Benefits",'Federal Data'!$D2:$D501,"Nongrant")</f>
        <v>76360000</v>
      </c>
    </row>
    <row r="45" spans="1:37">
      <c r="A45" s="6" t="s">
        <v>83</v>
      </c>
      <c r="B45">
        <f>SUMIFS('Federal Data'!M2:M501,'Federal Data'!$H2:$H501,"Veterans Medical Care",'Federal Data'!$D2:$D501,"Nongrant")</f>
        <v>6423098</v>
      </c>
      <c r="C45">
        <f>SUMIFS('Federal Data'!N2:N501,'Federal Data'!$H2:$H501,"Veterans Medical Care",'Federal Data'!$D2:$D501,"Nongrant")</f>
        <v>6890772</v>
      </c>
      <c r="D45">
        <f>SUMIFS('Federal Data'!O2:O501,'Federal Data'!$H2:$H501,"Veterans Medical Care",'Federal Data'!$D2:$D501,"Nongrant")</f>
        <v>7454720</v>
      </c>
      <c r="E45">
        <f>SUMIFS('Federal Data'!P2:P501,'Federal Data'!$H2:$H501,"Veterans Medical Care",'Federal Data'!$D2:$D501,"Nongrant")</f>
        <v>8207541</v>
      </c>
      <c r="F45">
        <f>SUMIFS('Federal Data'!Q2:Q501,'Federal Data'!$H2:$H501,"Veterans Medical Care",'Federal Data'!$D2:$D501,"Nongrant")</f>
        <v>8795347</v>
      </c>
      <c r="G45">
        <f>SUMIFS('Federal Data'!R2:R501,'Federal Data'!$H2:$H501,"Veterans Medical Care",'Federal Data'!$D2:$D501,"Nongrant")</f>
        <v>9455720</v>
      </c>
      <c r="H45">
        <f>SUMIFS('Federal Data'!S2:S501,'Federal Data'!$H2:$H501,"Veterans Medical Care",'Federal Data'!$D2:$D501,"Nongrant")</f>
        <v>9784349</v>
      </c>
      <c r="I45">
        <f>SUMIFS('Federal Data'!T2:T501,'Federal Data'!$H2:$H501,"Veterans Medical Care",'Federal Data'!$D2:$D501,"Nongrant")</f>
        <v>10171825</v>
      </c>
      <c r="J45">
        <f>SUMIFS('Federal Data'!U2:U501,'Federal Data'!$H2:$H501,"Veterans Medical Care",'Federal Data'!$D2:$D501,"Nongrant")</f>
        <v>10735386</v>
      </c>
      <c r="K45">
        <f>SUMIFS('Federal Data'!V2:V501,'Federal Data'!$H2:$H501,"Veterans Medical Care",'Federal Data'!$D2:$D501,"Nongrant")</f>
        <v>11217949</v>
      </c>
      <c r="L45">
        <f>SUMIFS('Federal Data'!W2:W501,'Federal Data'!$H2:$H501,"Veterans Medical Care",'Federal Data'!$D2:$D501,"Nongrant")</f>
        <v>12002648</v>
      </c>
      <c r="M45">
        <f>SUMIFS('Federal Data'!X2:X501,'Federal Data'!$H2:$H501,"Veterans Medical Care",'Federal Data'!$D2:$D501,"Nongrant")</f>
        <v>12750674</v>
      </c>
      <c r="N45">
        <f>SUMIFS('Federal Data'!Y2:Y501,'Federal Data'!$H2:$H501,"Veterans Medical Care",'Federal Data'!$D2:$D501,"Nongrant")</f>
        <v>13936184</v>
      </c>
      <c r="O45">
        <f>SUMIFS('Federal Data'!Z2:Z501,'Federal Data'!$H2:$H501,"Veterans Medical Care",'Federal Data'!$D2:$D501,"Nongrant")</f>
        <v>14626950</v>
      </c>
      <c r="P45">
        <f>SUMIFS('Federal Data'!AA2:AA501,'Federal Data'!$H2:$H501,"Veterans Medical Care",'Federal Data'!$D2:$D501,"Nongrant")</f>
        <v>15479397</v>
      </c>
      <c r="Q45">
        <f>SUMIFS('Federal Data'!AB2:AB501,'Federal Data'!$H2:$H501,"Veterans Medical Care",'Federal Data'!$D2:$D501,"Nongrant")</f>
        <v>16178000</v>
      </c>
      <c r="R45">
        <f>SUMIFS('Federal Data'!AC2:AC501,'Federal Data'!$H2:$H501,"Veterans Medical Care",'Federal Data'!$D2:$D501,"Nongrant")</f>
        <v>16322000</v>
      </c>
      <c r="S45">
        <f>SUMIFS('Federal Data'!AD2:AD501,'Federal Data'!$H2:$H501,"Veterans Medical Care",'Federal Data'!$D2:$D501,"Nongrant")</f>
        <v>16822000</v>
      </c>
      <c r="T45">
        <f>SUMIFS('Federal Data'!AE2:AE501,'Federal Data'!$H2:$H501,"Veterans Medical Care",'Federal Data'!$D2:$D501,"Nongrant")</f>
        <v>17260000</v>
      </c>
      <c r="U45">
        <f>SUMIFS('Federal Data'!AF2:AF501,'Federal Data'!$H2:$H501,"Veterans Medical Care",'Federal Data'!$D2:$D501,"Nongrant")</f>
        <v>17855000</v>
      </c>
      <c r="V45">
        <f>SUMIFS('Federal Data'!AG2:AG501,'Federal Data'!$H2:$H501,"Veterans Medical Care",'Federal Data'!$D2:$D501,"Nongrant")</f>
        <v>19094000</v>
      </c>
      <c r="W45">
        <f>SUMIFS('Federal Data'!AH2:AH501,'Federal Data'!$H2:$H501,"Veterans Medical Care",'Federal Data'!$D2:$D501,"Nongrant")</f>
        <v>20571000</v>
      </c>
      <c r="X45">
        <f>SUMIFS('Federal Data'!AI2:AI501,'Federal Data'!$H2:$H501,"Veterans Medical Care",'Federal Data'!$D2:$D501,"Nongrant")</f>
        <v>21930000</v>
      </c>
      <c r="Y45">
        <f>SUMIFS('Federal Data'!AJ2:AJ501,'Federal Data'!$H2:$H501,"Veterans Medical Care",'Federal Data'!$D2:$D501,"Nongrant")</f>
        <v>23679000</v>
      </c>
      <c r="Z45">
        <f>SUMIFS('Federal Data'!AK2:AK501,'Federal Data'!$H2:$H501,"Veterans Medical Care",'Federal Data'!$D2:$D501,"Nongrant")</f>
        <v>26405000</v>
      </c>
      <c r="AA45">
        <f>SUMIFS('Federal Data'!AL2:AL501,'Federal Data'!$H2:$H501,"Veterans Medical Care",'Federal Data'!$D2:$D501,"Nongrant")</f>
        <v>28223000</v>
      </c>
      <c r="AB45">
        <f>SUMIFS('Federal Data'!AM2:AM501,'Federal Data'!$H2:$H501,"Veterans Medical Care",'Federal Data'!$D2:$D501,"Nongrant")</f>
        <v>29300000</v>
      </c>
      <c r="AC45">
        <f>SUMIFS('Federal Data'!AN2:AN501,'Federal Data'!$H2:$H501,"Veterans Medical Care",'Federal Data'!$D2:$D501,"Nongrant")</f>
        <v>31681000</v>
      </c>
      <c r="AD45">
        <f>SUMIFS('Federal Data'!AO2:AO501,'Federal Data'!$H2:$H501,"Veterans Medical Care",'Federal Data'!$D2:$D501,"Nongrant")</f>
        <v>36310000</v>
      </c>
      <c r="AE45">
        <f>SUMIFS('Federal Data'!AP2:AP501,'Federal Data'!$H2:$H501,"Veterans Medical Care",'Federal Data'!$D2:$D501,"Nongrant")</f>
        <v>41103000</v>
      </c>
      <c r="AF45">
        <f>SUMIFS('Federal Data'!AQ2:AQ501,'Federal Data'!$H2:$H501,"Veterans Medical Care",'Federal Data'!$D2:$D501,"Nongrant")</f>
        <v>44914000</v>
      </c>
      <c r="AG45">
        <f>SUMIFS('Federal Data'!AR2:AR501,'Federal Data'!$H2:$H501,"Veterans Medical Care",'Federal Data'!$D2:$D501,"Nongrant")</f>
        <v>49116000</v>
      </c>
      <c r="AH45">
        <f>SUMIFS('Federal Data'!AS2:AS501,'Federal Data'!$H2:$H501,"Veterans Medical Care",'Federal Data'!$D2:$D501,"Nongrant")</f>
        <v>49535000</v>
      </c>
      <c r="AI45">
        <f>SUMIFS('Federal Data'!AT2:AT501,'Federal Data'!$H2:$H501,"Veterans Medical Care",'Federal Data'!$D2:$D501,"Nongrant")</f>
        <v>51512000</v>
      </c>
      <c r="AJ45">
        <f>SUMIFS('Federal Data'!AU2:AU501,'Federal Data'!$H2:$H501,"Veterans Medical Care",'Federal Data'!$D2:$D501,"Nongrant")</f>
        <v>55043000</v>
      </c>
      <c r="AK45">
        <f>SUMIFS('Federal Data'!AV2:AV501,'Federal Data'!$H2:$H501,"Veterans Medical Care",'Federal Data'!$D2:$D501,"Nongrant")</f>
        <v>60131000</v>
      </c>
    </row>
    <row r="46" spans="1:37">
      <c r="A46" s="6" t="s">
        <v>316</v>
      </c>
      <c r="B46">
        <f>SUMIFS('Federal Data'!M2:M501,'Federal Data'!$H2:$H501,"Veterans Housing",'Federal Data'!$D2:$D501,"Nongrant")</f>
        <v>-3835</v>
      </c>
      <c r="C46">
        <f>SUMIFS('Federal Data'!N2:N501,'Federal Data'!$H2:$H501,"Veterans Housing",'Federal Data'!$D2:$D501,"Nongrant")</f>
        <v>216723</v>
      </c>
      <c r="D46">
        <f>SUMIFS('Federal Data'!O2:O501,'Federal Data'!$H2:$H501,"Veterans Housing",'Federal Data'!$D2:$D501,"Nongrant")</f>
        <v>119681</v>
      </c>
      <c r="E46">
        <f>SUMIFS('Federal Data'!P2:P501,'Federal Data'!$H2:$H501,"Veterans Housing",'Federal Data'!$D2:$D501,"Nongrant")</f>
        <v>16876</v>
      </c>
      <c r="F46">
        <f>SUMIFS('Federal Data'!Q2:Q501,'Federal Data'!$H2:$H501,"Veterans Housing",'Federal Data'!$D2:$D501,"Nongrant")</f>
        <v>257267</v>
      </c>
      <c r="G46">
        <f>SUMIFS('Federal Data'!R2:R501,'Federal Data'!$H2:$H501,"Veterans Housing",'Federal Data'!$D2:$D501,"Nongrant")</f>
        <v>229652</v>
      </c>
      <c r="H46">
        <f>SUMIFS('Federal Data'!S2:S501,'Federal Data'!$H2:$H501,"Veterans Housing",'Federal Data'!$D2:$D501,"Nongrant")</f>
        <v>128141</v>
      </c>
      <c r="I46">
        <f>SUMIFS('Federal Data'!T2:T501,'Federal Data'!$H2:$H501,"Veterans Housing",'Federal Data'!$D2:$D501,"Nongrant")</f>
        <v>344474</v>
      </c>
      <c r="J46">
        <f>SUMIFS('Federal Data'!U2:U501,'Federal Data'!$H2:$H501,"Veterans Housing",'Federal Data'!$D2:$D501,"Nongrant")</f>
        <v>1305185</v>
      </c>
      <c r="K46">
        <f>SUMIFS('Federal Data'!V2:V501,'Federal Data'!$H2:$H501,"Veterans Housing",'Federal Data'!$D2:$D501,"Nongrant")</f>
        <v>891942</v>
      </c>
      <c r="L46">
        <f>SUMIFS('Federal Data'!W2:W501,'Federal Data'!$H2:$H501,"Veterans Housing",'Federal Data'!$D2:$D501,"Nongrant")</f>
        <v>530044</v>
      </c>
      <c r="M46">
        <f>SUMIFS('Federal Data'!X2:X501,'Federal Data'!$H2:$H501,"Veterans Housing",'Federal Data'!$D2:$D501,"Nongrant")</f>
        <v>99815</v>
      </c>
      <c r="N46">
        <f>SUMIFS('Federal Data'!Y2:Y501,'Federal Data'!$H2:$H501,"Veterans Housing",'Federal Data'!$D2:$D501,"Nongrant")</f>
        <v>917139</v>
      </c>
      <c r="O46">
        <f>SUMIFS('Federal Data'!Z2:Z501,'Federal Data'!$H2:$H501,"Veterans Housing",'Federal Data'!$D2:$D501,"Nongrant")</f>
        <v>1313879</v>
      </c>
      <c r="P46">
        <f>SUMIFS('Federal Data'!AA2:AA501,'Federal Data'!$H2:$H501,"Veterans Housing",'Federal Data'!$D2:$D501,"Nongrant")</f>
        <v>211502</v>
      </c>
      <c r="Q46">
        <f>SUMIFS('Federal Data'!AB2:AB501,'Federal Data'!$H2:$H501,"Veterans Housing",'Federal Data'!$D2:$D501,"Nongrant")</f>
        <v>344000</v>
      </c>
      <c r="R46">
        <f>SUMIFS('Federal Data'!AC2:AC501,'Federal Data'!$H2:$H501,"Veterans Housing",'Federal Data'!$D2:$D501,"Nongrant")</f>
        <v>80000</v>
      </c>
      <c r="S46">
        <f>SUMIFS('Federal Data'!AD2:AD501,'Federal Data'!$H2:$H501,"Veterans Housing",'Federal Data'!$D2:$D501,"Nongrant")</f>
        <v>-327000</v>
      </c>
      <c r="T46">
        <f>SUMIFS('Federal Data'!AE2:AE501,'Federal Data'!$H2:$H501,"Veterans Housing",'Federal Data'!$D2:$D501,"Nongrant")</f>
        <v>853000</v>
      </c>
      <c r="U46">
        <f>SUMIFS('Federal Data'!AF2:AF501,'Federal Data'!$H2:$H501,"Veterans Housing",'Federal Data'!$D2:$D501,"Nongrant")</f>
        <v>580000</v>
      </c>
      <c r="V46">
        <f>SUMIFS('Federal Data'!AG2:AG501,'Federal Data'!$H2:$H501,"Veterans Housing",'Federal Data'!$D2:$D501,"Nongrant")</f>
        <v>364000</v>
      </c>
      <c r="W46">
        <f>SUMIFS('Federal Data'!AH2:AH501,'Federal Data'!$H2:$H501,"Veterans Housing",'Federal Data'!$D2:$D501,"Nongrant")</f>
        <v>-904000</v>
      </c>
      <c r="X46">
        <f>SUMIFS('Federal Data'!AI2:AI501,'Federal Data'!$H2:$H501,"Veterans Housing",'Federal Data'!$D2:$D501,"Nongrant")</f>
        <v>-1006000</v>
      </c>
      <c r="Y46">
        <f>SUMIFS('Federal Data'!AJ2:AJ501,'Federal Data'!$H2:$H501,"Veterans Housing",'Federal Data'!$D2:$D501,"Nongrant")</f>
        <v>505000</v>
      </c>
      <c r="Z46">
        <f>SUMIFS('Federal Data'!AK2:AK501,'Federal Data'!$H2:$H501,"Veterans Housing",'Federal Data'!$D2:$D501,"Nongrant")</f>
        <v>-1982000</v>
      </c>
      <c r="AA46">
        <f>SUMIFS('Federal Data'!AL2:AL501,'Federal Data'!$H2:$H501,"Veterans Housing",'Federal Data'!$D2:$D501,"Nongrant")</f>
        <v>860000</v>
      </c>
      <c r="AB46">
        <f>SUMIFS('Federal Data'!AM2:AM501,'Federal Data'!$H2:$H501,"Veterans Housing",'Federal Data'!$D2:$D501,"Nongrant")</f>
        <v>-1242000</v>
      </c>
      <c r="AC46">
        <f>SUMIFS('Federal Data'!AN2:AN501,'Federal Data'!$H2:$H501,"Veterans Housing",'Federal Data'!$D2:$D501,"Nongrant")</f>
        <v>-868000</v>
      </c>
      <c r="AD46">
        <f>SUMIFS('Federal Data'!AO2:AO501,'Federal Data'!$H2:$H501,"Veterans Housing",'Federal Data'!$D2:$D501,"Nongrant")</f>
        <v>-419000</v>
      </c>
      <c r="AE46">
        <f>SUMIFS('Federal Data'!AP2:AP501,'Federal Data'!$H2:$H501,"Veterans Housing",'Federal Data'!$D2:$D501,"Nongrant")</f>
        <v>-578000</v>
      </c>
      <c r="AF46">
        <f>SUMIFS('Federal Data'!AQ2:AQ501,'Federal Data'!$H2:$H501,"Veterans Housing",'Federal Data'!$D2:$D501,"Nongrant")</f>
        <v>540000</v>
      </c>
      <c r="AG46">
        <f>SUMIFS('Federal Data'!AR2:AR501,'Federal Data'!$H2:$H501,"Veterans Housing",'Federal Data'!$D2:$D501,"Nongrant")</f>
        <v>1262000</v>
      </c>
      <c r="AH46">
        <f>SUMIFS('Federal Data'!AS2:AS501,'Federal Data'!$H2:$H501,"Veterans Housing",'Federal Data'!$D2:$D501,"Nongrant")</f>
        <v>1413000</v>
      </c>
      <c r="AI46">
        <f>SUMIFS('Federal Data'!AT2:AT501,'Federal Data'!$H2:$H501,"Veterans Housing",'Federal Data'!$D2:$D501,"Nongrant")</f>
        <v>1328000</v>
      </c>
      <c r="AJ46">
        <f>SUMIFS('Federal Data'!AU2:AU501,'Federal Data'!$H2:$H501,"Veterans Housing",'Federal Data'!$D2:$D501,"Nongrant")</f>
        <v>2143000</v>
      </c>
      <c r="AK46">
        <f>SUMIFS('Federal Data'!AV2:AV501,'Federal Data'!$H2:$H501,"Veterans Housing",'Federal Data'!$D2:$D501,"Nongrant")</f>
        <v>743000</v>
      </c>
    </row>
    <row r="47" spans="1:37">
      <c r="A47" s="6" t="s">
        <v>85</v>
      </c>
      <c r="B47">
        <f>SUMIFS('Federal Data'!M2:M501,'Federal Data'!$H2:$H501,"Veterans Readjustment Benefits",'Federal Data'!$D2:$D501,"Nongrant")</f>
        <v>2309735</v>
      </c>
      <c r="C47">
        <f>SUMIFS('Federal Data'!N2:N501,'Federal Data'!$H2:$H501,"Veterans Readjustment Benefits",'Federal Data'!$D2:$D501,"Nongrant")</f>
        <v>2225844</v>
      </c>
      <c r="D47">
        <f>SUMIFS('Federal Data'!O2:O501,'Federal Data'!$H2:$H501,"Veterans Readjustment Benefits",'Federal Data'!$D2:$D501,"Nongrant")</f>
        <v>1916709</v>
      </c>
      <c r="E47">
        <f>SUMIFS('Federal Data'!P2:P501,'Federal Data'!$H2:$H501,"Veterans Readjustment Benefits",'Federal Data'!$D2:$D501,"Nongrant")</f>
        <v>1598064</v>
      </c>
      <c r="F47">
        <f>SUMIFS('Federal Data'!Q2:Q501,'Federal Data'!$H2:$H501,"Veterans Readjustment Benefits",'Federal Data'!$D2:$D501,"Nongrant")</f>
        <v>1332936</v>
      </c>
      <c r="G47">
        <f>SUMIFS('Federal Data'!R2:R501,'Federal Data'!$H2:$H501,"Veterans Readjustment Benefits",'Federal Data'!$D2:$D501,"Nongrant")</f>
        <v>1028616</v>
      </c>
      <c r="H47">
        <f>SUMIFS('Federal Data'!S2:S501,'Federal Data'!$H2:$H501,"Veterans Readjustment Benefits",'Federal Data'!$D2:$D501,"Nongrant")</f>
        <v>496098</v>
      </c>
      <c r="I47">
        <f>SUMIFS('Federal Data'!T2:T501,'Federal Data'!$H2:$H501,"Veterans Readjustment Benefits",'Federal Data'!$D2:$D501,"Nongrant")</f>
        <v>423961</v>
      </c>
      <c r="J47">
        <f>SUMIFS('Federal Data'!U2:U501,'Federal Data'!$H2:$H501,"Veterans Readjustment Benefits",'Federal Data'!$D2:$D501,"Nongrant")</f>
        <v>424241</v>
      </c>
      <c r="K47">
        <f>SUMIFS('Federal Data'!V2:V501,'Federal Data'!$H2:$H501,"Veterans Readjustment Benefits",'Federal Data'!$D2:$D501,"Nongrant")</f>
        <v>426383</v>
      </c>
      <c r="L47">
        <f>SUMIFS('Federal Data'!W2:W501,'Federal Data'!$H2:$H501,"Veterans Readjustment Benefits",'Federal Data'!$D2:$D501,"Nongrant")</f>
        <v>245029</v>
      </c>
      <c r="M47">
        <f>SUMIFS('Federal Data'!X2:X501,'Federal Data'!$H2:$H501,"Veterans Readjustment Benefits",'Federal Data'!$D2:$D501,"Nongrant")</f>
        <v>392764</v>
      </c>
      <c r="N47">
        <f>SUMIFS('Federal Data'!Y2:Y501,'Federal Data'!$H2:$H501,"Veterans Readjustment Benefits",'Federal Data'!$D2:$D501,"Nongrant")</f>
        <v>745879</v>
      </c>
      <c r="O47">
        <f>SUMIFS('Federal Data'!Z2:Z501,'Federal Data'!$H2:$H501,"Veterans Readjustment Benefits",'Federal Data'!$D2:$D501,"Nongrant")</f>
        <v>788334</v>
      </c>
      <c r="P47">
        <f>SUMIFS('Federal Data'!AA2:AA501,'Federal Data'!$H2:$H501,"Veterans Readjustment Benefits",'Federal Data'!$D2:$D501,"Nongrant")</f>
        <v>1075369</v>
      </c>
      <c r="Q47">
        <f>SUMIFS('Federal Data'!AB2:AB501,'Federal Data'!$H2:$H501,"Veterans Readjustment Benefits",'Federal Data'!$D2:$D501,"Nongrant")</f>
        <v>1082000</v>
      </c>
      <c r="R47">
        <f>SUMIFS('Federal Data'!AC2:AC501,'Federal Data'!$H2:$H501,"Veterans Readjustment Benefits",'Federal Data'!$D2:$D501,"Nongrant")</f>
        <v>1073000</v>
      </c>
      <c r="S47">
        <f>SUMIFS('Federal Data'!AD2:AD501,'Federal Data'!$H2:$H501,"Veterans Readjustment Benefits",'Federal Data'!$D2:$D501,"Nongrant")</f>
        <v>1113000</v>
      </c>
      <c r="T47">
        <f>SUMIFS('Federal Data'!AE2:AE501,'Federal Data'!$H2:$H501,"Veterans Readjustment Benefits",'Federal Data'!$D2:$D501,"Nongrant")</f>
        <v>1058000</v>
      </c>
      <c r="U47">
        <f>SUMIFS('Federal Data'!AF2:AF501,'Federal Data'!$H2:$H501,"Veterans Readjustment Benefits",'Federal Data'!$D2:$D501,"Nongrant")</f>
        <v>1222000</v>
      </c>
      <c r="V47">
        <f>SUMIFS('Federal Data'!AG2:AG501,'Federal Data'!$H2:$H501,"Veterans Readjustment Benefits",'Federal Data'!$D2:$D501,"Nongrant")</f>
        <v>1285000</v>
      </c>
      <c r="W47">
        <f>SUMIFS('Federal Data'!AH2:AH501,'Federal Data'!$H2:$H501,"Veterans Readjustment Benefits",'Federal Data'!$D2:$D501,"Nongrant")</f>
        <v>1193000</v>
      </c>
      <c r="X47">
        <f>SUMIFS('Federal Data'!AI2:AI501,'Federal Data'!$H2:$H501,"Veterans Readjustment Benefits",'Federal Data'!$D2:$D501,"Nongrant")</f>
        <v>1726000</v>
      </c>
      <c r="Y47">
        <f>SUMIFS('Federal Data'!AJ2:AJ501,'Federal Data'!$H2:$H501,"Veterans Readjustment Benefits",'Federal Data'!$D2:$D501,"Nongrant")</f>
        <v>2106000</v>
      </c>
      <c r="Z47">
        <f>SUMIFS('Federal Data'!AK2:AK501,'Federal Data'!$H2:$H501,"Veterans Readjustment Benefits",'Federal Data'!$D2:$D501,"Nongrant")</f>
        <v>2562000</v>
      </c>
      <c r="AA47">
        <f>SUMIFS('Federal Data'!AL2:AL501,'Federal Data'!$H2:$H501,"Veterans Readjustment Benefits",'Federal Data'!$D2:$D501,"Nongrant")</f>
        <v>2790000</v>
      </c>
      <c r="AB47">
        <f>SUMIFS('Federal Data'!AM2:AM501,'Federal Data'!$H2:$H501,"Veterans Readjustment Benefits",'Federal Data'!$D2:$D501,"Nongrant")</f>
        <v>2638000</v>
      </c>
      <c r="AC47">
        <f>SUMIFS('Federal Data'!AN2:AN501,'Federal Data'!$H2:$H501,"Veterans Readjustment Benefits",'Federal Data'!$D2:$D501,"Nongrant")</f>
        <v>2713000</v>
      </c>
      <c r="AD47">
        <f>SUMIFS('Federal Data'!AO2:AO501,'Federal Data'!$H2:$H501,"Veterans Readjustment Benefits",'Federal Data'!$D2:$D501,"Nongrant")</f>
        <v>2730000</v>
      </c>
      <c r="AE47">
        <f>SUMIFS('Federal Data'!AP2:AP501,'Federal Data'!$H2:$H501,"Veterans Readjustment Benefits",'Federal Data'!$D2:$D501,"Nongrant")</f>
        <v>3495000</v>
      </c>
      <c r="AF47">
        <f>SUMIFS('Federal Data'!AQ2:AQ501,'Federal Data'!$H2:$H501,"Veterans Readjustment Benefits",'Federal Data'!$D2:$D501,"Nongrant")</f>
        <v>8089000</v>
      </c>
      <c r="AG47">
        <f>SUMIFS('Federal Data'!AR2:AR501,'Federal Data'!$H2:$H501,"Veterans Readjustment Benefits",'Federal Data'!$D2:$D501,"Nongrant")</f>
        <v>10683000</v>
      </c>
      <c r="AH47">
        <f>SUMIFS('Federal Data'!AS2:AS501,'Federal Data'!$H2:$H501,"Veterans Readjustment Benefits",'Federal Data'!$D2:$D501,"Nongrant")</f>
        <v>10402000</v>
      </c>
      <c r="AI47">
        <f>SUMIFS('Federal Data'!AT2:AT501,'Federal Data'!$H2:$H501,"Veterans Readjustment Benefits",'Federal Data'!$D2:$D501,"Nongrant")</f>
        <v>12893000</v>
      </c>
      <c r="AJ47">
        <f>SUMIFS('Federal Data'!AU2:AU501,'Federal Data'!$H2:$H501,"Veterans Readjustment Benefits",'Federal Data'!$D2:$D501,"Nongrant")</f>
        <v>13506000</v>
      </c>
      <c r="AK47">
        <f>SUMIFS('Federal Data'!AV2:AV501,'Federal Data'!$H2:$H501,"Veterans Readjustment Benefits",'Federal Data'!$D2:$D501,"Nongrant")</f>
        <v>13383000</v>
      </c>
    </row>
    <row r="48" spans="1:37">
      <c r="A48" s="6" t="s">
        <v>87</v>
      </c>
      <c r="B48">
        <f>SUMIFS('Federal Data'!M2:M501,'Federal Data'!$H2:$H501,"Other Veterans SErvices",'Federal Data'!$D2:$D501,"Nongrant")</f>
        <v>649119</v>
      </c>
      <c r="C48">
        <f>SUMIFS('Federal Data'!N2:N501,'Federal Data'!$H2:$H501,"Other Veterans SErvices",'Federal Data'!$D2:$D501,"Nongrant")</f>
        <v>644008</v>
      </c>
      <c r="D48">
        <f>SUMIFS('Federal Data'!O2:O501,'Federal Data'!$H2:$H501,"Other Veterans SErvices",'Federal Data'!$D2:$D501,"Nongrant")</f>
        <v>661495</v>
      </c>
      <c r="E48">
        <f>SUMIFS('Federal Data'!P2:P501,'Federal Data'!$H2:$H501,"Other Veterans SErvices",'Federal Data'!$D2:$D501,"Nongrant")</f>
        <v>671816</v>
      </c>
      <c r="F48">
        <f>SUMIFS('Federal Data'!Q2:Q501,'Federal Data'!$H2:$H501,"Other Veterans SErvices",'Federal Data'!$D2:$D501,"Nongrant")</f>
        <v>711446</v>
      </c>
      <c r="G48">
        <f>SUMIFS('Federal Data'!R2:R501,'Federal Data'!$H2:$H501,"Other Veterans SErvices",'Federal Data'!$D2:$D501,"Nongrant")</f>
        <v>717465</v>
      </c>
      <c r="H48">
        <f>SUMIFS('Federal Data'!S2:S501,'Federal Data'!$H2:$H501,"Other Veterans SErvices",'Federal Data'!$D2:$D501,"Nongrant")</f>
        <v>768352</v>
      </c>
      <c r="I48">
        <f>SUMIFS('Federal Data'!T2:T501,'Federal Data'!$H2:$H501,"Other Veterans SErvices",'Federal Data'!$D2:$D501,"Nongrant")</f>
        <v>715328</v>
      </c>
      <c r="J48">
        <f>SUMIFS('Federal Data'!U2:U501,'Federal Data'!$H2:$H501,"Other Veterans SErvices",'Federal Data'!$D2:$D501,"Nongrant")</f>
        <v>816088</v>
      </c>
      <c r="K48">
        <f>SUMIFS('Federal Data'!V2:V501,'Federal Data'!$H2:$H501,"Other Veterans SErvices",'Federal Data'!$D2:$D501,"Nongrant")</f>
        <v>777594</v>
      </c>
      <c r="L48">
        <f>SUMIFS('Federal Data'!W2:W501,'Federal Data'!$H2:$H501,"Other Veterans SErvices",'Federal Data'!$D2:$D501,"Nongrant")</f>
        <v>861593</v>
      </c>
      <c r="M48">
        <f>SUMIFS('Federal Data'!X2:X501,'Federal Data'!$H2:$H501,"Other Veterans SErvices",'Federal Data'!$D2:$D501,"Nongrant")</f>
        <v>910137</v>
      </c>
      <c r="N48">
        <f>SUMIFS('Federal Data'!Y2:Y501,'Federal Data'!$H2:$H501,"Other Veterans SErvices",'Federal Data'!$D2:$D501,"Nongrant")</f>
        <v>956734</v>
      </c>
      <c r="O48">
        <f>SUMIFS('Federal Data'!Z2:Z501,'Federal Data'!$H2:$H501,"Other Veterans SErvices",'Federal Data'!$D2:$D501,"Nongrant")</f>
        <v>942413</v>
      </c>
      <c r="P48">
        <f>SUMIFS('Federal Data'!AA2:AA501,'Federal Data'!$H2:$H501,"Other Veterans SErvices",'Federal Data'!$D2:$D501,"Nongrant")</f>
        <v>955577</v>
      </c>
      <c r="Q48">
        <f>SUMIFS('Federal Data'!AB2:AB501,'Federal Data'!$H2:$H501,"Other Veterans SErvices",'Federal Data'!$D2:$D501,"Nongrant")</f>
        <v>1012000</v>
      </c>
      <c r="R48">
        <f>SUMIFS('Federal Data'!AC2:AC501,'Federal Data'!$H2:$H501,"Other Veterans SErvices",'Federal Data'!$D2:$D501,"Nongrant")</f>
        <v>987000</v>
      </c>
      <c r="S48">
        <f>SUMIFS('Federal Data'!AD2:AD501,'Federal Data'!$H2:$H501,"Other Veterans SErvices",'Federal Data'!$D2:$D501,"Nongrant")</f>
        <v>963000</v>
      </c>
      <c r="T48">
        <f>SUMIFS('Federal Data'!AE2:AE501,'Federal Data'!$H2:$H501,"Other Veterans SErvices",'Federal Data'!$D2:$D501,"Nongrant")</f>
        <v>932000</v>
      </c>
      <c r="U48">
        <f>SUMIFS('Federal Data'!AF2:AF501,'Federal Data'!$H2:$H501,"Other Veterans SErvices",'Federal Data'!$D2:$D501,"Nongrant")</f>
        <v>997000</v>
      </c>
      <c r="V48">
        <f>SUMIFS('Federal Data'!AG2:AG501,'Federal Data'!$H2:$H501,"Other Veterans SErvices",'Federal Data'!$D2:$D501,"Nongrant")</f>
        <v>905000</v>
      </c>
      <c r="W48">
        <f>SUMIFS('Federal Data'!AH2:AH501,'Federal Data'!$H2:$H501,"Other Veterans SErvices",'Federal Data'!$D2:$D501,"Nongrant")</f>
        <v>1211000</v>
      </c>
      <c r="X48">
        <f>SUMIFS('Federal Data'!AI2:AI501,'Federal Data'!$H2:$H501,"Other Veterans SErvices",'Federal Data'!$D2:$D501,"Nongrant")</f>
        <v>1171000</v>
      </c>
      <c r="Y48">
        <f>SUMIFS('Federal Data'!AJ2:AJ501,'Federal Data'!$H2:$H501,"Other Veterans SErvices",'Federal Data'!$D2:$D501,"Nongrant")</f>
        <v>1175000</v>
      </c>
      <c r="Z48">
        <f>SUMIFS('Federal Data'!AK2:AK501,'Federal Data'!$H2:$H501,"Other Veterans SErvices",'Federal Data'!$D2:$D501,"Nongrant")</f>
        <v>1419000</v>
      </c>
      <c r="AA48">
        <f>SUMIFS('Federal Data'!AL2:AL501,'Federal Data'!$H2:$H501,"Other Veterans SErvices",'Federal Data'!$D2:$D501,"Nongrant")</f>
        <v>1928000</v>
      </c>
      <c r="AB48">
        <f>SUMIFS('Federal Data'!AM2:AM501,'Federal Data'!$H2:$H501,"Other Veterans SErvices",'Federal Data'!$D2:$D501,"Nongrant")</f>
        <v>2719000</v>
      </c>
      <c r="AC48">
        <f>SUMIFS('Federal Data'!AN2:AN501,'Federal Data'!$H2:$H501,"Other Veterans SErvices",'Federal Data'!$D2:$D501,"Nongrant")</f>
        <v>2969000</v>
      </c>
      <c r="AD48">
        <f>SUMIFS('Federal Data'!AO2:AO501,'Federal Data'!$H2:$H501,"Other Veterans SErvices",'Federal Data'!$D2:$D501,"Nongrant")</f>
        <v>3999000</v>
      </c>
      <c r="AE48">
        <f>SUMIFS('Federal Data'!AP2:AP501,'Federal Data'!$H2:$H501,"Other Veterans SErvices",'Federal Data'!$D2:$D501,"Nongrant")</f>
        <v>4648000</v>
      </c>
      <c r="AF48">
        <f>SUMIFS('Federal Data'!AQ2:AQ501,'Federal Data'!$H2:$H501,"Other Veterans SErvices",'Federal Data'!$D2:$D501,"Nongrant")</f>
        <v>4842000</v>
      </c>
      <c r="AG48">
        <f>SUMIFS('Federal Data'!AR2:AR501,'Federal Data'!$H2:$H501,"Other Veterans SErvices",'Federal Data'!$D2:$D501,"Nongrant")</f>
        <v>6385000</v>
      </c>
      <c r="AH48">
        <f>SUMIFS('Federal Data'!AS2:AS501,'Federal Data'!$H2:$H501,"Other Veterans SErvices",'Federal Data'!$D2:$D501,"Nongrant")</f>
        <v>6265000</v>
      </c>
      <c r="AI48">
        <f>SUMIFS('Federal Data'!AT2:AT501,'Federal Data'!$H2:$H501,"Other Veterans SErvices",'Federal Data'!$D2:$D501,"Nongrant")</f>
        <v>6228000</v>
      </c>
      <c r="AJ48">
        <f>SUMIFS('Federal Data'!AU2:AU501,'Federal Data'!$H2:$H501,"Other Veterans SErvices",'Federal Data'!$D2:$D501,"Nongrant")</f>
        <v>6795000</v>
      </c>
      <c r="AK48">
        <f>SUMIFS('Federal Data'!AV2:AV501,'Federal Data'!$H2:$H501,"Other Veterans SErvices",'Federal Data'!$D2:$D501,"Nongrant")</f>
        <v>7300000</v>
      </c>
    </row>
    <row r="49" spans="1:37">
      <c r="A49" s="4" t="s">
        <v>160</v>
      </c>
      <c r="B49">
        <f>SUMIFS('Federal Data'!M2:M501,'Federal Data'!$F2:$F501,"Foreign Affairs",'Federal Data'!$D2:$D501,"Nongrant")</f>
        <v>12713963</v>
      </c>
      <c r="C49">
        <f>SUMIFS('Federal Data'!N2:N501,'Federal Data'!$F2:$F501,"Foreign Affairs",'Federal Data'!$D2:$D501,"Nongrant")</f>
        <v>13104204</v>
      </c>
      <c r="D49">
        <f>SUMIFS('Federal Data'!O2:O501,'Federal Data'!$F2:$F501,"Foreign Affairs",'Federal Data'!$D2:$D501,"Nongrant")</f>
        <v>12299579</v>
      </c>
      <c r="E49">
        <f>SUMIFS('Federal Data'!P2:P501,'Federal Data'!$F2:$F501,"Foreign Affairs",'Federal Data'!$D2:$D501,"Nongrant")</f>
        <v>11847552</v>
      </c>
      <c r="F49">
        <f>SUMIFS('Federal Data'!Q2:Q501,'Federal Data'!$F2:$F501,"Foreign Affairs",'Federal Data'!$D2:$D501,"Nongrant")</f>
        <v>15868975</v>
      </c>
      <c r="G49">
        <f>SUMIFS('Federal Data'!R2:R501,'Federal Data'!$F2:$F501,"Foreign Affairs",'Federal Data'!$D2:$D501,"Nongrant")</f>
        <v>16169296</v>
      </c>
      <c r="H49">
        <f>SUMIFS('Federal Data'!S2:S501,'Federal Data'!$F2:$F501,"Foreign Affairs",'Federal Data'!$D2:$D501,"Nongrant")</f>
        <v>14145803</v>
      </c>
      <c r="I49">
        <f>SUMIFS('Federal Data'!T2:T501,'Federal Data'!$F2:$F501,"Foreign Affairs",'Federal Data'!$D2:$D501,"Nongrant")</f>
        <v>11644938</v>
      </c>
      <c r="J49">
        <f>SUMIFS('Federal Data'!U2:U501,'Federal Data'!$F2:$F501,"Foreign Affairs",'Federal Data'!$D2:$D501,"Nongrant")</f>
        <v>10465812</v>
      </c>
      <c r="K49">
        <f>SUMIFS('Federal Data'!V2:V501,'Federal Data'!$F2:$F501,"Foreign Affairs",'Federal Data'!$D2:$D501,"Nongrant")</f>
        <v>9583322</v>
      </c>
      <c r="L49">
        <f>SUMIFS('Federal Data'!W2:W501,'Federal Data'!$F2:$F501,"Foreign Affairs",'Federal Data'!$D2:$D501,"Nongrant")</f>
        <v>13758498</v>
      </c>
      <c r="M49">
        <f>SUMIFS('Federal Data'!X2:X501,'Federal Data'!$F2:$F501,"Foreign Affairs",'Federal Data'!$D2:$D501,"Nongrant")</f>
        <v>15846157</v>
      </c>
      <c r="N49">
        <f>SUMIFS('Federal Data'!Y2:Y501,'Federal Data'!$F2:$F501,"Foreign Affairs",'Federal Data'!$D2:$D501,"Nongrant")</f>
        <v>16090130</v>
      </c>
      <c r="O49">
        <f>SUMIFS('Federal Data'!Z2:Z501,'Federal Data'!$F2:$F501,"Foreign Affairs",'Federal Data'!$D2:$D501,"Nongrant")</f>
        <v>17218058</v>
      </c>
      <c r="P49">
        <f>SUMIFS('Federal Data'!AA2:AA501,'Federal Data'!$F2:$F501,"Foreign Affairs",'Federal Data'!$D2:$D501,"Nongrant")</f>
        <v>17067433</v>
      </c>
      <c r="Q49">
        <f>SUMIFS('Federal Data'!AB2:AB501,'Federal Data'!$F2:$F501,"Foreign Affairs",'Federal Data'!$D2:$D501,"Nongrant")</f>
        <v>16429000</v>
      </c>
      <c r="R49">
        <f>SUMIFS('Federal Data'!AC2:AC501,'Federal Data'!$F2:$F501,"Foreign Affairs",'Federal Data'!$D2:$D501,"Nongrant")</f>
        <v>13487000</v>
      </c>
      <c r="S49">
        <f>SUMIFS('Federal Data'!AD2:AD501,'Federal Data'!$F2:$F501,"Foreign Affairs",'Federal Data'!$D2:$D501,"Nongrant")</f>
        <v>15173000</v>
      </c>
      <c r="T49">
        <f>SUMIFS('Federal Data'!AE2:AE501,'Federal Data'!$F2:$F501,"Foreign Affairs",'Federal Data'!$D2:$D501,"Nongrant")</f>
        <v>13047000</v>
      </c>
      <c r="U49">
        <f>SUMIFS('Federal Data'!AF2:AF501,'Federal Data'!$F2:$F501,"Foreign Affairs",'Federal Data'!$D2:$D501,"Nongrant")</f>
        <v>15204000</v>
      </c>
      <c r="V49">
        <f>SUMIFS('Federal Data'!AG2:AG501,'Federal Data'!$F2:$F501,"Foreign Affairs",'Federal Data'!$D2:$D501,"Nongrant")</f>
        <v>17222000</v>
      </c>
      <c r="W49">
        <f>SUMIFS('Federal Data'!AH2:AH501,'Federal Data'!$F2:$F501,"Foreign Affairs",'Federal Data'!$D2:$D501,"Nongrant")</f>
        <v>16463000</v>
      </c>
      <c r="X49">
        <f>SUMIFS('Federal Data'!AI2:AI501,'Federal Data'!$F2:$F501,"Foreign Affairs",'Federal Data'!$D2:$D501,"Nongrant")</f>
        <v>22300000</v>
      </c>
      <c r="Y49">
        <f>SUMIFS('Federal Data'!AJ2:AJ501,'Federal Data'!$F2:$F501,"Foreign Affairs",'Federal Data'!$D2:$D501,"Nongrant")</f>
        <v>21173000</v>
      </c>
      <c r="Z49">
        <f>SUMIFS('Federal Data'!AK2:AK501,'Federal Data'!$F2:$F501,"Foreign Affairs",'Federal Data'!$D2:$D501,"Nongrant")</f>
        <v>26908000</v>
      </c>
      <c r="AA49">
        <f>SUMIFS('Federal Data'!AL2:AL501,'Federal Data'!$F2:$F501,"Foreign Affairs",'Federal Data'!$D2:$D501,"Nongrant")</f>
        <v>34578000</v>
      </c>
      <c r="AB49">
        <f>SUMIFS('Federal Data'!AM2:AM501,'Federal Data'!$F2:$F501,"Foreign Affairs",'Federal Data'!$D2:$D501,"Nongrant")</f>
        <v>29513000</v>
      </c>
      <c r="AC49">
        <f>SUMIFS('Federal Data'!AN2:AN501,'Federal Data'!$F2:$F501,"Foreign Affairs",'Federal Data'!$D2:$D501,"Nongrant")</f>
        <v>28470000</v>
      </c>
      <c r="AD49">
        <f>SUMIFS('Federal Data'!AO2:AO501,'Federal Data'!$F2:$F501,"Foreign Affairs",'Federal Data'!$D2:$D501,"Nongrant")</f>
        <v>28855000</v>
      </c>
      <c r="AE49">
        <f>SUMIFS('Federal Data'!AP2:AP501,'Federal Data'!$F2:$F501,"Foreign Affairs",'Federal Data'!$D2:$D501,"Nongrant")</f>
        <v>37532000</v>
      </c>
      <c r="AF49">
        <f>SUMIFS('Federal Data'!AQ2:AQ501,'Federal Data'!$F2:$F501,"Foreign Affairs",'Federal Data'!$D2:$D501,"Nongrant")</f>
        <v>45210000</v>
      </c>
      <c r="AG49">
        <f>SUMIFS('Federal Data'!AR2:AR501,'Federal Data'!$F2:$F501,"Foreign Affairs",'Federal Data'!$D2:$D501,"Nongrant")</f>
        <v>45668000</v>
      </c>
      <c r="AH49">
        <f>SUMIFS('Federal Data'!AS2:AS501,'Federal Data'!$F2:$F501,"Foreign Affairs",'Federal Data'!$D2:$D501,"Nongrant")</f>
        <v>47168000</v>
      </c>
      <c r="AI49">
        <f>SUMIFS('Federal Data'!AT2:AT501,'Federal Data'!$F2:$F501,"Foreign Affairs",'Federal Data'!$D2:$D501,"Nongrant")</f>
        <v>46208000</v>
      </c>
      <c r="AJ49">
        <f>SUMIFS('Federal Data'!AU2:AU501,'Federal Data'!$F2:$F501,"Foreign Affairs",'Federal Data'!$D2:$D501,"Nongrant")</f>
        <v>46732000</v>
      </c>
      <c r="AK49">
        <f>SUMIFS('Federal Data'!AV2:AV501,'Federal Data'!$F2:$F501,"Foreign Affairs",'Federal Data'!$D2:$D501,"Nongrant")</f>
        <v>48503000</v>
      </c>
    </row>
    <row r="50" spans="1:37">
      <c r="A50" s="5" t="s">
        <v>88</v>
      </c>
      <c r="B50">
        <f>SUMIFS('Federal Data'!M2:M501,'Federal Data'!$G2:$G501,"International Development and Humanitarian Assistance",'Federal Data'!$D2:$D501,"Nongrant")</f>
        <v>3625760</v>
      </c>
      <c r="C50">
        <f>SUMIFS('Federal Data'!N2:N501,'Federal Data'!$G2:$G501,"International Development and Humanitarian Assistance",'Federal Data'!$D2:$D501,"Nongrant")</f>
        <v>4130841</v>
      </c>
      <c r="D50">
        <f>SUMIFS('Federal Data'!O2:O501,'Federal Data'!$G2:$G501,"International Development and Humanitarian Assistance",'Federal Data'!$D2:$D501,"Nongrant")</f>
        <v>3772481</v>
      </c>
      <c r="E50">
        <f>SUMIFS('Federal Data'!P2:P501,'Federal Data'!$G2:$G501,"International Development and Humanitarian Assistance",'Federal Data'!$D2:$D501,"Nongrant")</f>
        <v>3955152</v>
      </c>
      <c r="F50">
        <f>SUMIFS('Federal Data'!Q2:Q501,'Federal Data'!$G2:$G501,"International Development and Humanitarian Assistance",'Federal Data'!$D2:$D501,"Nongrant")</f>
        <v>4478229</v>
      </c>
      <c r="G50">
        <f>SUMIFS('Federal Data'!R2:R501,'Federal Data'!$G2:$G501,"International Development and Humanitarian Assistance",'Federal Data'!$D2:$D501,"Nongrant")</f>
        <v>5408412</v>
      </c>
      <c r="H50">
        <f>SUMIFS('Federal Data'!S2:S501,'Federal Data'!$G2:$G501,"International Development and Humanitarian Assistance",'Federal Data'!$D2:$D501,"Nongrant")</f>
        <v>4966772</v>
      </c>
      <c r="I50">
        <f>SUMIFS('Federal Data'!T2:T501,'Federal Data'!$G2:$G501,"International Development and Humanitarian Assistance",'Federal Data'!$D2:$D501,"Nongrant")</f>
        <v>4319164</v>
      </c>
      <c r="J50">
        <f>SUMIFS('Federal Data'!U2:U501,'Federal Data'!$G2:$G501,"International Development and Humanitarian Assistance",'Federal Data'!$D2:$D501,"Nongrant")</f>
        <v>4703138</v>
      </c>
      <c r="K50">
        <f>SUMIFS('Federal Data'!V2:V501,'Federal Data'!$G2:$G501,"International Development and Humanitarian Assistance",'Federal Data'!$D2:$D501,"Nongrant")</f>
        <v>4836033</v>
      </c>
      <c r="L50">
        <f>SUMIFS('Federal Data'!W2:W501,'Federal Data'!$G2:$G501,"International Development and Humanitarian Assistance",'Federal Data'!$D2:$D501,"Nongrant")</f>
        <v>5497574</v>
      </c>
      <c r="M50">
        <f>SUMIFS('Federal Data'!X2:X501,'Federal Data'!$G2:$G501,"International Development and Humanitarian Assistance",'Federal Data'!$D2:$D501,"Nongrant")</f>
        <v>5140663</v>
      </c>
      <c r="N50">
        <f>SUMIFS('Federal Data'!Y2:Y501,'Federal Data'!$G2:$G501,"International Development and Humanitarian Assistance",'Federal Data'!$D2:$D501,"Nongrant")</f>
        <v>6131674</v>
      </c>
      <c r="O50">
        <f>SUMIFS('Federal Data'!Z2:Z501,'Federal Data'!$G2:$G501,"International Development and Humanitarian Assistance",'Federal Data'!$D2:$D501,"Nongrant")</f>
        <v>5824988</v>
      </c>
      <c r="P50">
        <f>SUMIFS('Federal Data'!AA2:AA501,'Federal Data'!$G2:$G501,"International Development and Humanitarian Assistance",'Federal Data'!$D2:$D501,"Nongrant")</f>
        <v>7047935</v>
      </c>
      <c r="Q50">
        <f>SUMIFS('Federal Data'!AB2:AB501,'Federal Data'!$G2:$G501,"International Development and Humanitarian Assistance",'Federal Data'!$D2:$D501,"Nongrant")</f>
        <v>7598000</v>
      </c>
      <c r="R50">
        <f>SUMIFS('Federal Data'!AC2:AC501,'Federal Data'!$G2:$G501,"International Development and Humanitarian Assistance",'Federal Data'!$D2:$D501,"Nongrant")</f>
        <v>6160000</v>
      </c>
      <c r="S50">
        <f>SUMIFS('Federal Data'!AD2:AD501,'Federal Data'!$G2:$G501,"International Development and Humanitarian Assistance",'Federal Data'!$D2:$D501,"Nongrant")</f>
        <v>6003000</v>
      </c>
      <c r="T50">
        <f>SUMIFS('Federal Data'!AE2:AE501,'Federal Data'!$G2:$G501,"International Development and Humanitarian Assistance",'Federal Data'!$D2:$D501,"Nongrant")</f>
        <v>5395000</v>
      </c>
      <c r="U50">
        <f>SUMIFS('Federal Data'!AF2:AF501,'Federal Data'!$G2:$G501,"International Development and Humanitarian Assistance",'Federal Data'!$D2:$D501,"Nongrant")</f>
        <v>5653000</v>
      </c>
      <c r="V50">
        <f>SUMIFS('Federal Data'!AG2:AG501,'Federal Data'!$G2:$G501,"International Development and Humanitarian Assistance",'Federal Data'!$D2:$D501,"Nongrant")</f>
        <v>6516000</v>
      </c>
      <c r="W50">
        <f>SUMIFS('Federal Data'!AH2:AH501,'Federal Data'!$G2:$G501,"International Development and Humanitarian Assistance",'Federal Data'!$D2:$D501,"Nongrant")</f>
        <v>7185000</v>
      </c>
      <c r="X50">
        <f>SUMIFS('Federal Data'!AI2:AI501,'Federal Data'!$G2:$G501,"International Development and Humanitarian Assistance",'Federal Data'!$D2:$D501,"Nongrant")</f>
        <v>7811000</v>
      </c>
      <c r="Y50">
        <f>SUMIFS('Federal Data'!AJ2:AJ501,'Federal Data'!$G2:$G501,"International Development and Humanitarian Assistance",'Federal Data'!$D2:$D501,"Nongrant")</f>
        <v>10324000</v>
      </c>
      <c r="Z50">
        <f>SUMIFS('Federal Data'!AK2:AK501,'Federal Data'!$G2:$G501,"International Development and Humanitarian Assistance",'Federal Data'!$D2:$D501,"Nongrant")</f>
        <v>13807000</v>
      </c>
      <c r="AA50">
        <f>SUMIFS('Federal Data'!AL2:AL501,'Federal Data'!$G2:$G501,"International Development and Humanitarian Assistance",'Federal Data'!$D2:$D501,"Nongrant")</f>
        <v>17696000</v>
      </c>
      <c r="AB50">
        <f>SUMIFS('Federal Data'!AM2:AM501,'Federal Data'!$G2:$G501,"International Development and Humanitarian Assistance",'Federal Data'!$D2:$D501,"Nongrant")</f>
        <v>16693000</v>
      </c>
      <c r="AC50">
        <f>SUMIFS('Federal Data'!AN2:AN501,'Federal Data'!$G2:$G501,"International Development and Humanitarian Assistance",'Federal Data'!$D2:$D501,"Nongrant")</f>
        <v>15524000</v>
      </c>
      <c r="AD50">
        <f>SUMIFS('Federal Data'!AO2:AO501,'Federal Data'!$G2:$G501,"International Development and Humanitarian Assistance",'Federal Data'!$D2:$D501,"Nongrant")</f>
        <v>14074000</v>
      </c>
      <c r="AE50">
        <f>SUMIFS('Federal Data'!AP2:AP501,'Federal Data'!$G2:$G501,"International Development and Humanitarian Assistance",'Federal Data'!$D2:$D501,"Nongrant")</f>
        <v>22095000</v>
      </c>
      <c r="AF50">
        <f>SUMIFS('Federal Data'!AQ2:AQ501,'Federal Data'!$G2:$G501,"International Development and Humanitarian Assistance",'Federal Data'!$D2:$D501,"Nongrant")</f>
        <v>19014000</v>
      </c>
      <c r="AG50">
        <f>SUMIFS('Federal Data'!AR2:AR501,'Federal Data'!$G2:$G501,"International Development and Humanitarian Assistance",'Federal Data'!$D2:$D501,"Nongrant")</f>
        <v>21255000</v>
      </c>
      <c r="AH50">
        <f>SUMIFS('Federal Data'!AS2:AS501,'Federal Data'!$G2:$G501,"International Development and Humanitarian Assistance",'Federal Data'!$D2:$D501,"Nongrant")</f>
        <v>21882000</v>
      </c>
      <c r="AI50">
        <f>SUMIFS('Federal Data'!AT2:AT501,'Federal Data'!$G2:$G501,"International Development and Humanitarian Assistance",'Federal Data'!$D2:$D501,"Nongrant")</f>
        <v>22551000</v>
      </c>
      <c r="AJ50">
        <f>SUMIFS('Federal Data'!AU2:AU501,'Federal Data'!$G2:$G501,"International Development and Humanitarian Assistance",'Federal Data'!$D2:$D501,"Nongrant")</f>
        <v>23534000</v>
      </c>
      <c r="AK50">
        <f>SUMIFS('Federal Data'!AV2:AV501,'Federal Data'!$G2:$G501,"International Development and Humanitarian Assistance",'Federal Data'!$D2:$D501,"Nongrant")</f>
        <v>24087000</v>
      </c>
    </row>
    <row r="51" spans="1:37">
      <c r="A51" s="5" t="s">
        <v>89</v>
      </c>
      <c r="B51">
        <f>SUMIFS('Federal Data'!M2:M501,'Federal Data'!$G2:$G501,"International Security Assistance",'Federal Data'!$D2:$D501,"Nongrant")</f>
        <v>4763123</v>
      </c>
      <c r="C51">
        <f>SUMIFS('Federal Data'!N2:N501,'Federal Data'!$G2:$G501,"International Security Assistance",'Federal Data'!$D2:$D501,"Nongrant")</f>
        <v>5095148</v>
      </c>
      <c r="D51">
        <f>SUMIFS('Federal Data'!O2:O501,'Federal Data'!$G2:$G501,"International Security Assistance",'Federal Data'!$D2:$D501,"Nongrant")</f>
        <v>5415882</v>
      </c>
      <c r="E51">
        <f>SUMIFS('Federal Data'!P2:P501,'Federal Data'!$G2:$G501,"International Security Assistance",'Federal Data'!$D2:$D501,"Nongrant")</f>
        <v>6612800</v>
      </c>
      <c r="F51">
        <f>SUMIFS('Federal Data'!Q2:Q501,'Federal Data'!$G2:$G501,"International Security Assistance",'Federal Data'!$D2:$D501,"Nongrant")</f>
        <v>7923974</v>
      </c>
      <c r="G51">
        <f>SUMIFS('Federal Data'!R2:R501,'Federal Data'!$G2:$G501,"International Security Assistance",'Federal Data'!$D2:$D501,"Nongrant")</f>
        <v>9390685</v>
      </c>
      <c r="H51">
        <f>SUMIFS('Federal Data'!S2:S501,'Federal Data'!$G2:$G501,"International Security Assistance",'Federal Data'!$D2:$D501,"Nongrant")</f>
        <v>10499135</v>
      </c>
      <c r="I51">
        <f>SUMIFS('Federal Data'!T2:T501,'Federal Data'!$G2:$G501,"International Security Assistance",'Federal Data'!$D2:$D501,"Nongrant")</f>
        <v>7106397</v>
      </c>
      <c r="J51">
        <f>SUMIFS('Federal Data'!U2:U501,'Federal Data'!$G2:$G501,"International Security Assistance",'Federal Data'!$D2:$D501,"Nongrant")</f>
        <v>4499936</v>
      </c>
      <c r="K51">
        <f>SUMIFS('Federal Data'!V2:V501,'Federal Data'!$G2:$G501,"International Security Assistance",'Federal Data'!$D2:$D501,"Nongrant")</f>
        <v>1466908</v>
      </c>
      <c r="L51">
        <f>SUMIFS('Federal Data'!W2:W501,'Federal Data'!$G2:$G501,"International Security Assistance",'Federal Data'!$D2:$D501,"Nongrant")</f>
        <v>8652217</v>
      </c>
      <c r="M51">
        <f>SUMIFS('Federal Data'!X2:X501,'Federal Data'!$G2:$G501,"International Security Assistance",'Federal Data'!$D2:$D501,"Nongrant")</f>
        <v>9823009</v>
      </c>
      <c r="N51">
        <f>SUMIFS('Federal Data'!Y2:Y501,'Federal Data'!$G2:$G501,"International Security Assistance",'Federal Data'!$D2:$D501,"Nongrant")</f>
        <v>7490443</v>
      </c>
      <c r="O51">
        <f>SUMIFS('Federal Data'!Z2:Z501,'Federal Data'!$G2:$G501,"International Security Assistance",'Federal Data'!$D2:$D501,"Nongrant")</f>
        <v>7639174</v>
      </c>
      <c r="P51">
        <f>SUMIFS('Federal Data'!AA2:AA501,'Federal Data'!$G2:$G501,"International Security Assistance",'Federal Data'!$D2:$D501,"Nongrant")</f>
        <v>6642325</v>
      </c>
      <c r="Q51">
        <f>SUMIFS('Federal Data'!AB2:AB501,'Federal Data'!$G2:$G501,"International Security Assistance",'Federal Data'!$D2:$D501,"Nongrant")</f>
        <v>5252000</v>
      </c>
      <c r="R51">
        <f>SUMIFS('Federal Data'!AC2:AC501,'Federal Data'!$G2:$G501,"International Security Assistance",'Federal Data'!$D2:$D501,"Nongrant")</f>
        <v>4565000</v>
      </c>
      <c r="S51">
        <f>SUMIFS('Federal Data'!AD2:AD501,'Federal Data'!$G2:$G501,"International Security Assistance",'Federal Data'!$D2:$D501,"Nongrant")</f>
        <v>4632000</v>
      </c>
      <c r="T51">
        <f>SUMIFS('Federal Data'!AE2:AE501,'Federal Data'!$G2:$G501,"International Security Assistance",'Federal Data'!$D2:$D501,"Nongrant")</f>
        <v>5135000</v>
      </c>
      <c r="U51">
        <f>SUMIFS('Federal Data'!AF2:AF501,'Federal Data'!$G2:$G501,"International Security Assistance",'Federal Data'!$D2:$D501,"Nongrant")</f>
        <v>5531000</v>
      </c>
      <c r="V51">
        <f>SUMIFS('Federal Data'!AG2:AG501,'Federal Data'!$G2:$G501,"International Security Assistance",'Federal Data'!$D2:$D501,"Nongrant")</f>
        <v>6387000</v>
      </c>
      <c r="W51">
        <f>SUMIFS('Federal Data'!AH2:AH501,'Federal Data'!$G2:$G501,"International Security Assistance",'Federal Data'!$D2:$D501,"Nongrant")</f>
        <v>6560000</v>
      </c>
      <c r="X51">
        <f>SUMIFS('Federal Data'!AI2:AI501,'Federal Data'!$G2:$G501,"International Security Assistance",'Federal Data'!$D2:$D501,"Nongrant")</f>
        <v>7907000</v>
      </c>
      <c r="Y51">
        <f>SUMIFS('Federal Data'!AJ2:AJ501,'Federal Data'!$G2:$G501,"International Security Assistance",'Federal Data'!$D2:$D501,"Nongrant")</f>
        <v>8620000</v>
      </c>
      <c r="Z51">
        <f>SUMIFS('Federal Data'!AK2:AK501,'Federal Data'!$G2:$G501,"International Security Assistance",'Federal Data'!$D2:$D501,"Nongrant")</f>
        <v>8369000</v>
      </c>
      <c r="AA51">
        <f>SUMIFS('Federal Data'!AL2:AL501,'Federal Data'!$G2:$G501,"International Security Assistance",'Federal Data'!$D2:$D501,"Nongrant")</f>
        <v>7895000</v>
      </c>
      <c r="AB51">
        <f>SUMIFS('Federal Data'!AM2:AM501,'Federal Data'!$G2:$G501,"International Security Assistance",'Federal Data'!$D2:$D501,"Nongrant")</f>
        <v>7811000</v>
      </c>
      <c r="AC51">
        <f>SUMIFS('Federal Data'!AN2:AN501,'Federal Data'!$G2:$G501,"International Security Assistance",'Federal Data'!$D2:$D501,"Nongrant")</f>
        <v>7982000</v>
      </c>
      <c r="AD51">
        <f>SUMIFS('Federal Data'!AO2:AO501,'Federal Data'!$G2:$G501,"International Security Assistance",'Federal Data'!$D2:$D501,"Nongrant")</f>
        <v>9480000</v>
      </c>
      <c r="AE51">
        <f>SUMIFS('Federal Data'!AP2:AP501,'Federal Data'!$G2:$G501,"International Security Assistance",'Federal Data'!$D2:$D501,"Nongrant")</f>
        <v>6247000</v>
      </c>
      <c r="AF51">
        <f>SUMIFS('Federal Data'!AQ2:AQ501,'Federal Data'!$G2:$G501,"International Security Assistance",'Federal Data'!$D2:$D501,"Nongrant")</f>
        <v>11363000</v>
      </c>
      <c r="AG51">
        <f>SUMIFS('Federal Data'!AR2:AR501,'Federal Data'!$G2:$G501,"International Security Assistance",'Federal Data'!$D2:$D501,"Nongrant")</f>
        <v>12042000</v>
      </c>
      <c r="AH51">
        <f>SUMIFS('Federal Data'!AS2:AS501,'Federal Data'!$G2:$G501,"International Security Assistance",'Federal Data'!$D2:$D501,"Nongrant")</f>
        <v>11464000</v>
      </c>
      <c r="AI51">
        <f>SUMIFS('Federal Data'!AT2:AT501,'Federal Data'!$G2:$G501,"International Security Assistance",'Federal Data'!$D2:$D501,"Nongrant")</f>
        <v>9954000</v>
      </c>
      <c r="AJ51">
        <f>SUMIFS('Federal Data'!AU2:AU501,'Federal Data'!$G2:$G501,"International Security Assistance",'Federal Data'!$D2:$D501,"Nongrant")</f>
        <v>11381000</v>
      </c>
      <c r="AK51">
        <f>SUMIFS('Federal Data'!AV2:AV501,'Federal Data'!$G2:$G501,"International Security Assistance",'Federal Data'!$D2:$D501,"Nongrant")</f>
        <v>12907000</v>
      </c>
    </row>
    <row r="52" spans="1:37">
      <c r="A52" s="5" t="s">
        <v>90</v>
      </c>
      <c r="B52">
        <f>SUMIFS('Federal Data'!M2:M501,'Federal Data'!$G2:$G501,"Other Foreign Affairs",'Federal Data'!$D2:$D501,"Nongrant")</f>
        <v>4325080</v>
      </c>
      <c r="C52">
        <f>SUMIFS('Federal Data'!N2:N501,'Federal Data'!$G2:$G501,"Other Foreign Affairs",'Federal Data'!$D2:$D501,"Nongrant")</f>
        <v>3878215</v>
      </c>
      <c r="D52">
        <f>SUMIFS('Federal Data'!O2:O501,'Federal Data'!$G2:$G501,"Other Foreign Affairs",'Federal Data'!$D2:$D501,"Nongrant")</f>
        <v>3111216</v>
      </c>
      <c r="E52">
        <f>SUMIFS('Federal Data'!P2:P501,'Federal Data'!$G2:$G501,"Other Foreign Affairs",'Federal Data'!$D2:$D501,"Nongrant")</f>
        <v>1279600</v>
      </c>
      <c r="F52">
        <f>SUMIFS('Federal Data'!Q2:Q501,'Federal Data'!$G2:$G501,"Other Foreign Affairs",'Federal Data'!$D2:$D501,"Nongrant")</f>
        <v>3466772</v>
      </c>
      <c r="G52">
        <f>SUMIFS('Federal Data'!R2:R501,'Federal Data'!$G2:$G501,"Other Foreign Affairs",'Federal Data'!$D2:$D501,"Nongrant")</f>
        <v>1370199</v>
      </c>
      <c r="H52">
        <f>SUMIFS('Federal Data'!S2:S501,'Federal Data'!$G2:$G501,"Other Foreign Affairs",'Federal Data'!$D2:$D501,"Nongrant")</f>
        <v>-1320104</v>
      </c>
      <c r="I52">
        <f>SUMIFS('Federal Data'!T2:T501,'Federal Data'!$G2:$G501,"Other Foreign Affairs",'Federal Data'!$D2:$D501,"Nongrant")</f>
        <v>219377</v>
      </c>
      <c r="J52">
        <f>SUMIFS('Federal Data'!U2:U501,'Federal Data'!$G2:$G501,"Other Foreign Affairs",'Federal Data'!$D2:$D501,"Nongrant")</f>
        <v>1262738</v>
      </c>
      <c r="K52">
        <f>SUMIFS('Federal Data'!V2:V501,'Federal Data'!$G2:$G501,"Other Foreign Affairs",'Federal Data'!$D2:$D501,"Nongrant")</f>
        <v>3280381</v>
      </c>
      <c r="L52">
        <f>SUMIFS('Federal Data'!W2:W501,'Federal Data'!$G2:$G501,"Other Foreign Affairs",'Federal Data'!$D2:$D501,"Nongrant")</f>
        <v>-391293</v>
      </c>
      <c r="M52">
        <f>SUMIFS('Federal Data'!X2:X501,'Federal Data'!$G2:$G501,"Other Foreign Affairs",'Federal Data'!$D2:$D501,"Nongrant")</f>
        <v>882485</v>
      </c>
      <c r="N52">
        <f>SUMIFS('Federal Data'!Y2:Y501,'Federal Data'!$G2:$G501,"Other Foreign Affairs",'Federal Data'!$D2:$D501,"Nongrant")</f>
        <v>2468013</v>
      </c>
      <c r="O52">
        <f>SUMIFS('Federal Data'!Z2:Z501,'Federal Data'!$G2:$G501,"Other Foreign Affairs",'Federal Data'!$D2:$D501,"Nongrant")</f>
        <v>3753896</v>
      </c>
      <c r="P52">
        <f>SUMIFS('Federal Data'!AA2:AA501,'Federal Data'!$G2:$G501,"Other Foreign Affairs",'Federal Data'!$D2:$D501,"Nongrant")</f>
        <v>3377173</v>
      </c>
      <c r="Q52">
        <f>SUMIFS('Federal Data'!AB2:AB501,'Federal Data'!$G2:$G501,"Other Foreign Affairs",'Federal Data'!$D2:$D501,"Nongrant")</f>
        <v>3579000</v>
      </c>
      <c r="R52">
        <f>SUMIFS('Federal Data'!AC2:AC501,'Federal Data'!$G2:$G501,"Other Foreign Affairs",'Federal Data'!$D2:$D501,"Nongrant")</f>
        <v>2762000</v>
      </c>
      <c r="S52">
        <f>SUMIFS('Federal Data'!AD2:AD501,'Federal Data'!$G2:$G501,"Other Foreign Affairs",'Federal Data'!$D2:$D501,"Nongrant")</f>
        <v>4538000</v>
      </c>
      <c r="T52">
        <f>SUMIFS('Federal Data'!AE2:AE501,'Federal Data'!$G2:$G501,"Other Foreign Affairs",'Federal Data'!$D2:$D501,"Nongrant")</f>
        <v>2517000</v>
      </c>
      <c r="U52">
        <f>SUMIFS('Federal Data'!AF2:AF501,'Federal Data'!$G2:$G501,"Other Foreign Affairs",'Federal Data'!$D2:$D501,"Nongrant")</f>
        <v>4020000</v>
      </c>
      <c r="V52">
        <f>SUMIFS('Federal Data'!AG2:AG501,'Federal Data'!$G2:$G501,"Other Foreign Affairs",'Federal Data'!$D2:$D501,"Nongrant")</f>
        <v>4319000</v>
      </c>
      <c r="W52">
        <f>SUMIFS('Federal Data'!AH2:AH501,'Federal Data'!$G2:$G501,"Other Foreign Affairs",'Federal Data'!$D2:$D501,"Nongrant")</f>
        <v>2718000</v>
      </c>
      <c r="X52">
        <f>SUMIFS('Federal Data'!AI2:AI501,'Federal Data'!$G2:$G501,"Other Foreign Affairs",'Federal Data'!$D2:$D501,"Nongrant")</f>
        <v>6582000</v>
      </c>
      <c r="Y52">
        <f>SUMIFS('Federal Data'!AJ2:AJ501,'Federal Data'!$G2:$G501,"Other Foreign Affairs",'Federal Data'!$D2:$D501,"Nongrant")</f>
        <v>2229000</v>
      </c>
      <c r="Z52">
        <f>SUMIFS('Federal Data'!AK2:AK501,'Federal Data'!$G2:$G501,"Other Foreign Affairs",'Federal Data'!$D2:$D501,"Nongrant")</f>
        <v>4732000</v>
      </c>
      <c r="AA52">
        <f>SUMIFS('Federal Data'!AL2:AL501,'Federal Data'!$G2:$G501,"Other Foreign Affairs",'Federal Data'!$D2:$D501,"Nongrant")</f>
        <v>8987000</v>
      </c>
      <c r="AB52">
        <f>SUMIFS('Federal Data'!AM2:AM501,'Federal Data'!$G2:$G501,"Other Foreign Affairs",'Federal Data'!$D2:$D501,"Nongrant")</f>
        <v>5009000</v>
      </c>
      <c r="AC52">
        <f>SUMIFS('Federal Data'!AN2:AN501,'Federal Data'!$G2:$G501,"Other Foreign Affairs",'Federal Data'!$D2:$D501,"Nongrant")</f>
        <v>4964000</v>
      </c>
      <c r="AD52">
        <f>SUMIFS('Federal Data'!AO2:AO501,'Federal Data'!$G2:$G501,"Other Foreign Affairs",'Federal Data'!$D2:$D501,"Nongrant")</f>
        <v>5301000</v>
      </c>
      <c r="AE52">
        <f>SUMIFS('Federal Data'!AP2:AP501,'Federal Data'!$G2:$G501,"Other Foreign Affairs",'Federal Data'!$D2:$D501,"Nongrant")</f>
        <v>9190000</v>
      </c>
      <c r="AF52">
        <f>SUMIFS('Federal Data'!AQ2:AQ501,'Federal Data'!$G2:$G501,"Other Foreign Affairs",'Federal Data'!$D2:$D501,"Nongrant")</f>
        <v>14833000</v>
      </c>
      <c r="AG52">
        <f>SUMIFS('Federal Data'!AR2:AR501,'Federal Data'!$G2:$G501,"Other Foreign Affairs",'Federal Data'!$D2:$D501,"Nongrant")</f>
        <v>12371000</v>
      </c>
      <c r="AH52">
        <f>SUMIFS('Federal Data'!AS2:AS501,'Federal Data'!$G2:$G501,"Other Foreign Affairs",'Federal Data'!$D2:$D501,"Nongrant")</f>
        <v>13822000</v>
      </c>
      <c r="AI52">
        <f>SUMIFS('Federal Data'!AT2:AT501,'Federal Data'!$G2:$G501,"Other Foreign Affairs",'Federal Data'!$D2:$D501,"Nongrant")</f>
        <v>13703000</v>
      </c>
      <c r="AJ52">
        <f>SUMIFS('Federal Data'!AU2:AU501,'Federal Data'!$G2:$G501,"Other Foreign Affairs",'Federal Data'!$D2:$D501,"Nongrant")</f>
        <v>11817000</v>
      </c>
      <c r="AK52">
        <f>SUMIFS('Federal Data'!AV2:AV501,'Federal Data'!$G2:$G501,"Other Foreign Affairs",'Federal Data'!$D2:$D501,"Nongrant")</f>
        <v>11509000</v>
      </c>
    </row>
    <row r="53" spans="1:37">
      <c r="A53" s="4" t="s">
        <v>301</v>
      </c>
      <c r="B53">
        <f>SUMIFS('Federal Data'!M2:M501,'Federal Data'!$F2:$F501,"Immigration and Border Security",'Federal Data'!$D2:$D501,"Nongrant")</f>
        <v>876553</v>
      </c>
      <c r="C53">
        <f>SUMIFS('Federal Data'!N2:N501,'Federal Data'!$F2:$F501,"Immigration and Border Security",'Federal Data'!$D2:$D501,"Nongrant")</f>
        <v>959995</v>
      </c>
      <c r="D53">
        <f>SUMIFS('Federal Data'!O2:O501,'Federal Data'!$F2:$F501,"Immigration and Border Security",'Federal Data'!$D2:$D501,"Nongrant")</f>
        <v>1007536</v>
      </c>
      <c r="E53">
        <f>SUMIFS('Federal Data'!P2:P501,'Federal Data'!$F2:$F501,"Immigration and Border Security",'Federal Data'!$D2:$D501,"Nongrant")</f>
        <v>1132504</v>
      </c>
      <c r="F53">
        <f>SUMIFS('Federal Data'!Q2:Q501,'Federal Data'!$F2:$F501,"Immigration and Border Security",'Federal Data'!$D2:$D501,"Nongrant")</f>
        <v>1208786</v>
      </c>
      <c r="G53">
        <f>SUMIFS('Federal Data'!R2:R501,'Federal Data'!$F2:$F501,"Immigration and Border Security",'Federal Data'!$D2:$D501,"Nongrant")</f>
        <v>1297626</v>
      </c>
      <c r="H53">
        <f>SUMIFS('Federal Data'!S2:S501,'Federal Data'!$F2:$F501,"Immigration and Border Security",'Federal Data'!$D2:$D501,"Nongrant")</f>
        <v>1378830</v>
      </c>
      <c r="I53">
        <f>SUMIFS('Federal Data'!T2:T501,'Federal Data'!$F2:$F501,"Immigration and Border Security",'Federal Data'!$D2:$D501,"Nongrant")</f>
        <v>1708406</v>
      </c>
      <c r="J53">
        <f>SUMIFS('Federal Data'!U2:U501,'Federal Data'!$F2:$F501,"Immigration and Border Security",'Federal Data'!$D2:$D501,"Nongrant")</f>
        <v>2265790</v>
      </c>
      <c r="K53">
        <f>SUMIFS('Federal Data'!V2:V501,'Federal Data'!$F2:$F501,"Immigration and Border Security",'Federal Data'!$D2:$D501,"Nongrant")</f>
        <v>1690742</v>
      </c>
      <c r="L53">
        <f>SUMIFS('Federal Data'!W2:W501,'Federal Data'!$F2:$F501,"Immigration and Border Security",'Federal Data'!$D2:$D501,"Nongrant")</f>
        <v>1362933</v>
      </c>
      <c r="M53">
        <f>SUMIFS('Federal Data'!X2:X501,'Federal Data'!$F2:$F501,"Immigration and Border Security",'Federal Data'!$D2:$D501,"Nongrant")</f>
        <v>1742967</v>
      </c>
      <c r="N53">
        <f>SUMIFS('Federal Data'!Y2:Y501,'Federal Data'!$F2:$F501,"Immigration and Border Security",'Federal Data'!$D2:$D501,"Nongrant")</f>
        <v>1946267</v>
      </c>
      <c r="O53">
        <f>SUMIFS('Federal Data'!Z2:Z501,'Federal Data'!$F2:$F501,"Immigration and Border Security",'Federal Data'!$D2:$D501,"Nongrant")</f>
        <v>2009525</v>
      </c>
      <c r="P53">
        <f>SUMIFS('Federal Data'!AA2:AA501,'Federal Data'!$F2:$F501,"Immigration and Border Security",'Federal Data'!$D2:$D501,"Nongrant")</f>
        <v>1956440</v>
      </c>
      <c r="Q53">
        <f>SUMIFS('Federal Data'!AB2:AB501,'Federal Data'!$F2:$F501,"Immigration and Border Security",'Federal Data'!$D2:$D501,"Nongrant")</f>
        <v>1665000</v>
      </c>
      <c r="R53">
        <f>SUMIFS('Federal Data'!AC2:AC501,'Federal Data'!$F2:$F501,"Immigration and Border Security",'Federal Data'!$D2:$D501,"Nongrant")</f>
        <v>1979000</v>
      </c>
      <c r="S53">
        <f>SUMIFS('Federal Data'!AD2:AD501,'Federal Data'!$F2:$F501,"Immigration and Border Security",'Federal Data'!$D2:$D501,"Nongrant")</f>
        <v>2317000</v>
      </c>
      <c r="T53">
        <f>SUMIFS('Federal Data'!AE2:AE501,'Federal Data'!$F2:$F501,"Immigration and Border Security",'Federal Data'!$D2:$D501,"Nongrant")</f>
        <v>3381000</v>
      </c>
      <c r="U53">
        <f>SUMIFS('Federal Data'!AF2:AF501,'Federal Data'!$F2:$F501,"Immigration and Border Security",'Federal Data'!$D2:$D501,"Nongrant")</f>
        <v>3622000</v>
      </c>
      <c r="V53">
        <f>SUMIFS('Federal Data'!AG2:AG501,'Federal Data'!$F2:$F501,"Immigration and Border Security",'Federal Data'!$D2:$D501,"Nongrant")</f>
        <v>3897000</v>
      </c>
      <c r="W53">
        <f>SUMIFS('Federal Data'!AH2:AH501,'Federal Data'!$F2:$F501,"Immigration and Border Security",'Federal Data'!$D2:$D501,"Nongrant")</f>
        <v>3960000</v>
      </c>
      <c r="X53">
        <f>SUMIFS('Federal Data'!AI2:AI501,'Federal Data'!$F2:$F501,"Immigration and Border Security",'Federal Data'!$D2:$D501,"Nongrant")</f>
        <v>5722000</v>
      </c>
      <c r="Y53">
        <f>SUMIFS('Federal Data'!AJ2:AJ501,'Federal Data'!$F2:$F501,"Immigration and Border Security",'Federal Data'!$D2:$D501,"Nongrant")</f>
        <v>5643000</v>
      </c>
      <c r="Z53">
        <f>SUMIFS('Federal Data'!AK2:AK501,'Federal Data'!$F2:$F501,"Immigration and Border Security",'Federal Data'!$D2:$D501,"Nongrant")</f>
        <v>6874000</v>
      </c>
      <c r="AA53">
        <f>SUMIFS('Federal Data'!AL2:AL501,'Federal Data'!$F2:$F501,"Immigration and Border Security",'Federal Data'!$D2:$D501,"Nongrant")</f>
        <v>6973000</v>
      </c>
      <c r="AB53">
        <f>SUMIFS('Federal Data'!AM2:AM501,'Federal Data'!$F2:$F501,"Immigration and Border Security",'Federal Data'!$D2:$D501,"Nongrant")</f>
        <v>7644000</v>
      </c>
      <c r="AC53">
        <f>SUMIFS('Federal Data'!AN2:AN501,'Federal Data'!$F2:$F501,"Immigration and Border Security",'Federal Data'!$D2:$D501,"Nongrant")</f>
        <v>8664000</v>
      </c>
      <c r="AD53">
        <f>SUMIFS('Federal Data'!AO2:AO501,'Federal Data'!$F2:$F501,"Immigration and Border Security",'Federal Data'!$D2:$D501,"Nongrant")</f>
        <v>11270000</v>
      </c>
      <c r="AE53">
        <f>SUMIFS('Federal Data'!AP2:AP501,'Federal Data'!$F2:$F501,"Immigration and Border Security",'Federal Data'!$D2:$D501,"Nongrant")</f>
        <v>15299000</v>
      </c>
      <c r="AF53">
        <f>SUMIFS('Federal Data'!AQ2:AQ501,'Federal Data'!$F2:$F501,"Immigration and Border Security",'Federal Data'!$D2:$D501,"Nongrant")</f>
        <v>14427000</v>
      </c>
      <c r="AG53">
        <f>SUMIFS('Federal Data'!AR2:AR501,'Federal Data'!$F2:$F501,"Immigration and Border Security",'Federal Data'!$D2:$D501,"Nongrant")</f>
        <v>14588000</v>
      </c>
      <c r="AH53">
        <f>SUMIFS('Federal Data'!AS2:AS501,'Federal Data'!$F2:$F501,"Immigration and Border Security",'Federal Data'!$D2:$D501,"Nongrant")</f>
        <v>14520000</v>
      </c>
      <c r="AI53">
        <f>SUMIFS('Federal Data'!AT2:AT501,'Federal Data'!$F2:$F501,"Immigration and Border Security",'Federal Data'!$D2:$D501,"Nongrant")</f>
        <v>13824000</v>
      </c>
      <c r="AJ53">
        <f>SUMIFS('Federal Data'!AU2:AU501,'Federal Data'!$F2:$F501,"Immigration and Border Security",'Federal Data'!$D2:$D501,"Nongrant")</f>
        <v>13382000</v>
      </c>
      <c r="AK53">
        <f>SUMIFS('Federal Data'!AV2:AV501,'Federal Data'!$F2:$F501,"Immigration and Border Security",'Federal Data'!$D2:$D501,"Nongrant")</f>
        <v>13853000</v>
      </c>
    </row>
    <row r="54" spans="1:37">
      <c r="A54" s="3" t="s">
        <v>36</v>
      </c>
      <c r="B54">
        <f>SUMIFS('Federal Data'!M2:M501,'Federal Data'!$E2:$E501,"General Welfare",'Federal Data'!$D2:$D501,"Nongrant")</f>
        <v>67351640</v>
      </c>
      <c r="C54">
        <f>SUMIFS('Federal Data'!N2:N501,'Federal Data'!$E2:$E501,"General Welfare",'Federal Data'!$D2:$D501,"Nongrant")</f>
        <v>74421456</v>
      </c>
      <c r="D54">
        <f>SUMIFS('Federal Data'!O2:O501,'Federal Data'!$E2:$E501,"General Welfare",'Federal Data'!$D2:$D501,"Nongrant")</f>
        <v>75012268</v>
      </c>
      <c r="E54">
        <f>SUMIFS('Federal Data'!P2:P501,'Federal Data'!$E2:$E501,"General Welfare",'Federal Data'!$D2:$D501,"Nongrant")</f>
        <v>87362985</v>
      </c>
      <c r="F54">
        <f>SUMIFS('Federal Data'!Q2:Q501,'Federal Data'!$E2:$E501,"General Welfare",'Federal Data'!$D2:$D501,"Nongrant")</f>
        <v>76310295</v>
      </c>
      <c r="G54">
        <f>SUMIFS('Federal Data'!R2:R501,'Federal Data'!$E2:$E501,"General Welfare",'Federal Data'!$D2:$D501,"Nongrant")</f>
        <v>90002748</v>
      </c>
      <c r="H54">
        <f>SUMIFS('Federal Data'!S2:S501,'Federal Data'!$E2:$E501,"General Welfare",'Federal Data'!$D2:$D501,"Nongrant")</f>
        <v>81965836</v>
      </c>
      <c r="I54">
        <f>SUMIFS('Federal Data'!T2:T501,'Federal Data'!$E2:$E501,"General Welfare",'Federal Data'!$D2:$D501,"Nongrant")</f>
        <v>83331890</v>
      </c>
      <c r="J54">
        <f>SUMIFS('Federal Data'!U2:U501,'Federal Data'!$E2:$E501,"General Welfare",'Federal Data'!$D2:$D501,"Nongrant")</f>
        <v>96173503</v>
      </c>
      <c r="K54">
        <f>SUMIFS('Federal Data'!V2:V501,'Federal Data'!$E2:$E501,"General Welfare",'Federal Data'!$D2:$D501,"Nongrant")</f>
        <v>113679381</v>
      </c>
      <c r="L54">
        <f>SUMIFS('Federal Data'!W2:W501,'Federal Data'!$E2:$E501,"General Welfare",'Federal Data'!$D2:$D501,"Nongrant")</f>
        <v>163424096</v>
      </c>
      <c r="M54">
        <f>SUMIFS('Federal Data'!X2:X501,'Federal Data'!$E2:$E501,"General Welfare",'Federal Data'!$D2:$D501,"Nongrant")</f>
        <v>190186330</v>
      </c>
      <c r="N54">
        <f>SUMIFS('Federal Data'!Y2:Y501,'Federal Data'!$E2:$E501,"General Welfare",'Federal Data'!$D2:$D501,"Nongrant")</f>
        <v>150376604</v>
      </c>
      <c r="O54">
        <f>SUMIFS('Federal Data'!Z2:Z501,'Federal Data'!$E2:$E501,"General Welfare",'Federal Data'!$D2:$D501,"Nongrant")</f>
        <v>129604221</v>
      </c>
      <c r="P54">
        <f>SUMIFS('Federal Data'!AA2:AA501,'Federal Data'!$E2:$E501,"General Welfare",'Federal Data'!$D2:$D501,"Nongrant")</f>
        <v>147899044</v>
      </c>
      <c r="Q54">
        <f>SUMIFS('Federal Data'!AB2:AB501,'Federal Data'!$E2:$E501,"General Welfare",'Federal Data'!$D2:$D501,"Nongrant")</f>
        <v>134901000</v>
      </c>
      <c r="R54">
        <f>SUMIFS('Federal Data'!AC2:AC501,'Federal Data'!$E2:$E501,"General Welfare",'Federal Data'!$D2:$D501,"Nongrant")</f>
        <v>150325000</v>
      </c>
      <c r="S54">
        <f>SUMIFS('Federal Data'!AD2:AD501,'Federal Data'!$E2:$E501,"General Welfare",'Federal Data'!$D2:$D501,"Nongrant")</f>
        <v>149733000</v>
      </c>
      <c r="T54">
        <f>SUMIFS('Federal Data'!AE2:AE501,'Federal Data'!$E2:$E501,"General Welfare",'Federal Data'!$D2:$D501,"Nongrant")</f>
        <v>164736000</v>
      </c>
      <c r="U54">
        <f>SUMIFS('Federal Data'!AF2:AF501,'Federal Data'!$E2:$E501,"General Welfare",'Federal Data'!$D2:$D501,"Nongrant")</f>
        <v>163432000</v>
      </c>
      <c r="V54">
        <f>SUMIFS('Federal Data'!AG2:AG501,'Federal Data'!$E2:$E501,"General Welfare",'Federal Data'!$D2:$D501,"Nongrant")</f>
        <v>178009000</v>
      </c>
      <c r="W54">
        <f>SUMIFS('Federal Data'!AH2:AH501,'Federal Data'!$E2:$E501,"General Welfare",'Federal Data'!$D2:$D501,"Nongrant")</f>
        <v>191201000</v>
      </c>
      <c r="X54">
        <f>SUMIFS('Federal Data'!AI2:AI501,'Federal Data'!$E2:$E501,"General Welfare",'Federal Data'!$D2:$D501,"Nongrant")</f>
        <v>237246000</v>
      </c>
      <c r="Y54">
        <f>SUMIFS('Federal Data'!AJ2:AJ501,'Federal Data'!$E2:$E501,"General Welfare",'Federal Data'!$D2:$D501,"Nongrant")</f>
        <v>260324000</v>
      </c>
      <c r="Z54">
        <f>SUMIFS('Federal Data'!AK2:AK501,'Federal Data'!$E2:$E501,"General Welfare",'Federal Data'!$D2:$D501,"Nongrant")</f>
        <v>256950000</v>
      </c>
      <c r="AA54">
        <f>SUMIFS('Federal Data'!AL2:AL501,'Federal Data'!$E2:$E501,"General Welfare",'Federal Data'!$D2:$D501,"Nongrant")</f>
        <v>269602000</v>
      </c>
      <c r="AB54">
        <f>SUMIFS('Federal Data'!AM2:AM501,'Federal Data'!$E2:$E501,"General Welfare",'Federal Data'!$D2:$D501,"Nongrant")</f>
        <v>272157000</v>
      </c>
      <c r="AC54">
        <f>SUMIFS('Federal Data'!AN2:AN501,'Federal Data'!$E2:$E501,"General Welfare",'Federal Data'!$D2:$D501,"Nongrant")</f>
        <v>286426000</v>
      </c>
      <c r="AD54">
        <f>SUMIFS('Federal Data'!AO2:AO501,'Federal Data'!$E2:$E501,"General Welfare",'Federal Data'!$D2:$D501,"Nongrant")</f>
        <v>368400000</v>
      </c>
      <c r="AE54">
        <f>SUMIFS('Federal Data'!AP2:AP501,'Federal Data'!$E2:$E501,"General Welfare",'Federal Data'!$D2:$D501,"Nongrant")</f>
        <v>623420000</v>
      </c>
      <c r="AF54">
        <f>SUMIFS('Federal Data'!AQ2:AQ501,'Federal Data'!$E2:$E501,"General Welfare",'Federal Data'!$D2:$D501,"Nongrant")</f>
        <v>425489000</v>
      </c>
      <c r="AG54">
        <f>SUMIFS('Federal Data'!AR2:AR501,'Federal Data'!$E2:$E501,"General Welfare",'Federal Data'!$D2:$D501,"Nongrant")</f>
        <v>491275000</v>
      </c>
      <c r="AH54">
        <f>SUMIFS('Federal Data'!AS2:AS501,'Federal Data'!$E2:$E501,"General Welfare",'Federal Data'!$D2:$D501,"Nongrant")</f>
        <v>516115000</v>
      </c>
      <c r="AI54">
        <f>SUMIFS('Federal Data'!AT2:AT501,'Federal Data'!$E2:$E501,"General Welfare",'Federal Data'!$D2:$D501,"Nongrant")</f>
        <v>451528000</v>
      </c>
      <c r="AJ54">
        <f>SUMIFS('Federal Data'!AU2:AU501,'Federal Data'!$E2:$E501,"General Welfare",'Federal Data'!$D2:$D501,"Nongrant")</f>
        <v>419578000</v>
      </c>
      <c r="AK54">
        <f>SUMIFS('Federal Data'!AV2:AV501,'Federal Data'!$E2:$E501,"General Welfare",'Federal Data'!$D2:$D501,"Nongrant")</f>
        <v>440486000</v>
      </c>
    </row>
    <row r="55" spans="1:37">
      <c r="A55" s="4" t="s">
        <v>302</v>
      </c>
      <c r="B55">
        <f>SUMIFS('Federal Data'!M2:M501,'Federal Data'!$F2:$F501,"Economic Growth, GDP, and Jobs",'Federal Data'!$D2:$D501,"Nongrant")</f>
        <v>20413150</v>
      </c>
      <c r="C55">
        <f>SUMIFS('Federal Data'!N2:N501,'Federal Data'!$F2:$F501,"Economic Growth, GDP, and Jobs",'Federal Data'!$D2:$D501,"Nongrant")</f>
        <v>21262745</v>
      </c>
      <c r="D55">
        <f>SUMIFS('Federal Data'!O2:O501,'Federal Data'!$F2:$F501,"Economic Growth, GDP, and Jobs",'Federal Data'!$D2:$D501,"Nongrant")</f>
        <v>18693379</v>
      </c>
      <c r="E55">
        <f>SUMIFS('Federal Data'!P2:P501,'Federal Data'!$F2:$F501,"Economic Growth, GDP, and Jobs",'Federal Data'!$D2:$D501,"Nongrant")</f>
        <v>20082065</v>
      </c>
      <c r="F55">
        <f>SUMIFS('Federal Data'!Q2:Q501,'Federal Data'!$F2:$F501,"Economic Growth, GDP, and Jobs",'Federal Data'!$D2:$D501,"Nongrant")</f>
        <v>21882984</v>
      </c>
      <c r="G55">
        <f>SUMIFS('Federal Data'!R2:R501,'Federal Data'!$F2:$F501,"Economic Growth, GDP, and Jobs",'Federal Data'!$D2:$D501,"Nongrant")</f>
        <v>21096139</v>
      </c>
      <c r="H55">
        <f>SUMIFS('Federal Data'!S2:S501,'Federal Data'!$F2:$F501,"Economic Growth, GDP, and Jobs",'Federal Data'!$D2:$D501,"Nongrant")</f>
        <v>24832955</v>
      </c>
      <c r="I55">
        <f>SUMIFS('Federal Data'!T2:T501,'Federal Data'!$F2:$F501,"Economic Growth, GDP, and Jobs",'Federal Data'!$D2:$D501,"Nongrant")</f>
        <v>25834441</v>
      </c>
      <c r="J55">
        <f>SUMIFS('Federal Data'!U2:U501,'Federal Data'!$F2:$F501,"Economic Growth, GDP, and Jobs",'Federal Data'!$D2:$D501,"Nongrant")</f>
        <v>35283251</v>
      </c>
      <c r="K55">
        <f>SUMIFS('Federal Data'!V2:V501,'Federal Data'!$F2:$F501,"Economic Growth, GDP, and Jobs",'Federal Data'!$D2:$D501,"Nongrant")</f>
        <v>48099031</v>
      </c>
      <c r="L55">
        <f>SUMIFS('Federal Data'!W2:W501,'Federal Data'!$F2:$F501,"Economic Growth, GDP, and Jobs",'Federal Data'!$D2:$D501,"Nongrant")</f>
        <v>90634359</v>
      </c>
      <c r="M55">
        <f>SUMIFS('Federal Data'!X2:X501,'Federal Data'!$F2:$F501,"Economic Growth, GDP, and Jobs",'Federal Data'!$D2:$D501,"Nongrant")</f>
        <v>100426106</v>
      </c>
      <c r="N55">
        <f>SUMIFS('Federal Data'!Y2:Y501,'Federal Data'!$F2:$F501,"Economic Growth, GDP, and Jobs",'Federal Data'!$D2:$D501,"Nongrant")</f>
        <v>37485724</v>
      </c>
      <c r="O55">
        <f>SUMIFS('Federal Data'!Z2:Z501,'Federal Data'!$F2:$F501,"Economic Growth, GDP, and Jobs",'Federal Data'!$D2:$D501,"Nongrant")</f>
        <v>8622975</v>
      </c>
      <c r="P55">
        <f>SUMIFS('Federal Data'!AA2:AA501,'Federal Data'!$F2:$F501,"Economic Growth, GDP, and Jobs",'Federal Data'!$D2:$D501,"Nongrant")</f>
        <v>28547475</v>
      </c>
      <c r="Q55">
        <f>SUMIFS('Federal Data'!AB2:AB501,'Federal Data'!$F2:$F501,"Economic Growth, GDP, and Jobs",'Federal Data'!$D2:$D501,"Nongrant")</f>
        <v>15094000</v>
      </c>
      <c r="R55">
        <f>SUMIFS('Federal Data'!AC2:AC501,'Federal Data'!$F2:$F501,"Economic Growth, GDP, and Jobs",'Federal Data'!$D2:$D501,"Nongrant")</f>
        <v>26550000</v>
      </c>
      <c r="S55">
        <f>SUMIFS('Federal Data'!AD2:AD501,'Federal Data'!$F2:$F501,"Economic Growth, GDP, and Jobs",'Federal Data'!$D2:$D501,"Nongrant")</f>
        <v>22177000</v>
      </c>
      <c r="T55">
        <f>SUMIFS('Federal Data'!AE2:AE501,'Federal Data'!$F2:$F501,"Economic Growth, GDP, and Jobs",'Federal Data'!$D2:$D501,"Nongrant")</f>
        <v>38326000</v>
      </c>
      <c r="U55">
        <f>SUMIFS('Federal Data'!AF2:AF501,'Federal Data'!$F2:$F501,"Economic Growth, GDP, and Jobs",'Federal Data'!$D2:$D501,"Nongrant")</f>
        <v>34855000</v>
      </c>
      <c r="V55">
        <f>SUMIFS('Federal Data'!AG2:AG501,'Federal Data'!$F2:$F501,"Economic Growth, GDP, and Jobs",'Federal Data'!$D2:$D501,"Nongrant")</f>
        <v>40839000</v>
      </c>
      <c r="W55">
        <f>SUMIFS('Federal Data'!AH2:AH501,'Federal Data'!$F2:$F501,"Economic Growth, GDP, and Jobs",'Federal Data'!$D2:$D501,"Nongrant")</f>
        <v>45018000</v>
      </c>
      <c r="X55">
        <f>SUMIFS('Federal Data'!AI2:AI501,'Federal Data'!$F2:$F501,"Economic Growth, GDP, and Jobs",'Federal Data'!$D2:$D501,"Nongrant")</f>
        <v>49108000</v>
      </c>
      <c r="Y55">
        <f>SUMIFS('Federal Data'!AJ2:AJ501,'Federal Data'!$F2:$F501,"Economic Growth, GDP, and Jobs",'Federal Data'!$D2:$D501,"Nongrant")</f>
        <v>53307000</v>
      </c>
      <c r="Z55">
        <f>SUMIFS('Federal Data'!AK2:AK501,'Federal Data'!$F2:$F501,"Economic Growth, GDP, and Jobs",'Federal Data'!$D2:$D501,"Nongrant")</f>
        <v>49884000</v>
      </c>
      <c r="AA55">
        <f>SUMIFS('Federal Data'!AL2:AL501,'Federal Data'!$F2:$F501,"Economic Growth, GDP, and Jobs",'Federal Data'!$D2:$D501,"Nongrant")</f>
        <v>58318000</v>
      </c>
      <c r="AB55">
        <f>SUMIFS('Federal Data'!AM2:AM501,'Federal Data'!$F2:$F501,"Economic Growth, GDP, and Jobs",'Federal Data'!$D2:$D501,"Nongrant")</f>
        <v>55643000</v>
      </c>
      <c r="AC55">
        <f>SUMIFS('Federal Data'!AN2:AN501,'Federal Data'!$F2:$F501,"Economic Growth, GDP, and Jobs",'Federal Data'!$D2:$D501,"Nongrant")</f>
        <v>64451000</v>
      </c>
      <c r="AD55">
        <f>SUMIFS('Federal Data'!AO2:AO501,'Federal Data'!$F2:$F501,"Economic Growth, GDP, and Jobs",'Federal Data'!$D2:$D501,"Nongrant")</f>
        <v>87505000</v>
      </c>
      <c r="AE55">
        <f>SUMIFS('Federal Data'!AP2:AP501,'Federal Data'!$F2:$F501,"Economic Growth, GDP, and Jobs",'Federal Data'!$D2:$D501,"Nongrant")</f>
        <v>247820000</v>
      </c>
      <c r="AF55">
        <f>SUMIFS('Federal Data'!AQ2:AQ501,'Federal Data'!$F2:$F501,"Economic Growth, GDP, and Jobs",'Federal Data'!$D2:$D501,"Nongrant")</f>
        <v>-51500000</v>
      </c>
      <c r="AG55">
        <f>SUMIFS('Federal Data'!AR2:AR501,'Federal Data'!$F2:$F501,"Economic Growth, GDP, and Jobs",'Federal Data'!$D2:$D501,"Nongrant")</f>
        <v>36073000</v>
      </c>
      <c r="AH55">
        <f>SUMIFS('Federal Data'!AS2:AS501,'Federal Data'!$F2:$F501,"Economic Growth, GDP, and Jobs",'Federal Data'!$D2:$D501,"Nongrant")</f>
        <v>111134000</v>
      </c>
      <c r="AI55">
        <f>SUMIFS('Federal Data'!AT2:AT501,'Federal Data'!$F2:$F501,"Economic Growth, GDP, and Jobs",'Federal Data'!$D2:$D501,"Nongrant")</f>
        <v>62715000</v>
      </c>
      <c r="AJ55">
        <f>SUMIFS('Federal Data'!AU2:AU501,'Federal Data'!$F2:$F501,"Economic Growth, GDP, and Jobs",'Federal Data'!$D2:$D501,"Nongrant")</f>
        <v>47809000</v>
      </c>
      <c r="AK55">
        <f>SUMIFS('Federal Data'!AV2:AV501,'Federal Data'!$F2:$F501,"Economic Growth, GDP, and Jobs",'Federal Data'!$D2:$D501,"Nongrant")</f>
        <v>56725000</v>
      </c>
    </row>
    <row r="56" spans="1:37">
      <c r="A56" s="5" t="s">
        <v>251</v>
      </c>
      <c r="B56">
        <f>SUMIFS('Federal Data'!M2:M501,'Federal Data'!$G2:$G501,"Transportation",'Federal Data'!$D2:$D501,"Nongrant")</f>
        <v>8307648</v>
      </c>
      <c r="C56">
        <f>SUMIFS('Federal Data'!N2:N501,'Federal Data'!$G2:$G501,"Transportation",'Federal Data'!$D2:$D501,"Nongrant")</f>
        <v>9974674</v>
      </c>
      <c r="D56">
        <f>SUMIFS('Federal Data'!O2:O501,'Federal Data'!$G2:$G501,"Transportation",'Federal Data'!$D2:$D501,"Nongrant")</f>
        <v>8514466</v>
      </c>
      <c r="E56">
        <f>SUMIFS('Federal Data'!P2:P501,'Federal Data'!$G2:$G501,"Transportation",'Federal Data'!$D2:$D501,"Nongrant")</f>
        <v>8133806</v>
      </c>
      <c r="F56">
        <f>SUMIFS('Federal Data'!Q2:Q501,'Federal Data'!$G2:$G501,"Transportation",'Federal Data'!$D2:$D501,"Nongrant")</f>
        <v>8680831</v>
      </c>
      <c r="G56">
        <f>SUMIFS('Federal Data'!R2:R501,'Federal Data'!$G2:$G501,"Transportation",'Federal Data'!$D2:$D501,"Nongrant")</f>
        <v>8828616</v>
      </c>
      <c r="H56">
        <f>SUMIFS('Federal Data'!S2:S501,'Federal Data'!$G2:$G501,"Transportation",'Federal Data'!$D2:$D501,"Nongrant")</f>
        <v>9795045</v>
      </c>
      <c r="I56">
        <f>SUMIFS('Federal Data'!T2:T501,'Federal Data'!$G2:$G501,"Transportation",'Federal Data'!$D2:$D501,"Nongrant")</f>
        <v>9348928</v>
      </c>
      <c r="J56">
        <f>SUMIFS('Federal Data'!U2:U501,'Federal Data'!$G2:$G501,"Transportation",'Federal Data'!$D2:$D501,"Nongrant")</f>
        <v>9229093</v>
      </c>
      <c r="K56">
        <f>SUMIFS('Federal Data'!V2:V501,'Federal Data'!$G2:$G501,"Transportation",'Federal Data'!$D2:$D501,"Nongrant")</f>
        <v>9432107</v>
      </c>
      <c r="L56">
        <f>SUMIFS('Federal Data'!W2:W501,'Federal Data'!$G2:$G501,"Transportation",'Federal Data'!$D2:$D501,"Nongrant")</f>
        <v>10311233</v>
      </c>
      <c r="M56">
        <f>SUMIFS('Federal Data'!X2:X501,'Federal Data'!$G2:$G501,"Transportation",'Federal Data'!$D2:$D501,"Nongrant")</f>
        <v>11273149</v>
      </c>
      <c r="N56">
        <f>SUMIFS('Federal Data'!Y2:Y501,'Federal Data'!$G2:$G501,"Transportation",'Federal Data'!$D2:$D501,"Nongrant")</f>
        <v>12775853</v>
      </c>
      <c r="O56">
        <f>SUMIFS('Federal Data'!Z2:Z501,'Federal Data'!$G2:$G501,"Transportation",'Federal Data'!$D2:$D501,"Nongrant")</f>
        <v>12712851</v>
      </c>
      <c r="P56">
        <f>SUMIFS('Federal Data'!AA2:AA501,'Federal Data'!$G2:$G501,"Transportation",'Federal Data'!$D2:$D501,"Nongrant")</f>
        <v>14432988</v>
      </c>
      <c r="Q56">
        <f>SUMIFS('Federal Data'!AB2:AB501,'Federal Data'!$G2:$G501,"Transportation",'Federal Data'!$D2:$D501,"Nongrant")</f>
        <v>13563000</v>
      </c>
      <c r="R56">
        <f>SUMIFS('Federal Data'!AC2:AC501,'Federal Data'!$G2:$G501,"Transportation",'Federal Data'!$D2:$D501,"Nongrant")</f>
        <v>13608000</v>
      </c>
      <c r="S56">
        <f>SUMIFS('Federal Data'!AD2:AD501,'Federal Data'!$G2:$G501,"Transportation",'Federal Data'!$D2:$D501,"Nongrant")</f>
        <v>13921000</v>
      </c>
      <c r="T56">
        <f>SUMIFS('Federal Data'!AE2:AE501,'Federal Data'!$G2:$G501,"Transportation",'Federal Data'!$D2:$D501,"Nongrant")</f>
        <v>14199000</v>
      </c>
      <c r="U56">
        <f>SUMIFS('Federal Data'!AF2:AF501,'Federal Data'!$G2:$G501,"Transportation",'Federal Data'!$D2:$D501,"Nongrant")</f>
        <v>13628000</v>
      </c>
      <c r="V56">
        <f>SUMIFS('Federal Data'!AG2:AG501,'Federal Data'!$G2:$G501,"Transportation",'Federal Data'!$D2:$D501,"Nongrant")</f>
        <v>14631000</v>
      </c>
      <c r="W56">
        <f>SUMIFS('Federal Data'!AH2:AH501,'Federal Data'!$G2:$G501,"Transportation",'Federal Data'!$D2:$D501,"Nongrant")</f>
        <v>17800000</v>
      </c>
      <c r="X56">
        <f>SUMIFS('Federal Data'!AI2:AI501,'Federal Data'!$G2:$G501,"Transportation",'Federal Data'!$D2:$D501,"Nongrant")</f>
        <v>20829000</v>
      </c>
      <c r="Y56">
        <f>SUMIFS('Federal Data'!AJ2:AJ501,'Federal Data'!$G2:$G501,"Transportation",'Federal Data'!$D2:$D501,"Nongrant")</f>
        <v>26034000</v>
      </c>
      <c r="Z56">
        <f>SUMIFS('Federal Data'!AK2:AK501,'Federal Data'!$G2:$G501,"Transportation",'Federal Data'!$D2:$D501,"Nongrant")</f>
        <v>23146000</v>
      </c>
      <c r="AA56">
        <f>SUMIFS('Federal Data'!AL2:AL501,'Federal Data'!$G2:$G501,"Transportation",'Federal Data'!$D2:$D501,"Nongrant")</f>
        <v>24520000</v>
      </c>
      <c r="AB56">
        <f>SUMIFS('Federal Data'!AM2:AM501,'Federal Data'!$G2:$G501,"Transportation",'Federal Data'!$D2:$D501,"Nongrant")</f>
        <v>23558000</v>
      </c>
      <c r="AC56">
        <f>SUMIFS('Federal Data'!AN2:AN501,'Federal Data'!$G2:$G501,"Transportation",'Federal Data'!$D2:$D501,"Nongrant")</f>
        <v>24959000</v>
      </c>
      <c r="AD56">
        <f>SUMIFS('Federal Data'!AO2:AO501,'Federal Data'!$G2:$G501,"Transportation",'Federal Data'!$D2:$D501,"Nongrant")</f>
        <v>26400000</v>
      </c>
      <c r="AE56">
        <f>SUMIFS('Federal Data'!AP2:AP501,'Federal Data'!$G2:$G501,"Transportation",'Federal Data'!$D2:$D501,"Nongrant")</f>
        <v>28851000</v>
      </c>
      <c r="AF56">
        <f>SUMIFS('Federal Data'!AQ2:AQ501,'Federal Data'!$G2:$G501,"Transportation",'Federal Data'!$D2:$D501,"Nongrant")</f>
        <v>30991000</v>
      </c>
      <c r="AG56">
        <f>SUMIFS('Federal Data'!AR2:AR501,'Federal Data'!$G2:$G501,"Transportation",'Federal Data'!$D2:$D501,"Nongrant")</f>
        <v>31980000</v>
      </c>
      <c r="AH56">
        <f>SUMIFS('Federal Data'!AS2:AS501,'Federal Data'!$G2:$G501,"Transportation",'Federal Data'!$D2:$D501,"Nongrant")</f>
        <v>32270000</v>
      </c>
      <c r="AI56">
        <f>SUMIFS('Federal Data'!AT2:AT501,'Federal Data'!$G2:$G501,"Transportation",'Federal Data'!$D2:$D501,"Nongrant")</f>
        <v>31155000</v>
      </c>
      <c r="AJ56">
        <f>SUMIFS('Federal Data'!AU2:AU501,'Federal Data'!$G2:$G501,"Transportation",'Federal Data'!$D2:$D501,"Nongrant")</f>
        <v>29678000</v>
      </c>
      <c r="AK56">
        <f>SUMIFS('Federal Data'!AV2:AV501,'Federal Data'!$G2:$G501,"Transportation",'Federal Data'!$D2:$D501,"Nongrant")</f>
        <v>28702000</v>
      </c>
    </row>
    <row r="57" spans="1:37">
      <c r="A57" s="6" t="s">
        <v>94</v>
      </c>
      <c r="B57">
        <f>SUMIFS('Federal Data'!M2:M501,'Federal Data'!$H2:$H501,"Air Transportation",'Federal Data'!$D2:$D501,"Nongrant")</f>
        <v>3132454</v>
      </c>
      <c r="C57">
        <f>SUMIFS('Federal Data'!N2:N501,'Federal Data'!$H2:$H501,"Air Transportation",'Federal Data'!$D2:$D501,"Nongrant")</f>
        <v>3344552</v>
      </c>
      <c r="D57">
        <f>SUMIFS('Federal Data'!O2:O501,'Federal Data'!$H2:$H501,"Air Transportation",'Federal Data'!$D2:$D501,"Nongrant")</f>
        <v>3187550</v>
      </c>
      <c r="E57">
        <f>SUMIFS('Federal Data'!P2:P501,'Federal Data'!$H2:$H501,"Air Transportation",'Federal Data'!$D2:$D501,"Nongrant")</f>
        <v>3547616</v>
      </c>
      <c r="F57">
        <f>SUMIFS('Federal Data'!Q2:Q501,'Federal Data'!$H2:$H501,"Air Transportation",'Federal Data'!$D2:$D501,"Nongrant")</f>
        <v>3721518</v>
      </c>
      <c r="G57">
        <f>SUMIFS('Federal Data'!R2:R501,'Federal Data'!$H2:$H501,"Air Transportation",'Federal Data'!$D2:$D501,"Nongrant")</f>
        <v>4106564</v>
      </c>
      <c r="H57">
        <f>SUMIFS('Federal Data'!S2:S501,'Federal Data'!$H2:$H501,"Air Transportation",'Federal Data'!$D2:$D501,"Nongrant")</f>
        <v>4433888</v>
      </c>
      <c r="I57">
        <f>SUMIFS('Federal Data'!T2:T501,'Federal Data'!$H2:$H501,"Air Transportation",'Federal Data'!$D2:$D501,"Nongrant")</f>
        <v>4602744</v>
      </c>
      <c r="J57">
        <f>SUMIFS('Federal Data'!U2:U501,'Federal Data'!$H2:$H501,"Air Transportation",'Federal Data'!$D2:$D501,"Nongrant")</f>
        <v>5071888</v>
      </c>
      <c r="K57">
        <f>SUMIFS('Federal Data'!V2:V501,'Federal Data'!$H2:$H501,"Air Transportation",'Federal Data'!$D2:$D501,"Nongrant")</f>
        <v>5487730</v>
      </c>
      <c r="L57">
        <f>SUMIFS('Federal Data'!W2:W501,'Federal Data'!$H2:$H501,"Air Transportation",'Federal Data'!$D2:$D501,"Nongrant")</f>
        <v>6013546</v>
      </c>
      <c r="M57">
        <f>SUMIFS('Federal Data'!X2:X501,'Federal Data'!$H2:$H501,"Air Transportation",'Federal Data'!$D2:$D501,"Nongrant")</f>
        <v>6643019</v>
      </c>
      <c r="N57">
        <f>SUMIFS('Federal Data'!Y2:Y501,'Federal Data'!$H2:$H501,"Air Transportation",'Federal Data'!$D2:$D501,"Nongrant")</f>
        <v>7640598</v>
      </c>
      <c r="O57">
        <f>SUMIFS('Federal Data'!Z2:Z501,'Federal Data'!$H2:$H501,"Air Transportation",'Federal Data'!$D2:$D501,"Nongrant")</f>
        <v>8117693</v>
      </c>
      <c r="P57">
        <f>SUMIFS('Federal Data'!AA2:AA501,'Federal Data'!$H2:$H501,"Air Transportation",'Federal Data'!$D2:$D501,"Nongrant")</f>
        <v>8526337</v>
      </c>
      <c r="Q57">
        <f>SUMIFS('Federal Data'!AB2:AB501,'Federal Data'!$H2:$H501,"Air Transportation",'Federal Data'!$D2:$D501,"Nongrant")</f>
        <v>8161000</v>
      </c>
      <c r="R57">
        <f>SUMIFS('Federal Data'!AC2:AC501,'Federal Data'!$H2:$H501,"Air Transportation",'Federal Data'!$D2:$D501,"Nongrant")</f>
        <v>8480000</v>
      </c>
      <c r="S57">
        <f>SUMIFS('Federal Data'!AD2:AD501,'Federal Data'!$H2:$H501,"Air Transportation",'Federal Data'!$D2:$D501,"Nongrant")</f>
        <v>8649000</v>
      </c>
      <c r="T57">
        <f>SUMIFS('Federal Data'!AE2:AE501,'Federal Data'!$H2:$H501,"Air Transportation",'Federal Data'!$D2:$D501,"Nongrant")</f>
        <v>9111000</v>
      </c>
      <c r="U57">
        <f>SUMIFS('Federal Data'!AF2:AF501,'Federal Data'!$H2:$H501,"Air Transportation",'Federal Data'!$D2:$D501,"Nongrant")</f>
        <v>9155000</v>
      </c>
      <c r="V57">
        <f>SUMIFS('Federal Data'!AG2:AG501,'Federal Data'!$H2:$H501,"Air Transportation",'Federal Data'!$D2:$D501,"Nongrant")</f>
        <v>8947000</v>
      </c>
      <c r="W57">
        <f>SUMIFS('Federal Data'!AH2:AH501,'Federal Data'!$H2:$H501,"Air Transportation",'Federal Data'!$D2:$D501,"Nongrant")</f>
        <v>11958000</v>
      </c>
      <c r="X57">
        <f>SUMIFS('Federal Data'!AI2:AI501,'Federal Data'!$H2:$H501,"Air Transportation",'Federal Data'!$D2:$D501,"Nongrant")</f>
        <v>13678000</v>
      </c>
      <c r="Y57">
        <f>SUMIFS('Federal Data'!AJ2:AJ501,'Federal Data'!$H2:$H501,"Air Transportation",'Federal Data'!$D2:$D501,"Nongrant")</f>
        <v>20662000</v>
      </c>
      <c r="Z57">
        <f>SUMIFS('Federal Data'!AK2:AK501,'Federal Data'!$H2:$H501,"Air Transportation",'Federal Data'!$D2:$D501,"Nongrant")</f>
        <v>13612000</v>
      </c>
      <c r="AA57">
        <f>SUMIFS('Federal Data'!AL2:AL501,'Federal Data'!$H2:$H501,"Air Transportation",'Federal Data'!$D2:$D501,"Nongrant")</f>
        <v>15277000</v>
      </c>
      <c r="AB57">
        <f>SUMIFS('Federal Data'!AM2:AM501,'Federal Data'!$H2:$H501,"Air Transportation",'Federal Data'!$D2:$D501,"Nongrant")</f>
        <v>14164000</v>
      </c>
      <c r="AC57">
        <f>SUMIFS('Federal Data'!AN2:AN501,'Federal Data'!$H2:$H501,"Air Transportation",'Federal Data'!$D2:$D501,"Nongrant")</f>
        <v>14222000</v>
      </c>
      <c r="AD57">
        <f>SUMIFS('Federal Data'!AO2:AO501,'Federal Data'!$H2:$H501,"Air Transportation",'Federal Data'!$D2:$D501,"Nongrant")</f>
        <v>15591000</v>
      </c>
      <c r="AE57">
        <f>SUMIFS('Federal Data'!AP2:AP501,'Federal Data'!$H2:$H501,"Air Transportation",'Federal Data'!$D2:$D501,"Nongrant")</f>
        <v>16861000</v>
      </c>
      <c r="AF57">
        <f>SUMIFS('Federal Data'!AQ2:AQ501,'Federal Data'!$H2:$H501,"Air Transportation",'Federal Data'!$D2:$D501,"Nongrant")</f>
        <v>17549000</v>
      </c>
      <c r="AG57">
        <f>SUMIFS('Federal Data'!AR2:AR501,'Federal Data'!$H2:$H501,"Air Transportation",'Federal Data'!$D2:$D501,"Nongrant")</f>
        <v>18094000</v>
      </c>
      <c r="AH57">
        <f>SUMIFS('Federal Data'!AS2:AS501,'Federal Data'!$H2:$H501,"Air Transportation",'Federal Data'!$D2:$D501,"Nongrant")</f>
        <v>18713000</v>
      </c>
      <c r="AI57">
        <f>SUMIFS('Federal Data'!AT2:AT501,'Federal Data'!$H2:$H501,"Air Transportation",'Federal Data'!$D2:$D501,"Nongrant")</f>
        <v>17945000</v>
      </c>
      <c r="AJ57">
        <f>SUMIFS('Federal Data'!AU2:AU501,'Federal Data'!$H2:$H501,"Air Transportation",'Federal Data'!$D2:$D501,"Nongrant")</f>
        <v>17823000</v>
      </c>
      <c r="AK57">
        <f>SUMIFS('Federal Data'!AV2:AV501,'Federal Data'!$H2:$H501,"Air Transportation",'Federal Data'!$D2:$D501,"Nongrant")</f>
        <v>17045000</v>
      </c>
    </row>
    <row r="58" spans="1:37">
      <c r="A58" s="6" t="s">
        <v>95</v>
      </c>
      <c r="B58">
        <f>SUMIFS('Federal Data'!M2:M501,'Federal Data'!$H2:$H501,"Highway Transportation",'Federal Data'!$D2:$D501,"Nongrant")</f>
        <v>314391</v>
      </c>
      <c r="C58">
        <f>SUMIFS('Federal Data'!N2:N501,'Federal Data'!$H2:$H501,"Highway Transportation",'Federal Data'!$D2:$D501,"Nongrant")</f>
        <v>297372</v>
      </c>
      <c r="D58">
        <f>SUMIFS('Federal Data'!O2:O501,'Federal Data'!$H2:$H501,"Highway Transportation",'Federal Data'!$D2:$D501,"Nongrant")</f>
        <v>299020</v>
      </c>
      <c r="E58">
        <f>SUMIFS('Federal Data'!P2:P501,'Federal Data'!$H2:$H501,"Highway Transportation",'Federal Data'!$D2:$D501,"Nongrant")</f>
        <v>235383</v>
      </c>
      <c r="F58">
        <f>SUMIFS('Federal Data'!Q2:Q501,'Federal Data'!$H2:$H501,"Highway Transportation",'Federal Data'!$D2:$D501,"Nongrant")</f>
        <v>238076</v>
      </c>
      <c r="G58">
        <f>SUMIFS('Federal Data'!R2:R501,'Federal Data'!$H2:$H501,"Highway Transportation",'Federal Data'!$D2:$D501,"Nongrant")</f>
        <v>240679</v>
      </c>
      <c r="H58">
        <f>SUMIFS('Federal Data'!S2:S501,'Federal Data'!$H2:$H501,"Highway Transportation",'Federal Data'!$D2:$D501,"Nongrant")</f>
        <v>286251</v>
      </c>
      <c r="I58">
        <f>SUMIFS('Federal Data'!T2:T501,'Federal Data'!$H2:$H501,"Highway Transportation",'Federal Data'!$D2:$D501,"Nongrant")</f>
        <v>299991</v>
      </c>
      <c r="J58">
        <f>SUMIFS('Federal Data'!U2:U501,'Federal Data'!$H2:$H501,"Highway Transportation",'Federal Data'!$D2:$D501,"Nongrant")</f>
        <v>286568</v>
      </c>
      <c r="K58">
        <f>SUMIFS('Federal Data'!V2:V501,'Federal Data'!$H2:$H501,"Highway Transportation",'Federal Data'!$D2:$D501,"Nongrant")</f>
        <v>215989</v>
      </c>
      <c r="L58">
        <f>SUMIFS('Federal Data'!W2:W501,'Federal Data'!$H2:$H501,"Highway Transportation",'Federal Data'!$D2:$D501,"Nongrant")</f>
        <v>371866</v>
      </c>
      <c r="M58">
        <f>SUMIFS('Federal Data'!X2:X501,'Federal Data'!$H2:$H501,"Highway Transportation",'Federal Data'!$D2:$D501,"Nongrant")</f>
        <v>386404</v>
      </c>
      <c r="N58">
        <f>SUMIFS('Federal Data'!Y2:Y501,'Federal Data'!$H2:$H501,"Highway Transportation",'Federal Data'!$D2:$D501,"Nongrant")</f>
        <v>495738</v>
      </c>
      <c r="O58">
        <f>SUMIFS('Federal Data'!Z2:Z501,'Federal Data'!$H2:$H501,"Highway Transportation",'Federal Data'!$D2:$D501,"Nongrant")</f>
        <v>505468</v>
      </c>
      <c r="P58">
        <f>SUMIFS('Federal Data'!AA2:AA501,'Federal Data'!$H2:$H501,"Highway Transportation",'Federal Data'!$D2:$D501,"Nongrant")</f>
        <v>663360</v>
      </c>
      <c r="Q58">
        <f>SUMIFS('Federal Data'!AB2:AB501,'Federal Data'!$H2:$H501,"Highway Transportation",'Federal Data'!$D2:$D501,"Nongrant")</f>
        <v>313000</v>
      </c>
      <c r="R58">
        <f>SUMIFS('Federal Data'!AC2:AC501,'Federal Data'!$H2:$H501,"Highway Transportation",'Federal Data'!$D2:$D501,"Nongrant")</f>
        <v>340000</v>
      </c>
      <c r="S58">
        <f>SUMIFS('Federal Data'!AD2:AD501,'Federal Data'!$H2:$H501,"Highway Transportation",'Federal Data'!$D2:$D501,"Nongrant")</f>
        <v>297000</v>
      </c>
      <c r="T58">
        <f>SUMIFS('Federal Data'!AE2:AE501,'Federal Data'!$H2:$H501,"Highway Transportation",'Federal Data'!$D2:$D501,"Nongrant")</f>
        <v>305000</v>
      </c>
      <c r="U58">
        <f>SUMIFS('Federal Data'!AF2:AF501,'Federal Data'!$H2:$H501,"Highway Transportation",'Federal Data'!$D2:$D501,"Nongrant")</f>
        <v>282000</v>
      </c>
      <c r="V58">
        <f>SUMIFS('Federal Data'!AG2:AG501,'Federal Data'!$H2:$H501,"Highway Transportation",'Federal Data'!$D2:$D501,"Nongrant")</f>
        <v>372000</v>
      </c>
      <c r="W58">
        <f>SUMIFS('Federal Data'!AH2:AH501,'Federal Data'!$H2:$H501,"Highway Transportation",'Federal Data'!$D2:$D501,"Nongrant")</f>
        <v>416000</v>
      </c>
      <c r="X58">
        <f>SUMIFS('Federal Data'!AI2:AI501,'Federal Data'!$H2:$H501,"Highway Transportation",'Federal Data'!$D2:$D501,"Nongrant")</f>
        <v>546000</v>
      </c>
      <c r="Y58">
        <f>SUMIFS('Federal Data'!AJ2:AJ501,'Federal Data'!$H2:$H501,"Highway Transportation",'Federal Data'!$D2:$D501,"Nongrant")</f>
        <v>488000</v>
      </c>
      <c r="Z58">
        <f>SUMIFS('Federal Data'!AK2:AK501,'Federal Data'!$H2:$H501,"Highway Transportation",'Federal Data'!$D2:$D501,"Nongrant")</f>
        <v>677000</v>
      </c>
      <c r="AA58">
        <f>SUMIFS('Federal Data'!AL2:AL501,'Federal Data'!$H2:$H501,"Highway Transportation",'Federal Data'!$D2:$D501,"Nongrant")</f>
        <v>841000</v>
      </c>
      <c r="AB58">
        <f>SUMIFS('Federal Data'!AM2:AM501,'Federal Data'!$H2:$H501,"Highway Transportation",'Federal Data'!$D2:$D501,"Nongrant")</f>
        <v>745000</v>
      </c>
      <c r="AC58">
        <f>SUMIFS('Federal Data'!AN2:AN501,'Federal Data'!$H2:$H501,"Highway Transportation",'Federal Data'!$D2:$D501,"Nongrant")</f>
        <v>1007000</v>
      </c>
      <c r="AD58">
        <f>SUMIFS('Federal Data'!AO2:AO501,'Federal Data'!$H2:$H501,"Highway Transportation",'Federal Data'!$D2:$D501,"Nongrant")</f>
        <v>832000</v>
      </c>
      <c r="AE58">
        <f>SUMIFS('Federal Data'!AP2:AP501,'Federal Data'!$H2:$H501,"Highway Transportation",'Federal Data'!$D2:$D501,"Nongrant")</f>
        <v>694000</v>
      </c>
      <c r="AF58">
        <f>SUMIFS('Federal Data'!AQ2:AQ501,'Federal Data'!$H2:$H501,"Highway Transportation",'Federal Data'!$D2:$D501,"Nongrant")</f>
        <v>922000</v>
      </c>
      <c r="AG58">
        <f>SUMIFS('Federal Data'!AR2:AR501,'Federal Data'!$H2:$H501,"Highway Transportation",'Federal Data'!$D2:$D501,"Nongrant")</f>
        <v>840000</v>
      </c>
      <c r="AH58">
        <f>SUMIFS('Federal Data'!AS2:AS501,'Federal Data'!$H2:$H501,"Highway Transportation",'Federal Data'!$D2:$D501,"Nongrant")</f>
        <v>794000</v>
      </c>
      <c r="AI58">
        <f>SUMIFS('Federal Data'!AT2:AT501,'Federal Data'!$H2:$H501,"Highway Transportation",'Federal Data'!$D2:$D501,"Nongrant")</f>
        <v>863000</v>
      </c>
      <c r="AJ58">
        <f>SUMIFS('Federal Data'!AU2:AU501,'Federal Data'!$H2:$H501,"Highway Transportation",'Federal Data'!$D2:$D501,"Nongrant")</f>
        <v>1445000</v>
      </c>
      <c r="AK58">
        <f>SUMIFS('Federal Data'!AV2:AV501,'Federal Data'!$H2:$H501,"Highway Transportation",'Federal Data'!$D2:$D501,"Nongrant")</f>
        <v>979000</v>
      </c>
    </row>
    <row r="59" spans="1:37">
      <c r="A59" s="6" t="s">
        <v>96</v>
      </c>
      <c r="B59">
        <f>SUMIFS('Federal Data'!M2:M501,'Federal Data'!$H2:$H501,"Railroad Transportation",'Federal Data'!$D2:$D501,"Nongrant")</f>
        <v>2533518</v>
      </c>
      <c r="C59">
        <f>SUMIFS('Federal Data'!N2:N501,'Federal Data'!$H2:$H501,"Railroad Transportation",'Federal Data'!$D2:$D501,"Nongrant")</f>
        <v>3844730</v>
      </c>
      <c r="D59">
        <f>SUMIFS('Federal Data'!O2:O501,'Federal Data'!$H2:$H501,"Railroad Transportation",'Federal Data'!$D2:$D501,"Nongrant")</f>
        <v>2251811</v>
      </c>
      <c r="E59">
        <f>SUMIFS('Federal Data'!P2:P501,'Federal Data'!$H2:$H501,"Railroad Transportation",'Federal Data'!$D2:$D501,"Nongrant")</f>
        <v>1290584</v>
      </c>
      <c r="F59">
        <f>SUMIFS('Federal Data'!Q2:Q501,'Federal Data'!$H2:$H501,"Railroad Transportation",'Federal Data'!$D2:$D501,"Nongrant")</f>
        <v>1640139</v>
      </c>
      <c r="G59">
        <f>SUMIFS('Federal Data'!R2:R501,'Federal Data'!$H2:$H501,"Railroad Transportation",'Federal Data'!$D2:$D501,"Nongrant")</f>
        <v>1159749</v>
      </c>
      <c r="H59">
        <f>SUMIFS('Federal Data'!S2:S501,'Federal Data'!$H2:$H501,"Railroad Transportation",'Federal Data'!$D2:$D501,"Nongrant")</f>
        <v>1002062</v>
      </c>
      <c r="I59">
        <f>SUMIFS('Federal Data'!T2:T501,'Federal Data'!$H2:$H501,"Railroad Transportation",'Federal Data'!$D2:$D501,"Nongrant")</f>
        <v>920616</v>
      </c>
      <c r="J59">
        <f>SUMIFS('Federal Data'!U2:U501,'Federal Data'!$H2:$H501,"Railroad Transportation",'Federal Data'!$D2:$D501,"Nongrant")</f>
        <v>676881</v>
      </c>
      <c r="K59">
        <f>SUMIFS('Federal Data'!V2:V501,'Federal Data'!$H2:$H501,"Railroad Transportation",'Federal Data'!$D2:$D501,"Nongrant")</f>
        <v>719509</v>
      </c>
      <c r="L59">
        <f>SUMIFS('Federal Data'!W2:W501,'Federal Data'!$H2:$H501,"Railroad Transportation",'Federal Data'!$D2:$D501,"Nongrant")</f>
        <v>658274</v>
      </c>
      <c r="M59">
        <f>SUMIFS('Federal Data'!X2:X501,'Federal Data'!$H2:$H501,"Railroad Transportation",'Federal Data'!$D2:$D501,"Nongrant")</f>
        <v>913181</v>
      </c>
      <c r="N59">
        <f>SUMIFS('Federal Data'!Y2:Y501,'Federal Data'!$H2:$H501,"Railroad Transportation",'Federal Data'!$D2:$D501,"Nongrant")</f>
        <v>1009363</v>
      </c>
      <c r="O59">
        <f>SUMIFS('Federal Data'!Z2:Z501,'Federal Data'!$H2:$H501,"Railroad Transportation",'Federal Data'!$D2:$D501,"Nongrant")</f>
        <v>430169</v>
      </c>
      <c r="P59">
        <f>SUMIFS('Federal Data'!AA2:AA501,'Federal Data'!$H2:$H501,"Railroad Transportation",'Federal Data'!$D2:$D501,"Nongrant")</f>
        <v>1313469</v>
      </c>
      <c r="Q59">
        <f>SUMIFS('Federal Data'!AB2:AB501,'Federal Data'!$H2:$H501,"Railroad Transportation",'Federal Data'!$D2:$D501,"Nongrant")</f>
        <v>1134000</v>
      </c>
      <c r="R59">
        <f>SUMIFS('Federal Data'!AC2:AC501,'Federal Data'!$H2:$H501,"Railroad Transportation",'Federal Data'!$D2:$D501,"Nongrant")</f>
        <v>1081000</v>
      </c>
      <c r="S59">
        <f>SUMIFS('Federal Data'!AD2:AD501,'Federal Data'!$H2:$H501,"Railroad Transportation",'Federal Data'!$D2:$D501,"Nongrant")</f>
        <v>1190000</v>
      </c>
      <c r="T59">
        <f>SUMIFS('Federal Data'!AE2:AE501,'Federal Data'!$H2:$H501,"Railroad Transportation",'Federal Data'!$D2:$D501,"Nongrant")</f>
        <v>1117000</v>
      </c>
      <c r="U59">
        <f>SUMIFS('Federal Data'!AF2:AF501,'Federal Data'!$H2:$H501,"Railroad Transportation",'Federal Data'!$D2:$D501,"Nongrant")</f>
        <v>473000</v>
      </c>
      <c r="V59">
        <f>SUMIFS('Federal Data'!AG2:AG501,'Federal Data'!$H2:$H501,"Railroad Transportation",'Federal Data'!$D2:$D501,"Nongrant")</f>
        <v>758000</v>
      </c>
      <c r="W59">
        <f>SUMIFS('Federal Data'!AH2:AH501,'Federal Data'!$H2:$H501,"Railroad Transportation",'Federal Data'!$D2:$D501,"Nongrant")</f>
        <v>784000</v>
      </c>
      <c r="X59">
        <f>SUMIFS('Federal Data'!AI2:AI501,'Federal Data'!$H2:$H501,"Railroad Transportation",'Federal Data'!$D2:$D501,"Nongrant")</f>
        <v>1500000</v>
      </c>
      <c r="Y59">
        <f>SUMIFS('Federal Data'!AJ2:AJ501,'Federal Data'!$H2:$H501,"Railroad Transportation",'Federal Data'!$D2:$D501,"Nongrant")</f>
        <v>-1320000</v>
      </c>
      <c r="Z59">
        <f>SUMIFS('Federal Data'!AK2:AK501,'Federal Data'!$H2:$H501,"Railroad Transportation",'Federal Data'!$D2:$D501,"Nongrant")</f>
        <v>1745000</v>
      </c>
      <c r="AA59">
        <f>SUMIFS('Federal Data'!AL2:AL501,'Federal Data'!$H2:$H501,"Railroad Transportation",'Federal Data'!$D2:$D501,"Nongrant")</f>
        <v>1651000</v>
      </c>
      <c r="AB59">
        <f>SUMIFS('Federal Data'!AM2:AM501,'Federal Data'!$H2:$H501,"Railroad Transportation",'Federal Data'!$D2:$D501,"Nongrant")</f>
        <v>1640000</v>
      </c>
      <c r="AC59">
        <f>SUMIFS('Federal Data'!AN2:AN501,'Federal Data'!$H2:$H501,"Railroad Transportation",'Federal Data'!$D2:$D501,"Nongrant")</f>
        <v>1758000</v>
      </c>
      <c r="AD59">
        <f>SUMIFS('Federal Data'!AO2:AO501,'Federal Data'!$H2:$H501,"Railroad Transportation",'Federal Data'!$D2:$D501,"Nongrant")</f>
        <v>1761000</v>
      </c>
      <c r="AE59">
        <f>SUMIFS('Federal Data'!AP2:AP501,'Federal Data'!$H2:$H501,"Railroad Transportation",'Federal Data'!$D2:$D501,"Nongrant")</f>
        <v>2127000</v>
      </c>
      <c r="AF59">
        <f>SUMIFS('Federal Data'!AQ2:AQ501,'Federal Data'!$H2:$H501,"Railroad Transportation",'Federal Data'!$D2:$D501,"Nongrant")</f>
        <v>2911000</v>
      </c>
      <c r="AG59">
        <f>SUMIFS('Federal Data'!AR2:AR501,'Federal Data'!$H2:$H501,"Railroad Transportation",'Federal Data'!$D2:$D501,"Nongrant")</f>
        <v>2460000</v>
      </c>
      <c r="AH59">
        <f>SUMIFS('Federal Data'!AS2:AS501,'Federal Data'!$H2:$H501,"Railroad Transportation",'Federal Data'!$D2:$D501,"Nongrant")</f>
        <v>2374000</v>
      </c>
      <c r="AI59">
        <f>SUMIFS('Federal Data'!AT2:AT501,'Federal Data'!$H2:$H501,"Railroad Transportation",'Federal Data'!$D2:$D501,"Nongrant")</f>
        <v>2026000</v>
      </c>
      <c r="AJ59">
        <f>SUMIFS('Federal Data'!AU2:AU501,'Federal Data'!$H2:$H501,"Railroad Transportation",'Federal Data'!$D2:$D501,"Nongrant")</f>
        <v>555000</v>
      </c>
      <c r="AK59">
        <f>SUMIFS('Federal Data'!AV2:AV501,'Federal Data'!$H2:$H501,"Railroad Transportation",'Federal Data'!$D2:$D501,"Nongrant")</f>
        <v>546000</v>
      </c>
    </row>
    <row r="60" spans="1:37">
      <c r="A60" s="6" t="s">
        <v>97</v>
      </c>
      <c r="B60">
        <f>SUMIFS('Federal Data'!M2:M501,'Federal Data'!$H2:$H501,"Highway &amp; Railroad Transportation Unallocable",'Federal Data'!$D2:$D501,"Nongrant")</f>
        <v>0</v>
      </c>
      <c r="C60">
        <f>SUMIFS('Federal Data'!N2:N501,'Federal Data'!$H2:$H501,"Highway &amp; Railroad Transportation Unallocable",'Federal Data'!$D2:$D501,"Nongrant")</f>
        <v>0</v>
      </c>
      <c r="D60">
        <f>SUMIFS('Federal Data'!O2:O501,'Federal Data'!$H2:$H501,"Highway &amp; Railroad Transportation Unallocable",'Federal Data'!$D2:$D501,"Nongrant")</f>
        <v>0</v>
      </c>
      <c r="E60">
        <f>SUMIFS('Federal Data'!P2:P501,'Federal Data'!$H2:$H501,"Highway &amp; Railroad Transportation Unallocable",'Federal Data'!$D2:$D501,"Nongrant")</f>
        <v>0</v>
      </c>
      <c r="F60">
        <f>SUMIFS('Federal Data'!Q2:Q501,'Federal Data'!$H2:$H501,"Highway &amp; Railroad Transportation Unallocable",'Federal Data'!$D2:$D501,"Nongrant")</f>
        <v>0</v>
      </c>
      <c r="G60">
        <f>SUMIFS('Federal Data'!R2:R501,'Federal Data'!$H2:$H501,"Highway &amp; Railroad Transportation Unallocable",'Federal Data'!$D2:$D501,"Nongrant")</f>
        <v>0</v>
      </c>
      <c r="H60">
        <f>SUMIFS('Federal Data'!S2:S501,'Federal Data'!$H2:$H501,"Highway &amp; Railroad Transportation Unallocable",'Federal Data'!$D2:$D501,"Nongrant")</f>
        <v>0</v>
      </c>
      <c r="I60">
        <f>SUMIFS('Federal Data'!T2:T501,'Federal Data'!$H2:$H501,"Highway &amp; Railroad Transportation Unallocable",'Federal Data'!$D2:$D501,"Nongrant")</f>
        <v>0</v>
      </c>
      <c r="J60">
        <f>SUMIFS('Federal Data'!U2:U501,'Federal Data'!$H2:$H501,"Highway &amp; Railroad Transportation Unallocable",'Federal Data'!$D2:$D501,"Nongrant")</f>
        <v>0</v>
      </c>
      <c r="K60">
        <f>SUMIFS('Federal Data'!V2:V501,'Federal Data'!$H2:$H501,"Highway &amp; Railroad Transportation Unallocable",'Federal Data'!$D2:$D501,"Nongrant")</f>
        <v>0</v>
      </c>
      <c r="L60">
        <f>SUMIFS('Federal Data'!W2:W501,'Federal Data'!$H2:$H501,"Highway &amp; Railroad Transportation Unallocable",'Federal Data'!$D2:$D501,"Nongrant")</f>
        <v>0</v>
      </c>
      <c r="M60">
        <f>SUMIFS('Federal Data'!X2:X501,'Federal Data'!$H2:$H501,"Highway &amp; Railroad Transportation Unallocable",'Federal Data'!$D2:$D501,"Nongrant")</f>
        <v>0</v>
      </c>
      <c r="N60">
        <f>SUMIFS('Federal Data'!Y2:Y501,'Federal Data'!$H2:$H501,"Highway &amp; Railroad Transportation Unallocable",'Federal Data'!$D2:$D501,"Nongrant")</f>
        <v>0</v>
      </c>
      <c r="O60">
        <f>SUMIFS('Federal Data'!Z2:Z501,'Federal Data'!$H2:$H501,"Highway &amp; Railroad Transportation Unallocable",'Federal Data'!$D2:$D501,"Nongrant")</f>
        <v>0</v>
      </c>
      <c r="P60">
        <f>SUMIFS('Federal Data'!AA2:AA501,'Federal Data'!$H2:$H501,"Highway &amp; Railroad Transportation Unallocable",'Federal Data'!$D2:$D501,"Nongrant")</f>
        <v>0</v>
      </c>
      <c r="Q60">
        <f>SUMIFS('Federal Data'!AB2:AB501,'Federal Data'!$H2:$H501,"Highway &amp; Railroad Transportation Unallocable",'Federal Data'!$D2:$D501,"Nongrant")</f>
        <v>0</v>
      </c>
      <c r="R60">
        <f>SUMIFS('Federal Data'!AC2:AC501,'Federal Data'!$H2:$H501,"Highway &amp; Railroad Transportation Unallocable",'Federal Data'!$D2:$D501,"Nongrant")</f>
        <v>0</v>
      </c>
      <c r="S60">
        <f>SUMIFS('Federal Data'!AD2:AD501,'Federal Data'!$H2:$H501,"Highway &amp; Railroad Transportation Unallocable",'Federal Data'!$D2:$D501,"Nongrant")</f>
        <v>0</v>
      </c>
      <c r="T60">
        <f>SUMIFS('Federal Data'!AE2:AE501,'Federal Data'!$H2:$H501,"Highway &amp; Railroad Transportation Unallocable",'Federal Data'!$D2:$D501,"Nongrant")</f>
        <v>0</v>
      </c>
      <c r="U60">
        <f>SUMIFS('Federal Data'!AF2:AF501,'Federal Data'!$H2:$H501,"Highway &amp; Railroad Transportation Unallocable",'Federal Data'!$D2:$D501,"Nongrant")</f>
        <v>0</v>
      </c>
      <c r="V60">
        <f>SUMIFS('Federal Data'!AG2:AG501,'Federal Data'!$H2:$H501,"Highway &amp; Railroad Transportation Unallocable",'Federal Data'!$D2:$D501,"Nongrant")</f>
        <v>0</v>
      </c>
      <c r="W60">
        <f>SUMIFS('Federal Data'!AH2:AH501,'Federal Data'!$H2:$H501,"Highway &amp; Railroad Transportation Unallocable",'Federal Data'!$D2:$D501,"Nongrant")</f>
        <v>0</v>
      </c>
      <c r="X60">
        <f>SUMIFS('Federal Data'!AI2:AI501,'Federal Data'!$H2:$H501,"Highway &amp; Railroad Transportation Unallocable",'Federal Data'!$D2:$D501,"Nongrant")</f>
        <v>0</v>
      </c>
      <c r="Y60">
        <f>SUMIFS('Federal Data'!AJ2:AJ501,'Federal Data'!$H2:$H501,"Highway &amp; Railroad Transportation Unallocable",'Federal Data'!$D2:$D501,"Nongrant")</f>
        <v>0</v>
      </c>
      <c r="Z60">
        <f>SUMIFS('Federal Data'!AK2:AK501,'Federal Data'!$H2:$H501,"Highway &amp; Railroad Transportation Unallocable",'Federal Data'!$D2:$D501,"Nongrant")</f>
        <v>0</v>
      </c>
      <c r="AA60">
        <f>SUMIFS('Federal Data'!AL2:AL501,'Federal Data'!$H2:$H501,"Highway &amp; Railroad Transportation Unallocable",'Federal Data'!$D2:$D501,"Nongrant")</f>
        <v>0</v>
      </c>
      <c r="AB60">
        <f>SUMIFS('Federal Data'!AM2:AM501,'Federal Data'!$H2:$H501,"Highway &amp; Railroad Transportation Unallocable",'Federal Data'!$D2:$D501,"Nongrant")</f>
        <v>-2000</v>
      </c>
      <c r="AC60">
        <f>SUMIFS('Federal Data'!AN2:AN501,'Federal Data'!$H2:$H501,"Highway &amp; Railroad Transportation Unallocable",'Federal Data'!$D2:$D501,"Nongrant")</f>
        <v>0</v>
      </c>
      <c r="AD60">
        <f>SUMIFS('Federal Data'!AO2:AO501,'Federal Data'!$H2:$H501,"Highway &amp; Railroad Transportation Unallocable",'Federal Data'!$D2:$D501,"Nongrant")</f>
        <v>0</v>
      </c>
      <c r="AE60">
        <f>SUMIFS('Federal Data'!AP2:AP501,'Federal Data'!$H2:$H501,"Highway &amp; Railroad Transportation Unallocable",'Federal Data'!$D2:$D501,"Nongrant")</f>
        <v>-73000</v>
      </c>
      <c r="AF60">
        <f>SUMIFS('Federal Data'!AQ2:AQ501,'Federal Data'!$H2:$H501,"Highway &amp; Railroad Transportation Unallocable",'Federal Data'!$D2:$D501,"Nongrant")</f>
        <v>10000</v>
      </c>
      <c r="AG60">
        <f>SUMIFS('Federal Data'!AR2:AR501,'Federal Data'!$H2:$H501,"Highway &amp; Railroad Transportation Unallocable",'Federal Data'!$D2:$D501,"Nongrant")</f>
        <v>31000</v>
      </c>
      <c r="AH60">
        <f>SUMIFS('Federal Data'!AS2:AS501,'Federal Data'!$H2:$H501,"Highway &amp; Railroad Transportation Unallocable",'Federal Data'!$D2:$D501,"Nongrant")</f>
        <v>546000</v>
      </c>
      <c r="AI60">
        <f>SUMIFS('Federal Data'!AT2:AT501,'Federal Data'!$H2:$H501,"Highway &amp; Railroad Transportation Unallocable",'Federal Data'!$D2:$D501,"Nongrant")</f>
        <v>281000</v>
      </c>
      <c r="AJ60">
        <f>SUMIFS('Federal Data'!AU2:AU501,'Federal Data'!$H2:$H501,"Highway &amp; Railroad Transportation Unallocable",'Federal Data'!$D2:$D501,"Nongrant")</f>
        <v>-177000</v>
      </c>
      <c r="AK60">
        <f>SUMIFS('Federal Data'!AV2:AV501,'Federal Data'!$H2:$H501,"Highway &amp; Railroad Transportation Unallocable",'Federal Data'!$D2:$D501,"Nongrant")</f>
        <v>-92000</v>
      </c>
    </row>
    <row r="61" spans="1:37">
      <c r="A61" s="6" t="s">
        <v>99</v>
      </c>
      <c r="B61">
        <f>SUMIFS('Federal Data'!M2:M501,'Federal Data'!$H2:$H501,"Water Transportation",'Federal Data'!$D2:$D501,"Nongrant")</f>
        <v>2226374</v>
      </c>
      <c r="C61">
        <f>SUMIFS('Federal Data'!N2:N501,'Federal Data'!$H2:$H501,"Water Transportation",'Federal Data'!$D2:$D501,"Nongrant")</f>
        <v>2380553</v>
      </c>
      <c r="D61">
        <f>SUMIFS('Federal Data'!O2:O501,'Federal Data'!$H2:$H501,"Water Transportation",'Federal Data'!$D2:$D501,"Nongrant")</f>
        <v>2687267</v>
      </c>
      <c r="E61">
        <f>SUMIFS('Federal Data'!P2:P501,'Federal Data'!$H2:$H501,"Water Transportation",'Federal Data'!$D2:$D501,"Nongrant")</f>
        <v>2963728</v>
      </c>
      <c r="F61">
        <f>SUMIFS('Federal Data'!Q2:Q501,'Federal Data'!$H2:$H501,"Water Transportation",'Federal Data'!$D2:$D501,"Nongrant")</f>
        <v>2999653</v>
      </c>
      <c r="G61">
        <f>SUMIFS('Federal Data'!R2:R501,'Federal Data'!$H2:$H501,"Water Transportation",'Federal Data'!$D2:$D501,"Nongrant")</f>
        <v>3188920</v>
      </c>
      <c r="H61">
        <f>SUMIFS('Federal Data'!S2:S501,'Federal Data'!$H2:$H501,"Water Transportation",'Federal Data'!$D2:$D501,"Nongrant")</f>
        <v>3941545</v>
      </c>
      <c r="I61">
        <f>SUMIFS('Federal Data'!T2:T501,'Federal Data'!$H2:$H501,"Water Transportation",'Federal Data'!$D2:$D501,"Nongrant")</f>
        <v>3439007</v>
      </c>
      <c r="J61">
        <f>SUMIFS('Federal Data'!U2:U501,'Federal Data'!$H2:$H501,"Water Transportation",'Federal Data'!$D2:$D501,"Nongrant")</f>
        <v>3080313</v>
      </c>
      <c r="K61">
        <f>SUMIFS('Federal Data'!V2:V501,'Federal Data'!$H2:$H501,"Water Transportation",'Federal Data'!$D2:$D501,"Nongrant")</f>
        <v>2888700</v>
      </c>
      <c r="L61">
        <f>SUMIFS('Federal Data'!W2:W501,'Federal Data'!$H2:$H501,"Water Transportation",'Federal Data'!$D2:$D501,"Nongrant")</f>
        <v>3125473</v>
      </c>
      <c r="M61">
        <f>SUMIFS('Federal Data'!X2:X501,'Federal Data'!$H2:$H501,"Water Transportation",'Federal Data'!$D2:$D501,"Nongrant")</f>
        <v>3112732</v>
      </c>
      <c r="N61">
        <f>SUMIFS('Federal Data'!Y2:Y501,'Federal Data'!$H2:$H501,"Water Transportation",'Federal Data'!$D2:$D501,"Nongrant")</f>
        <v>3392489</v>
      </c>
      <c r="O61">
        <f>SUMIFS('Federal Data'!Z2:Z501,'Federal Data'!$H2:$H501,"Water Transportation",'Federal Data'!$D2:$D501,"Nongrant")</f>
        <v>3385221</v>
      </c>
      <c r="P61">
        <f>SUMIFS('Federal Data'!AA2:AA501,'Federal Data'!$H2:$H501,"Water Transportation",'Federal Data'!$D2:$D501,"Nongrant")</f>
        <v>3607520</v>
      </c>
      <c r="Q61">
        <f>SUMIFS('Federal Data'!AB2:AB501,'Federal Data'!$H2:$H501,"Water Transportation",'Federal Data'!$D2:$D501,"Nongrant")</f>
        <v>3669000</v>
      </c>
      <c r="R61">
        <f>SUMIFS('Federal Data'!AC2:AC501,'Federal Data'!$H2:$H501,"Water Transportation",'Federal Data'!$D2:$D501,"Nongrant")</f>
        <v>3404000</v>
      </c>
      <c r="S61">
        <f>SUMIFS('Federal Data'!AD2:AD501,'Federal Data'!$H2:$H501,"Water Transportation",'Federal Data'!$D2:$D501,"Nongrant")</f>
        <v>3523000</v>
      </c>
      <c r="T61">
        <f>SUMIFS('Federal Data'!AE2:AE501,'Federal Data'!$H2:$H501,"Water Transportation",'Federal Data'!$D2:$D501,"Nongrant")</f>
        <v>3486000</v>
      </c>
      <c r="U61">
        <f>SUMIFS('Federal Data'!AF2:AF501,'Federal Data'!$H2:$H501,"Water Transportation",'Federal Data'!$D2:$D501,"Nongrant")</f>
        <v>3525000</v>
      </c>
      <c r="V61">
        <f>SUMIFS('Federal Data'!AG2:AG501,'Federal Data'!$H2:$H501,"Water Transportation",'Federal Data'!$D2:$D501,"Nongrant")</f>
        <v>4385000</v>
      </c>
      <c r="W61">
        <f>SUMIFS('Federal Data'!AH2:AH501,'Federal Data'!$H2:$H501,"Water Transportation",'Federal Data'!$D2:$D501,"Nongrant")</f>
        <v>4400000</v>
      </c>
      <c r="X61">
        <f>SUMIFS('Federal Data'!AI2:AI501,'Federal Data'!$H2:$H501,"Water Transportation",'Federal Data'!$D2:$D501,"Nongrant")</f>
        <v>5041000</v>
      </c>
      <c r="Y61">
        <f>SUMIFS('Federal Data'!AJ2:AJ501,'Federal Data'!$H2:$H501,"Water Transportation",'Federal Data'!$D2:$D501,"Nongrant")</f>
        <v>5907000</v>
      </c>
      <c r="Z61">
        <f>SUMIFS('Federal Data'!AK2:AK501,'Federal Data'!$H2:$H501,"Water Transportation",'Federal Data'!$D2:$D501,"Nongrant")</f>
        <v>6898000</v>
      </c>
      <c r="AA61">
        <f>SUMIFS('Federal Data'!AL2:AL501,'Federal Data'!$H2:$H501,"Water Transportation",'Federal Data'!$D2:$D501,"Nongrant")</f>
        <v>6439000</v>
      </c>
      <c r="AB61">
        <f>SUMIFS('Federal Data'!AM2:AM501,'Federal Data'!$H2:$H501,"Water Transportation",'Federal Data'!$D2:$D501,"Nongrant")</f>
        <v>6688000</v>
      </c>
      <c r="AC61">
        <f>SUMIFS('Federal Data'!AN2:AN501,'Federal Data'!$H2:$H501,"Water Transportation",'Federal Data'!$D2:$D501,"Nongrant")</f>
        <v>7695000</v>
      </c>
      <c r="AD61">
        <f>SUMIFS('Federal Data'!AO2:AO501,'Federal Data'!$H2:$H501,"Water Transportation",'Federal Data'!$D2:$D501,"Nongrant")</f>
        <v>8121000</v>
      </c>
      <c r="AE61">
        <f>SUMIFS('Federal Data'!AP2:AP501,'Federal Data'!$H2:$H501,"Water Transportation",'Federal Data'!$D2:$D501,"Nongrant")</f>
        <v>8983000</v>
      </c>
      <c r="AF61">
        <f>SUMIFS('Federal Data'!AQ2:AQ501,'Federal Data'!$H2:$H501,"Water Transportation",'Federal Data'!$D2:$D501,"Nongrant")</f>
        <v>9223000</v>
      </c>
      <c r="AG61">
        <f>SUMIFS('Federal Data'!AR2:AR501,'Federal Data'!$H2:$H501,"Water Transportation",'Federal Data'!$D2:$D501,"Nongrant")</f>
        <v>10238000</v>
      </c>
      <c r="AH61">
        <f>SUMIFS('Federal Data'!AS2:AS501,'Federal Data'!$H2:$H501,"Water Transportation",'Federal Data'!$D2:$D501,"Nongrant")</f>
        <v>9537000</v>
      </c>
      <c r="AI61">
        <f>SUMIFS('Federal Data'!AT2:AT501,'Federal Data'!$H2:$H501,"Water Transportation",'Federal Data'!$D2:$D501,"Nongrant")</f>
        <v>9648000</v>
      </c>
      <c r="AJ61">
        <f>SUMIFS('Federal Data'!AU2:AU501,'Federal Data'!$H2:$H501,"Water Transportation",'Federal Data'!$D2:$D501,"Nongrant")</f>
        <v>9674000</v>
      </c>
      <c r="AK61">
        <f>SUMIFS('Federal Data'!AV2:AV501,'Federal Data'!$H2:$H501,"Water Transportation",'Federal Data'!$D2:$D501,"Nongrant")</f>
        <v>9894000</v>
      </c>
    </row>
    <row r="62" spans="1:37">
      <c r="A62" s="6" t="s">
        <v>98</v>
      </c>
      <c r="B62">
        <f>SUMIFS('Federal Data'!M2:M501,'Federal Data'!$H2:$H501,"General and Other Transportation",'Federal Data'!$D2:$D501,"Nongrant")</f>
        <v>100911</v>
      </c>
      <c r="C62">
        <f>SUMIFS('Federal Data'!N2:N501,'Federal Data'!$H2:$H501,"General and Other Transportation",'Federal Data'!$D2:$D501,"Nongrant")</f>
        <v>107467</v>
      </c>
      <c r="D62">
        <f>SUMIFS('Federal Data'!O2:O501,'Federal Data'!$H2:$H501,"General and Other Transportation",'Federal Data'!$D2:$D501,"Nongrant")</f>
        <v>88818</v>
      </c>
      <c r="E62">
        <f>SUMIFS('Federal Data'!P2:P501,'Federal Data'!$H2:$H501,"General and Other Transportation",'Federal Data'!$D2:$D501,"Nongrant")</f>
        <v>96495</v>
      </c>
      <c r="F62">
        <f>SUMIFS('Federal Data'!Q2:Q501,'Federal Data'!$H2:$H501,"General and Other Transportation",'Federal Data'!$D2:$D501,"Nongrant")</f>
        <v>81445</v>
      </c>
      <c r="G62">
        <f>SUMIFS('Federal Data'!R2:R501,'Federal Data'!$H2:$H501,"General and Other Transportation",'Federal Data'!$D2:$D501,"Nongrant")</f>
        <v>132704</v>
      </c>
      <c r="H62">
        <f>SUMIFS('Federal Data'!S2:S501,'Federal Data'!$H2:$H501,"General and Other Transportation",'Federal Data'!$D2:$D501,"Nongrant")</f>
        <v>131299</v>
      </c>
      <c r="I62">
        <f>SUMIFS('Federal Data'!T2:T501,'Federal Data'!$H2:$H501,"General and Other Transportation",'Federal Data'!$D2:$D501,"Nongrant")</f>
        <v>86570</v>
      </c>
      <c r="J62">
        <f>SUMIFS('Federal Data'!U2:U501,'Federal Data'!$H2:$H501,"General and Other Transportation",'Federal Data'!$D2:$D501,"Nongrant")</f>
        <v>113443</v>
      </c>
      <c r="K62">
        <f>SUMIFS('Federal Data'!V2:V501,'Federal Data'!$H2:$H501,"General and Other Transportation",'Federal Data'!$D2:$D501,"Nongrant")</f>
        <v>120179</v>
      </c>
      <c r="L62">
        <f>SUMIFS('Federal Data'!W2:W501,'Federal Data'!$H2:$H501,"General and Other Transportation",'Federal Data'!$D2:$D501,"Nongrant")</f>
        <v>142074</v>
      </c>
      <c r="M62">
        <f>SUMIFS('Federal Data'!X2:X501,'Federal Data'!$H2:$H501,"General and Other Transportation",'Federal Data'!$D2:$D501,"Nongrant")</f>
        <v>217813</v>
      </c>
      <c r="N62">
        <f>SUMIFS('Federal Data'!Y2:Y501,'Federal Data'!$H2:$H501,"General and Other Transportation",'Federal Data'!$D2:$D501,"Nongrant")</f>
        <v>237665</v>
      </c>
      <c r="O62">
        <f>SUMIFS('Federal Data'!Z2:Z501,'Federal Data'!$H2:$H501,"General and Other Transportation",'Federal Data'!$D2:$D501,"Nongrant")</f>
        <v>274300</v>
      </c>
      <c r="P62">
        <f>SUMIFS('Federal Data'!AA2:AA501,'Federal Data'!$H2:$H501,"General and Other Transportation",'Federal Data'!$D2:$D501,"Nongrant")</f>
        <v>322302</v>
      </c>
      <c r="Q62">
        <f>SUMIFS('Federal Data'!AB2:AB501,'Federal Data'!$H2:$H501,"General and Other Transportation",'Federal Data'!$D2:$D501,"Nongrant")</f>
        <v>286000</v>
      </c>
      <c r="R62">
        <f>SUMIFS('Federal Data'!AC2:AC501,'Federal Data'!$H2:$H501,"General and Other Transportation",'Federal Data'!$D2:$D501,"Nongrant")</f>
        <v>303000</v>
      </c>
      <c r="S62">
        <f>SUMIFS('Federal Data'!AD2:AD501,'Federal Data'!$H2:$H501,"General and Other Transportation",'Federal Data'!$D2:$D501,"Nongrant")</f>
        <v>262000</v>
      </c>
      <c r="T62">
        <f>SUMIFS('Federal Data'!AE2:AE501,'Federal Data'!$H2:$H501,"General and Other Transportation",'Federal Data'!$D2:$D501,"Nongrant")</f>
        <v>180000</v>
      </c>
      <c r="U62">
        <f>SUMIFS('Federal Data'!AF2:AF501,'Federal Data'!$H2:$H501,"General and Other Transportation",'Federal Data'!$D2:$D501,"Nongrant")</f>
        <v>193000</v>
      </c>
      <c r="V62">
        <f>SUMIFS('Federal Data'!AG2:AG501,'Federal Data'!$H2:$H501,"General and Other Transportation",'Federal Data'!$D2:$D501,"Nongrant")</f>
        <v>169000</v>
      </c>
      <c r="W62">
        <f>SUMIFS('Federal Data'!AH2:AH501,'Federal Data'!$H2:$H501,"General and Other Transportation",'Federal Data'!$D2:$D501,"Nongrant")</f>
        <v>242000</v>
      </c>
      <c r="X62">
        <f>SUMIFS('Federal Data'!AI2:AI501,'Federal Data'!$H2:$H501,"General and Other Transportation",'Federal Data'!$D2:$D501,"Nongrant")</f>
        <v>64000</v>
      </c>
      <c r="Y62">
        <f>SUMIFS('Federal Data'!AJ2:AJ501,'Federal Data'!$H2:$H501,"General and Other Transportation",'Federal Data'!$D2:$D501,"Nongrant")</f>
        <v>297000</v>
      </c>
      <c r="Z62">
        <f>SUMIFS('Federal Data'!AK2:AK501,'Federal Data'!$H2:$H501,"General and Other Transportation",'Federal Data'!$D2:$D501,"Nongrant")</f>
        <v>214000</v>
      </c>
      <c r="AA62">
        <f>SUMIFS('Federal Data'!AL2:AL501,'Federal Data'!$H2:$H501,"General and Other Transportation",'Federal Data'!$D2:$D501,"Nongrant")</f>
        <v>312000</v>
      </c>
      <c r="AB62">
        <f>SUMIFS('Federal Data'!AM2:AM501,'Federal Data'!$H2:$H501,"General and Other Transportation",'Federal Data'!$D2:$D501,"Nongrant")</f>
        <v>323000</v>
      </c>
      <c r="AC62">
        <f>SUMIFS('Federal Data'!AN2:AN501,'Federal Data'!$H2:$H501,"General and Other Transportation",'Federal Data'!$D2:$D501,"Nongrant")</f>
        <v>277000</v>
      </c>
      <c r="AD62">
        <f>SUMIFS('Federal Data'!AO2:AO501,'Federal Data'!$H2:$H501,"General and Other Transportation",'Federal Data'!$D2:$D501,"Nongrant")</f>
        <v>95000</v>
      </c>
      <c r="AE62">
        <f>SUMIFS('Federal Data'!AP2:AP501,'Federal Data'!$H2:$H501,"General and Other Transportation",'Federal Data'!$D2:$D501,"Nongrant")</f>
        <v>259000</v>
      </c>
      <c r="AF62">
        <f>SUMIFS('Federal Data'!AQ2:AQ501,'Federal Data'!$H2:$H501,"General and Other Transportation",'Federal Data'!$D2:$D501,"Nongrant")</f>
        <v>376000</v>
      </c>
      <c r="AG62">
        <f>SUMIFS('Federal Data'!AR2:AR501,'Federal Data'!$H2:$H501,"General and Other Transportation",'Federal Data'!$D2:$D501,"Nongrant")</f>
        <v>317000</v>
      </c>
      <c r="AH62">
        <f>SUMIFS('Federal Data'!AS2:AS501,'Federal Data'!$H2:$H501,"General and Other Transportation",'Federal Data'!$D2:$D501,"Nongrant")</f>
        <v>306000</v>
      </c>
      <c r="AI62">
        <f>SUMIFS('Federal Data'!AT2:AT501,'Federal Data'!$H2:$H501,"General and Other Transportation",'Federal Data'!$D2:$D501,"Nongrant")</f>
        <v>392000</v>
      </c>
      <c r="AJ62">
        <f>SUMIFS('Federal Data'!AU2:AU501,'Federal Data'!$H2:$H501,"General and Other Transportation",'Federal Data'!$D2:$D501,"Nongrant")</f>
        <v>358000</v>
      </c>
      <c r="AK62">
        <f>SUMIFS('Federal Data'!AV2:AV501,'Federal Data'!$H2:$H501,"General and Other Transportation",'Federal Data'!$D2:$D501,"Nongrant")</f>
        <v>330000</v>
      </c>
    </row>
    <row r="63" spans="1:37">
      <c r="A63" s="5" t="s">
        <v>327</v>
      </c>
      <c r="B63">
        <f>SUMIFS('Federal Data'!M2:M501,'Federal Data'!$G2:$G501,"General Commerce",'Federal Data'!$D2:$D501,"Nongrant")</f>
        <v>2127294</v>
      </c>
      <c r="C63">
        <f>SUMIFS('Federal Data'!N2:N501,'Federal Data'!$G2:$G501,"General Commerce",'Federal Data'!$D2:$D501,"Nongrant")</f>
        <v>1503534</v>
      </c>
      <c r="D63">
        <f>SUMIFS('Federal Data'!O2:O501,'Federal Data'!$G2:$G501,"General Commerce",'Federal Data'!$D2:$D501,"Nongrant")</f>
        <v>1559586</v>
      </c>
      <c r="E63">
        <f>SUMIFS('Federal Data'!P2:P501,'Federal Data'!$G2:$G501,"General Commerce",'Federal Data'!$D2:$D501,"Nongrant")</f>
        <v>1573562</v>
      </c>
      <c r="F63">
        <f>SUMIFS('Federal Data'!Q2:Q501,'Federal Data'!$G2:$G501,"General Commerce",'Federal Data'!$D2:$D501,"Nongrant")</f>
        <v>1507970</v>
      </c>
      <c r="G63">
        <f>SUMIFS('Federal Data'!R2:R501,'Federal Data'!$G2:$G501,"General Commerce",'Federal Data'!$D2:$D501,"Nongrant")</f>
        <v>1556934</v>
      </c>
      <c r="H63">
        <f>SUMIFS('Federal Data'!S2:S501,'Federal Data'!$G2:$G501,"General Commerce",'Federal Data'!$D2:$D501,"Nongrant")</f>
        <v>1330410</v>
      </c>
      <c r="I63">
        <f>SUMIFS('Federal Data'!T2:T501,'Federal Data'!$G2:$G501,"General Commerce",'Federal Data'!$D2:$D501,"Nongrant")</f>
        <v>933277</v>
      </c>
      <c r="J63">
        <f>SUMIFS('Federal Data'!U2:U501,'Federal Data'!$G2:$G501,"General Commerce",'Federal Data'!$D2:$D501,"Nongrant")</f>
        <v>1043149</v>
      </c>
      <c r="K63">
        <f>SUMIFS('Federal Data'!V2:V501,'Federal Data'!$G2:$G501,"General Commerce",'Federal Data'!$D2:$D501,"Nongrant")</f>
        <v>1382736</v>
      </c>
      <c r="L63">
        <f>SUMIFS('Federal Data'!W2:W501,'Federal Data'!$G2:$G501,"General Commerce",'Federal Data'!$D2:$D501,"Nongrant")</f>
        <v>2362755</v>
      </c>
      <c r="M63">
        <f>SUMIFS('Federal Data'!X2:X501,'Federal Data'!$G2:$G501,"General Commerce",'Federal Data'!$D2:$D501,"Nongrant")</f>
        <v>1492963</v>
      </c>
      <c r="N63">
        <f>SUMIFS('Federal Data'!Y2:Y501,'Federal Data'!$G2:$G501,"General Commerce",'Federal Data'!$D2:$D501,"Nongrant")</f>
        <v>1494836</v>
      </c>
      <c r="O63">
        <f>SUMIFS('Federal Data'!Z2:Z501,'Federal Data'!$G2:$G501,"General Commerce",'Federal Data'!$D2:$D501,"Nongrant")</f>
        <v>1735192</v>
      </c>
      <c r="P63">
        <f>SUMIFS('Federal Data'!AA2:AA501,'Federal Data'!$G2:$G501,"General Commerce",'Federal Data'!$D2:$D501,"Nongrant")</f>
        <v>1372314</v>
      </c>
      <c r="Q63">
        <f>SUMIFS('Federal Data'!AB2:AB501,'Federal Data'!$G2:$G501,"General Commerce",'Federal Data'!$D2:$D501,"Nongrant")</f>
        <v>1254000</v>
      </c>
      <c r="R63">
        <f>SUMIFS('Federal Data'!AC2:AC501,'Federal Data'!$G2:$G501,"General Commerce",'Federal Data'!$D2:$D501,"Nongrant")</f>
        <v>1579000</v>
      </c>
      <c r="S63">
        <f>SUMIFS('Federal Data'!AD2:AD501,'Federal Data'!$G2:$G501,"General Commerce",'Federal Data'!$D2:$D501,"Nongrant")</f>
        <v>1182000</v>
      </c>
      <c r="T63">
        <f>SUMIFS('Federal Data'!AE2:AE501,'Federal Data'!$G2:$G501,"General Commerce",'Federal Data'!$D2:$D501,"Nongrant")</f>
        <v>1049000</v>
      </c>
      <c r="U63">
        <f>SUMIFS('Federal Data'!AF2:AF501,'Federal Data'!$G2:$G501,"General Commerce",'Federal Data'!$D2:$D501,"Nongrant")</f>
        <v>1467000</v>
      </c>
      <c r="V63">
        <f>SUMIFS('Federal Data'!AG2:AG501,'Federal Data'!$G2:$G501,"General Commerce",'Federal Data'!$D2:$D501,"Nongrant")</f>
        <v>4923000</v>
      </c>
      <c r="W63">
        <f>SUMIFS('Federal Data'!AH2:AH501,'Federal Data'!$G2:$G501,"General Commerce",'Federal Data'!$D2:$D501,"Nongrant")</f>
        <v>1679000</v>
      </c>
      <c r="X63">
        <f>SUMIFS('Federal Data'!AI2:AI501,'Federal Data'!$G2:$G501,"General Commerce",'Federal Data'!$D2:$D501,"Nongrant")</f>
        <v>2030000</v>
      </c>
      <c r="Y63">
        <f>SUMIFS('Federal Data'!AJ2:AJ501,'Federal Data'!$G2:$G501,"General Commerce",'Federal Data'!$D2:$D501,"Nongrant")</f>
        <v>3012000</v>
      </c>
      <c r="Z63">
        <f>SUMIFS('Federal Data'!AK2:AK501,'Federal Data'!$G2:$G501,"General Commerce",'Federal Data'!$D2:$D501,"Nongrant")</f>
        <v>4759000</v>
      </c>
      <c r="AA63">
        <f>SUMIFS('Federal Data'!AL2:AL501,'Federal Data'!$G2:$G501,"General Commerce",'Federal Data'!$D2:$D501,"Nongrant")</f>
        <v>3743000</v>
      </c>
      <c r="AB63">
        <f>SUMIFS('Federal Data'!AM2:AM501,'Federal Data'!$G2:$G501,"General Commerce",'Federal Data'!$D2:$D501,"Nongrant")</f>
        <v>2273000</v>
      </c>
      <c r="AC63">
        <f>SUMIFS('Federal Data'!AN2:AN501,'Federal Data'!$G2:$G501,"General Commerce",'Federal Data'!$D2:$D501,"Nongrant")</f>
        <v>2506000</v>
      </c>
      <c r="AD63">
        <f>SUMIFS('Federal Data'!AO2:AO501,'Federal Data'!$G2:$G501,"General Commerce",'Federal Data'!$D2:$D501,"Nongrant")</f>
        <v>3136000</v>
      </c>
      <c r="AE63">
        <f>SUMIFS('Federal Data'!AP2:AP501,'Federal Data'!$G2:$G501,"General Commerce",'Federal Data'!$D2:$D501,"Nongrant")</f>
        <v>5789000</v>
      </c>
      <c r="AF63">
        <f>SUMIFS('Federal Data'!AQ2:AQ501,'Federal Data'!$G2:$G501,"General Commerce",'Federal Data'!$D2:$D501,"Nongrant")</f>
        <v>13811000</v>
      </c>
      <c r="AG63">
        <f>SUMIFS('Federal Data'!AR2:AR501,'Federal Data'!$G2:$G501,"General Commerce",'Federal Data'!$D2:$D501,"Nongrant")</f>
        <v>8795000</v>
      </c>
      <c r="AH63">
        <f>SUMIFS('Federal Data'!AS2:AS501,'Federal Data'!$G2:$G501,"General Commerce",'Federal Data'!$D2:$D501,"Nongrant")</f>
        <v>5272000</v>
      </c>
      <c r="AI63">
        <f>SUMIFS('Federal Data'!AT2:AT501,'Federal Data'!$G2:$G501,"General Commerce",'Federal Data'!$D2:$D501,"Nongrant")</f>
        <v>2890000</v>
      </c>
      <c r="AJ63">
        <f>SUMIFS('Federal Data'!AU2:AU501,'Federal Data'!$G2:$G501,"General Commerce",'Federal Data'!$D2:$D501,"Nongrant")</f>
        <v>2592000</v>
      </c>
      <c r="AK63">
        <f>SUMIFS('Federal Data'!AV2:AV501,'Federal Data'!$G2:$G501,"General Commerce",'Federal Data'!$D2:$D501,"Nongrant")</f>
        <v>2004000</v>
      </c>
    </row>
    <row r="64" spans="1:37">
      <c r="A64" s="5" t="s">
        <v>66</v>
      </c>
      <c r="B64">
        <f>SUMIFS('Federal Data'!M2:M501,'Federal Data'!$G2:$G501,"Banking and Finance",'Federal Data'!$D2:$D501,"Nongrant")</f>
        <v>-258658</v>
      </c>
      <c r="C64">
        <f>SUMIFS('Federal Data'!N2:N501,'Federal Data'!$G2:$G501,"Banking and Finance",'Federal Data'!$D2:$D501,"Nongrant")</f>
        <v>-1220755</v>
      </c>
      <c r="D64">
        <f>SUMIFS('Federal Data'!O2:O501,'Federal Data'!$G2:$G501,"Banking and Finance",'Federal Data'!$D2:$D501,"Nongrant")</f>
        <v>-1948729</v>
      </c>
      <c r="E64">
        <f>SUMIFS('Federal Data'!P2:P501,'Federal Data'!$G2:$G501,"Banking and Finance",'Federal Data'!$D2:$D501,"Nongrant")</f>
        <v>-1542021</v>
      </c>
      <c r="F64">
        <f>SUMIFS('Federal Data'!Q2:Q501,'Federal Data'!$G2:$G501,"Banking and Finance",'Federal Data'!$D2:$D501,"Nongrant")</f>
        <v>-590554</v>
      </c>
      <c r="G64">
        <f>SUMIFS('Federal Data'!R2:R501,'Federal Data'!$G2:$G501,"Banking and Finance",'Federal Data'!$D2:$D501,"Nongrant")</f>
        <v>-2169768</v>
      </c>
      <c r="H64">
        <f>SUMIFS('Federal Data'!S2:S501,'Federal Data'!$G2:$G501,"Banking and Finance",'Federal Data'!$D2:$D501,"Nongrant")</f>
        <v>1422164</v>
      </c>
      <c r="I64">
        <f>SUMIFS('Federal Data'!T2:T501,'Federal Data'!$G2:$G501,"Banking and Finance",'Federal Data'!$D2:$D501,"Nongrant")</f>
        <v>3135405</v>
      </c>
      <c r="J64">
        <f>SUMIFS('Federal Data'!U2:U501,'Federal Data'!$G2:$G501,"Banking and Finance",'Federal Data'!$D2:$D501,"Nongrant")</f>
        <v>10051919</v>
      </c>
      <c r="K64">
        <f>SUMIFS('Federal Data'!V2:V501,'Federal Data'!$G2:$G501,"Banking and Finance",'Federal Data'!$D2:$D501,"Nongrant")</f>
        <v>22030787</v>
      </c>
      <c r="L64">
        <f>SUMIFS('Federal Data'!W2:W501,'Federal Data'!$G2:$G501,"Banking and Finance",'Federal Data'!$D2:$D501,"Nongrant")</f>
        <v>57921792</v>
      </c>
      <c r="M64">
        <f>SUMIFS('Federal Data'!X2:X501,'Federal Data'!$G2:$G501,"Banking and Finance",'Federal Data'!$D2:$D501,"Nongrant")</f>
        <v>66277369</v>
      </c>
      <c r="N64">
        <f>SUMIFS('Federal Data'!Y2:Y501,'Federal Data'!$G2:$G501,"Banking and Finance",'Federal Data'!$D2:$D501,"Nongrant")</f>
        <v>2559177</v>
      </c>
      <c r="O64">
        <f>SUMIFS('Federal Data'!Z2:Z501,'Federal Data'!$G2:$G501,"Banking and Finance",'Federal Data'!$D2:$D501,"Nongrant")</f>
        <v>-27908193</v>
      </c>
      <c r="P64">
        <f>SUMIFS('Federal Data'!AA2:AA501,'Federal Data'!$G2:$G501,"Banking and Finance",'Federal Data'!$D2:$D501,"Nongrant")</f>
        <v>-7522106</v>
      </c>
      <c r="Q64">
        <f>SUMIFS('Federal Data'!AB2:AB501,'Federal Data'!$G2:$G501,"Banking and Finance",'Federal Data'!$D2:$D501,"Nongrant")</f>
        <v>-17775000</v>
      </c>
      <c r="R64">
        <f>SUMIFS('Federal Data'!AC2:AC501,'Federal Data'!$G2:$G501,"Banking and Finance",'Federal Data'!$D2:$D501,"Nongrant")</f>
        <v>-8342000</v>
      </c>
      <c r="S64">
        <f>SUMIFS('Federal Data'!AD2:AD501,'Federal Data'!$G2:$G501,"Banking and Finance",'Federal Data'!$D2:$D501,"Nongrant")</f>
        <v>-14330000</v>
      </c>
      <c r="T64">
        <f>SUMIFS('Federal Data'!AE2:AE501,'Federal Data'!$G2:$G501,"Banking and Finance",'Federal Data'!$D2:$D501,"Nongrant")</f>
        <v>-4310000</v>
      </c>
      <c r="U64">
        <f>SUMIFS('Federal Data'!AF2:AF501,'Federal Data'!$G2:$G501,"Banking and Finance",'Federal Data'!$D2:$D501,"Nongrant")</f>
        <v>-5219000</v>
      </c>
      <c r="V64">
        <f>SUMIFS('Federal Data'!AG2:AG501,'Federal Data'!$G2:$G501,"Banking and Finance",'Federal Data'!$D2:$D501,"Nongrant")</f>
        <v>-2988000</v>
      </c>
      <c r="W64">
        <f>SUMIFS('Federal Data'!AH2:AH501,'Federal Data'!$G2:$G501,"Banking and Finance",'Federal Data'!$D2:$D501,"Nongrant")</f>
        <v>-1502000</v>
      </c>
      <c r="X64">
        <f>SUMIFS('Federal Data'!AI2:AI501,'Federal Data'!$G2:$G501,"Banking and Finance",'Federal Data'!$D2:$D501,"Nongrant")</f>
        <v>-952000</v>
      </c>
      <c r="Y64">
        <f>SUMIFS('Federal Data'!AJ2:AJ501,'Federal Data'!$G2:$G501,"Banking and Finance",'Federal Data'!$D2:$D501,"Nongrant")</f>
        <v>-1344000</v>
      </c>
      <c r="Z64">
        <f>SUMIFS('Federal Data'!AK2:AK501,'Federal Data'!$G2:$G501,"Banking and Finance",'Federal Data'!$D2:$D501,"Nongrant")</f>
        <v>-1877000</v>
      </c>
      <c r="AA64">
        <f>SUMIFS('Federal Data'!AL2:AL501,'Federal Data'!$G2:$G501,"Banking and Finance",'Federal Data'!$D2:$D501,"Nongrant")</f>
        <v>-1270000</v>
      </c>
      <c r="AB64">
        <f>SUMIFS('Federal Data'!AM2:AM501,'Federal Data'!$G2:$G501,"Banking and Finance",'Federal Data'!$D2:$D501,"Nongrant")</f>
        <v>-1006000</v>
      </c>
      <c r="AC64">
        <f>SUMIFS('Federal Data'!AN2:AN501,'Federal Data'!$G2:$G501,"Banking and Finance",'Federal Data'!$D2:$D501,"Nongrant")</f>
        <v>-1389000</v>
      </c>
      <c r="AD64">
        <f>SUMIFS('Federal Data'!AO2:AO501,'Federal Data'!$G2:$G501,"Banking and Finance",'Federal Data'!$D2:$D501,"Nongrant")</f>
        <v>18827000</v>
      </c>
      <c r="AE64">
        <f>SUMIFS('Federal Data'!AP2:AP501,'Federal Data'!$G2:$G501,"Banking and Finance",'Federal Data'!$D2:$D501,"Nongrant")</f>
        <v>172792000</v>
      </c>
      <c r="AF64">
        <f>SUMIFS('Federal Data'!AQ2:AQ501,'Federal Data'!$G2:$G501,"Banking and Finance",'Federal Data'!$D2:$D501,"Nongrant")</f>
        <v>-142029000</v>
      </c>
      <c r="AG64">
        <f>SUMIFS('Federal Data'!AR2:AR501,'Federal Data'!$G2:$G501,"Banking and Finance",'Federal Data'!$D2:$D501,"Nongrant")</f>
        <v>-47390000</v>
      </c>
      <c r="AH64">
        <f>SUMIFS('Federal Data'!AS2:AS501,'Federal Data'!$G2:$G501,"Banking and Finance",'Federal Data'!$D2:$D501,"Nongrant")</f>
        <v>28221000</v>
      </c>
      <c r="AI64">
        <f>SUMIFS('Federal Data'!AT2:AT501,'Federal Data'!$G2:$G501,"Banking and Finance",'Federal Data'!$D2:$D501,"Nongrant")</f>
        <v>-7811000</v>
      </c>
      <c r="AJ64">
        <f>SUMIFS('Federal Data'!AU2:AU501,'Federal Data'!$G2:$G501,"Banking and Finance",'Federal Data'!$D2:$D501,"Nongrant")</f>
        <v>-21359000</v>
      </c>
      <c r="AK64">
        <f>SUMIFS('Federal Data'!AV2:AV501,'Federal Data'!$G2:$G501,"Banking and Finance",'Federal Data'!$D2:$D501,"Nongrant")</f>
        <v>-13790000</v>
      </c>
    </row>
    <row r="65" spans="1:37">
      <c r="A65" s="6" t="s">
        <v>100</v>
      </c>
      <c r="B65">
        <f>SUMIFS('Federal Data'!M2:M501,'Federal Data'!$H2:$H501,"Deposit Insurance",'Federal Data'!$D2:$D501,"Nongrant")</f>
        <v>-284839</v>
      </c>
      <c r="C65">
        <f>SUMIFS('Federal Data'!N2:N501,'Federal Data'!$H2:$H501,"Deposit Insurance",'Federal Data'!$D2:$D501,"Nongrant")</f>
        <v>-1371379</v>
      </c>
      <c r="D65">
        <f>SUMIFS('Federal Data'!O2:O501,'Federal Data'!$H2:$H501,"Deposit Insurance",'Federal Data'!$D2:$D501,"Nongrant")</f>
        <v>-2056070</v>
      </c>
      <c r="E65">
        <f>SUMIFS('Federal Data'!P2:P501,'Federal Data'!$H2:$H501,"Deposit Insurance",'Federal Data'!$D2:$D501,"Nongrant")</f>
        <v>-1252988</v>
      </c>
      <c r="F65">
        <f>SUMIFS('Federal Data'!Q2:Q501,'Federal Data'!$H2:$H501,"Deposit Insurance",'Federal Data'!$D2:$D501,"Nongrant")</f>
        <v>-615850</v>
      </c>
      <c r="G65">
        <f>SUMIFS('Federal Data'!R2:R501,'Federal Data'!$H2:$H501,"Deposit Insurance",'Federal Data'!$D2:$D501,"Nongrant")</f>
        <v>-2197646</v>
      </c>
      <c r="H65">
        <f>SUMIFS('Federal Data'!S2:S501,'Federal Data'!$H2:$H501,"Deposit Insurance",'Federal Data'!$D2:$D501,"Nongrant")</f>
        <v>1394289</v>
      </c>
      <c r="I65">
        <f>SUMIFS('Federal Data'!T2:T501,'Federal Data'!$H2:$H501,"Deposit Insurance",'Federal Data'!$D2:$D501,"Nongrant")</f>
        <v>3106386</v>
      </c>
      <c r="J65">
        <f>SUMIFS('Federal Data'!U2:U501,'Federal Data'!$H2:$H501,"Deposit Insurance",'Federal Data'!$D2:$D501,"Nongrant")</f>
        <v>10019627</v>
      </c>
      <c r="K65">
        <f>SUMIFS('Federal Data'!V2:V501,'Federal Data'!$H2:$H501,"Deposit Insurance",'Federal Data'!$D2:$D501,"Nongrant")</f>
        <v>21996374</v>
      </c>
      <c r="L65">
        <f>SUMIFS('Federal Data'!W2:W501,'Federal Data'!$H2:$H501,"Deposit Insurance",'Federal Data'!$D2:$D501,"Nongrant")</f>
        <v>57891134</v>
      </c>
      <c r="M65">
        <f>SUMIFS('Federal Data'!X2:X501,'Federal Data'!$H2:$H501,"Deposit Insurance",'Federal Data'!$D2:$D501,"Nongrant")</f>
        <v>66232100</v>
      </c>
      <c r="N65">
        <f>SUMIFS('Federal Data'!Y2:Y501,'Federal Data'!$H2:$H501,"Deposit Insurance",'Federal Data'!$D2:$D501,"Nongrant")</f>
        <v>2511325</v>
      </c>
      <c r="O65">
        <f>SUMIFS('Federal Data'!Z2:Z501,'Federal Data'!$H2:$H501,"Deposit Insurance",'Federal Data'!$D2:$D501,"Nongrant")</f>
        <v>-27957306</v>
      </c>
      <c r="P65">
        <f>SUMIFS('Federal Data'!AA2:AA501,'Federal Data'!$H2:$H501,"Deposit Insurance",'Federal Data'!$D2:$D501,"Nongrant")</f>
        <v>-7569674</v>
      </c>
      <c r="Q65">
        <f>SUMIFS('Federal Data'!AB2:AB501,'Federal Data'!$H2:$H501,"Deposit Insurance",'Federal Data'!$D2:$D501,"Nongrant")</f>
        <v>-17827000</v>
      </c>
      <c r="R65">
        <f>SUMIFS('Federal Data'!AC2:AC501,'Federal Data'!$H2:$H501,"Deposit Insurance",'Federal Data'!$D2:$D501,"Nongrant")</f>
        <v>-8394000</v>
      </c>
      <c r="S65">
        <f>SUMIFS('Federal Data'!AD2:AD501,'Federal Data'!$H2:$H501,"Deposit Insurance",'Federal Data'!$D2:$D501,"Nongrant")</f>
        <v>-14384000</v>
      </c>
      <c r="T65">
        <f>SUMIFS('Federal Data'!AE2:AE501,'Federal Data'!$H2:$H501,"Deposit Insurance",'Federal Data'!$D2:$D501,"Nongrant")</f>
        <v>-4371000</v>
      </c>
      <c r="U65">
        <f>SUMIFS('Federal Data'!AF2:AF501,'Federal Data'!$H2:$H501,"Deposit Insurance",'Federal Data'!$D2:$D501,"Nongrant")</f>
        <v>-5280000</v>
      </c>
      <c r="V65">
        <f>SUMIFS('Federal Data'!AG2:AG501,'Federal Data'!$H2:$H501,"Deposit Insurance",'Federal Data'!$D2:$D501,"Nongrant")</f>
        <v>-3053000</v>
      </c>
      <c r="W65">
        <f>SUMIFS('Federal Data'!AH2:AH501,'Federal Data'!$H2:$H501,"Deposit Insurance",'Federal Data'!$D2:$D501,"Nongrant")</f>
        <v>-1569000</v>
      </c>
      <c r="X65">
        <f>SUMIFS('Federal Data'!AI2:AI501,'Federal Data'!$H2:$H501,"Deposit Insurance",'Federal Data'!$D2:$D501,"Nongrant")</f>
        <v>-1026000</v>
      </c>
      <c r="Y65">
        <f>SUMIFS('Federal Data'!AJ2:AJ501,'Federal Data'!$H2:$H501,"Deposit Insurance",'Federal Data'!$D2:$D501,"Nongrant")</f>
        <v>-1430000</v>
      </c>
      <c r="Z65">
        <f>SUMIFS('Federal Data'!AK2:AK501,'Federal Data'!$H2:$H501,"Deposit Insurance",'Federal Data'!$D2:$D501,"Nongrant")</f>
        <v>-1976000</v>
      </c>
      <c r="AA65">
        <f>SUMIFS('Federal Data'!AL2:AL501,'Federal Data'!$H2:$H501,"Deposit Insurance",'Federal Data'!$D2:$D501,"Nongrant")</f>
        <v>-1371000</v>
      </c>
      <c r="AB65">
        <f>SUMIFS('Federal Data'!AM2:AM501,'Federal Data'!$H2:$H501,"Deposit Insurance",'Federal Data'!$D2:$D501,"Nongrant")</f>
        <v>-1110000</v>
      </c>
      <c r="AC65">
        <f>SUMIFS('Federal Data'!AN2:AN501,'Federal Data'!$H2:$H501,"Deposit Insurance",'Federal Data'!$D2:$D501,"Nongrant")</f>
        <v>-1492000</v>
      </c>
      <c r="AD65">
        <f>SUMIFS('Federal Data'!AO2:AO501,'Federal Data'!$H2:$H501,"Deposit Insurance",'Federal Data'!$D2:$D501,"Nongrant")</f>
        <v>18760000</v>
      </c>
      <c r="AE65">
        <f>SUMIFS('Federal Data'!AP2:AP501,'Federal Data'!$H2:$H501,"Deposit Insurance",'Federal Data'!$D2:$D501,"Nongrant")</f>
        <v>22573000</v>
      </c>
      <c r="AF65">
        <f>SUMIFS('Federal Data'!AQ2:AQ501,'Federal Data'!$H2:$H501,"Deposit Insurance",'Federal Data'!$D2:$D501,"Nongrant")</f>
        <v>-32033000</v>
      </c>
      <c r="AG65">
        <f>SUMIFS('Federal Data'!AR2:AR501,'Federal Data'!$H2:$H501,"Deposit Insurance",'Federal Data'!$D2:$D501,"Nongrant")</f>
        <v>-8697000</v>
      </c>
      <c r="AH65">
        <f>SUMIFS('Federal Data'!AS2:AS501,'Federal Data'!$H2:$H501,"Deposit Insurance",'Federal Data'!$D2:$D501,"Nongrant")</f>
        <v>6666000</v>
      </c>
      <c r="AI65">
        <f>SUMIFS('Federal Data'!AT2:AT501,'Federal Data'!$H2:$H501,"Deposit Insurance",'Federal Data'!$D2:$D501,"Nongrant")</f>
        <v>4292000</v>
      </c>
      <c r="AJ65">
        <f>SUMIFS('Federal Data'!AU2:AU501,'Federal Data'!$H2:$H501,"Deposit Insurance",'Federal Data'!$D2:$D501,"Nongrant")</f>
        <v>-13823000</v>
      </c>
      <c r="AK65">
        <f>SUMIFS('Federal Data'!AV2:AV501,'Federal Data'!$H2:$H501,"Deposit Insurance",'Federal Data'!$D2:$D501,"Nongrant")</f>
        <v>-12812000</v>
      </c>
    </row>
    <row r="66" spans="1:37">
      <c r="A66" s="6" t="s">
        <v>249</v>
      </c>
      <c r="B66">
        <f>SUMIFS('Federal Data'!M2:M501,'Federal Data'!$H2:$H501,"Other Banking and Finance",'Federal Data'!$D2:$D501,"Nongrant")</f>
        <v>26181</v>
      </c>
      <c r="C66">
        <f>SUMIFS('Federal Data'!N2:N501,'Federal Data'!$H2:$H501,"Other Banking and Finance",'Federal Data'!$D2:$D501,"Nongrant")</f>
        <v>150624</v>
      </c>
      <c r="D66">
        <f>SUMIFS('Federal Data'!O2:O501,'Federal Data'!$H2:$H501,"Other Banking and Finance",'Federal Data'!$D2:$D501,"Nongrant")</f>
        <v>107341</v>
      </c>
      <c r="E66">
        <f>SUMIFS('Federal Data'!P2:P501,'Federal Data'!$H2:$H501,"Other Banking and Finance",'Federal Data'!$D2:$D501,"Nongrant")</f>
        <v>-289033</v>
      </c>
      <c r="F66">
        <f>SUMIFS('Federal Data'!Q2:Q501,'Federal Data'!$H2:$H501,"Other Banking and Finance",'Federal Data'!$D2:$D501,"Nongrant")</f>
        <v>25296</v>
      </c>
      <c r="G66">
        <f>SUMIFS('Federal Data'!R2:R501,'Federal Data'!$H2:$H501,"Other Banking and Finance",'Federal Data'!$D2:$D501,"Nongrant")</f>
        <v>27878</v>
      </c>
      <c r="H66">
        <f>SUMIFS('Federal Data'!S2:S501,'Federal Data'!$H2:$H501,"Other Banking and Finance",'Federal Data'!$D2:$D501,"Nongrant")</f>
        <v>27875</v>
      </c>
      <c r="I66">
        <f>SUMIFS('Federal Data'!T2:T501,'Federal Data'!$H2:$H501,"Other Banking and Finance",'Federal Data'!$D2:$D501,"Nongrant")</f>
        <v>29019</v>
      </c>
      <c r="J66">
        <f>SUMIFS('Federal Data'!U2:U501,'Federal Data'!$H2:$H501,"Other Banking and Finance",'Federal Data'!$D2:$D501,"Nongrant")</f>
        <v>32292</v>
      </c>
      <c r="K66">
        <f>SUMIFS('Federal Data'!V2:V501,'Federal Data'!$H2:$H501,"Other Banking and Finance",'Federal Data'!$D2:$D501,"Nongrant")</f>
        <v>34413</v>
      </c>
      <c r="L66">
        <f>SUMIFS('Federal Data'!W2:W501,'Federal Data'!$H2:$H501,"Other Banking and Finance",'Federal Data'!$D2:$D501,"Nongrant")</f>
        <v>30658</v>
      </c>
      <c r="M66">
        <f>SUMIFS('Federal Data'!X2:X501,'Federal Data'!$H2:$H501,"Other Banking and Finance",'Federal Data'!$D2:$D501,"Nongrant")</f>
        <v>45269</v>
      </c>
      <c r="N66">
        <f>SUMIFS('Federal Data'!Y2:Y501,'Federal Data'!$H2:$H501,"Other Banking and Finance",'Federal Data'!$D2:$D501,"Nongrant")</f>
        <v>47852</v>
      </c>
      <c r="O66">
        <f>SUMIFS('Federal Data'!Z2:Z501,'Federal Data'!$H2:$H501,"Other Banking and Finance",'Federal Data'!$D2:$D501,"Nongrant")</f>
        <v>49113</v>
      </c>
      <c r="P66">
        <f>SUMIFS('Federal Data'!AA2:AA501,'Federal Data'!$H2:$H501,"Other Banking and Finance",'Federal Data'!$D2:$D501,"Nongrant")</f>
        <v>47568</v>
      </c>
      <c r="Q66">
        <f>SUMIFS('Federal Data'!AB2:AB501,'Federal Data'!$H2:$H501,"Other Banking and Finance",'Federal Data'!$D2:$D501,"Nongrant")</f>
        <v>52000</v>
      </c>
      <c r="R66">
        <f>SUMIFS('Federal Data'!AC2:AC501,'Federal Data'!$H2:$H501,"Other Banking and Finance",'Federal Data'!$D2:$D501,"Nongrant")</f>
        <v>52000</v>
      </c>
      <c r="S66">
        <f>SUMIFS('Federal Data'!AD2:AD501,'Federal Data'!$H2:$H501,"Other Banking and Finance",'Federal Data'!$D2:$D501,"Nongrant")</f>
        <v>54000</v>
      </c>
      <c r="T66">
        <f>SUMIFS('Federal Data'!AE2:AE501,'Federal Data'!$H2:$H501,"Other Banking and Finance",'Federal Data'!$D2:$D501,"Nongrant")</f>
        <v>61000</v>
      </c>
      <c r="U66">
        <f>SUMIFS('Federal Data'!AF2:AF501,'Federal Data'!$H2:$H501,"Other Banking and Finance",'Federal Data'!$D2:$D501,"Nongrant")</f>
        <v>61000</v>
      </c>
      <c r="V66">
        <f>SUMIFS('Federal Data'!AG2:AG501,'Federal Data'!$H2:$H501,"Other Banking and Finance",'Federal Data'!$D2:$D501,"Nongrant")</f>
        <v>65000</v>
      </c>
      <c r="W66">
        <f>SUMIFS('Federal Data'!AH2:AH501,'Federal Data'!$H2:$H501,"Other Banking and Finance",'Federal Data'!$D2:$D501,"Nongrant")</f>
        <v>67000</v>
      </c>
      <c r="X66">
        <f>SUMIFS('Federal Data'!AI2:AI501,'Federal Data'!$H2:$H501,"Other Banking and Finance",'Federal Data'!$D2:$D501,"Nongrant")</f>
        <v>74000</v>
      </c>
      <c r="Y66">
        <f>SUMIFS('Federal Data'!AJ2:AJ501,'Federal Data'!$H2:$H501,"Other Banking and Finance",'Federal Data'!$D2:$D501,"Nongrant")</f>
        <v>86000</v>
      </c>
      <c r="Z66">
        <f>SUMIFS('Federal Data'!AK2:AK501,'Federal Data'!$H2:$H501,"Other Banking and Finance",'Federal Data'!$D2:$D501,"Nongrant")</f>
        <v>99000</v>
      </c>
      <c r="AA66">
        <f>SUMIFS('Federal Data'!AL2:AL501,'Federal Data'!$H2:$H501,"Other Banking and Finance",'Federal Data'!$D2:$D501,"Nongrant")</f>
        <v>101000</v>
      </c>
      <c r="AB66">
        <f>SUMIFS('Federal Data'!AM2:AM501,'Federal Data'!$H2:$H501,"Other Banking and Finance",'Federal Data'!$D2:$D501,"Nongrant")</f>
        <v>104000</v>
      </c>
      <c r="AC66">
        <f>SUMIFS('Federal Data'!AN2:AN501,'Federal Data'!$H2:$H501,"Other Banking and Finance",'Federal Data'!$D2:$D501,"Nongrant")</f>
        <v>103000</v>
      </c>
      <c r="AD66">
        <f>SUMIFS('Federal Data'!AO2:AO501,'Federal Data'!$H2:$H501,"Other Banking and Finance",'Federal Data'!$D2:$D501,"Nongrant")</f>
        <v>67000</v>
      </c>
      <c r="AE66">
        <f>SUMIFS('Federal Data'!AP2:AP501,'Federal Data'!$H2:$H501,"Other Banking and Finance",'Federal Data'!$D2:$D501,"Nongrant")</f>
        <v>150219000</v>
      </c>
      <c r="AF66">
        <f>SUMIFS('Federal Data'!AQ2:AQ501,'Federal Data'!$H2:$H501,"Other Banking and Finance",'Federal Data'!$D2:$D501,"Nongrant")</f>
        <v>-109996000</v>
      </c>
      <c r="AG66">
        <f>SUMIFS('Federal Data'!AR2:AR501,'Federal Data'!$H2:$H501,"Other Banking and Finance",'Federal Data'!$D2:$D501,"Nongrant")</f>
        <v>-38693000</v>
      </c>
      <c r="AH66">
        <f>SUMIFS('Federal Data'!AS2:AS501,'Federal Data'!$H2:$H501,"Other Banking and Finance",'Federal Data'!$D2:$D501,"Nongrant")</f>
        <v>21555000</v>
      </c>
      <c r="AI66">
        <f>SUMIFS('Federal Data'!AT2:AT501,'Federal Data'!$H2:$H501,"Other Banking and Finance",'Federal Data'!$D2:$D501,"Nongrant")</f>
        <v>-12103000</v>
      </c>
      <c r="AJ66">
        <f>SUMIFS('Federal Data'!AU2:AU501,'Federal Data'!$H2:$H501,"Other Banking and Finance",'Federal Data'!$D2:$D501,"Nongrant")</f>
        <v>-7536000</v>
      </c>
      <c r="AK66">
        <f>SUMIFS('Federal Data'!AV2:AV501,'Federal Data'!$H2:$H501,"Other Banking and Finance",'Federal Data'!$D2:$D501,"Nongrant")</f>
        <v>-978000</v>
      </c>
    </row>
    <row r="67" spans="1:37">
      <c r="A67" s="13" t="s">
        <v>294</v>
      </c>
      <c r="B67">
        <v>1388</v>
      </c>
      <c r="C67">
        <v>1388</v>
      </c>
      <c r="D67">
        <v>1388</v>
      </c>
      <c r="E67">
        <v>1388</v>
      </c>
      <c r="F67">
        <v>1388</v>
      </c>
      <c r="G67">
        <v>1388</v>
      </c>
      <c r="H67">
        <v>1388</v>
      </c>
      <c r="I67">
        <v>1388</v>
      </c>
      <c r="J67">
        <v>1388</v>
      </c>
      <c r="K67">
        <v>1388</v>
      </c>
      <c r="L67">
        <v>1388</v>
      </c>
      <c r="M67">
        <v>1388</v>
      </c>
      <c r="N67">
        <v>1388</v>
      </c>
      <c r="O67">
        <v>1388</v>
      </c>
      <c r="P67">
        <v>1388</v>
      </c>
      <c r="Q67">
        <v>1388</v>
      </c>
      <c r="R67">
        <v>1388</v>
      </c>
      <c r="S67">
        <v>1388</v>
      </c>
      <c r="T67">
        <v>1388</v>
      </c>
      <c r="U67">
        <v>1388</v>
      </c>
      <c r="V67">
        <v>1388</v>
      </c>
      <c r="W67">
        <v>1388</v>
      </c>
      <c r="X67">
        <v>1388</v>
      </c>
      <c r="Y67">
        <v>1388</v>
      </c>
      <c r="Z67">
        <v>1388</v>
      </c>
      <c r="AA67">
        <v>1388</v>
      </c>
      <c r="AB67">
        <v>1388</v>
      </c>
      <c r="AC67">
        <v>1388</v>
      </c>
      <c r="AD67">
        <v>1388</v>
      </c>
      <c r="AE67">
        <v>1388</v>
      </c>
      <c r="AF67">
        <v>1388</v>
      </c>
      <c r="AG67">
        <v>1388</v>
      </c>
      <c r="AH67">
        <v>1388</v>
      </c>
      <c r="AI67">
        <v>1388</v>
      </c>
      <c r="AJ67">
        <v>1388</v>
      </c>
      <c r="AK67">
        <v>1389</v>
      </c>
    </row>
    <row r="68" spans="1:37">
      <c r="A68" s="5" t="s">
        <v>304</v>
      </c>
      <c r="B68">
        <f>SUMIFS('Federal Data'!M2:M501,'Federal Data'!$G2:$G501,"General Science and Basic Research",'Federal Data'!$D2:$D501,"Nongrant")</f>
        <v>1380579</v>
      </c>
      <c r="C68">
        <f>SUMIFS('Federal Data'!N2:N501,'Federal Data'!$G2:$G501,"General Science and Basic Research",'Federal Data'!$D2:$D501,"Nongrant")</f>
        <v>1476169</v>
      </c>
      <c r="D68">
        <f>SUMIFS('Federal Data'!O2:O501,'Federal Data'!$G2:$G501,"General Science and Basic Research",'Federal Data'!$D2:$D501,"Nongrant")</f>
        <v>1606282</v>
      </c>
      <c r="E68">
        <f>SUMIFS('Federal Data'!P2:P501,'Federal Data'!$G2:$G501,"General Science and Basic Research",'Federal Data'!$D2:$D501,"Nongrant")</f>
        <v>1643742</v>
      </c>
      <c r="F68">
        <f>SUMIFS('Federal Data'!Q2:Q501,'Federal Data'!$G2:$G501,"General Science and Basic Research",'Federal Data'!$D2:$D501,"Nongrant")</f>
        <v>1842331</v>
      </c>
      <c r="G68">
        <f>SUMIFS('Federal Data'!R2:R501,'Federal Data'!$G2:$G501,"General Science and Basic Research",'Federal Data'!$D2:$D501,"Nongrant")</f>
        <v>2014926</v>
      </c>
      <c r="H68">
        <f>SUMIFS('Federal Data'!S2:S501,'Federal Data'!$G2:$G501,"General Science and Basic Research",'Federal Data'!$D2:$D501,"Nongrant")</f>
        <v>2206671</v>
      </c>
      <c r="I68">
        <f>SUMIFS('Federal Data'!T2:T501,'Federal Data'!$G2:$G501,"General Science and Basic Research",'Federal Data'!$D2:$D501,"Nongrant")</f>
        <v>2243217</v>
      </c>
      <c r="J68">
        <f>SUMIFS('Federal Data'!U2:U501,'Federal Data'!$G2:$G501,"General Science and Basic Research",'Federal Data'!$D2:$D501,"Nongrant")</f>
        <v>2406659</v>
      </c>
      <c r="K68">
        <f>SUMIFS('Federal Data'!V2:V501,'Federal Data'!$G2:$G501,"General Science and Basic Research",'Federal Data'!$D2:$D501,"Nongrant")</f>
        <v>2625718</v>
      </c>
      <c r="L68">
        <f>SUMIFS('Federal Data'!W2:W501,'Federal Data'!$G2:$G501,"General Science and Basic Research",'Federal Data'!$D2:$D501,"Nongrant")</f>
        <v>2817691</v>
      </c>
      <c r="M68">
        <f>SUMIFS('Federal Data'!X2:X501,'Federal Data'!$G2:$G501,"General Science and Basic Research",'Federal Data'!$D2:$D501,"Nongrant")</f>
        <v>3135511</v>
      </c>
      <c r="N68">
        <f>SUMIFS('Federal Data'!Y2:Y501,'Federal Data'!$G2:$G501,"General Science and Basic Research",'Federal Data'!$D2:$D501,"Nongrant")</f>
        <v>3551208</v>
      </c>
      <c r="O68">
        <f>SUMIFS('Federal Data'!Z2:Z501,'Federal Data'!$G2:$G501,"General Science and Basic Research",'Federal Data'!$D2:$D501,"Nongrant")</f>
        <v>3913850</v>
      </c>
      <c r="P68">
        <f>SUMIFS('Federal Data'!AA2:AA501,'Federal Data'!$G2:$G501,"General Science and Basic Research",'Federal Data'!$D2:$D501,"Nongrant")</f>
        <v>3825411</v>
      </c>
      <c r="Q68">
        <f>SUMIFS('Federal Data'!AB2:AB501,'Federal Data'!$G2:$G501,"General Science and Basic Research",'Federal Data'!$D2:$D501,"Nongrant")</f>
        <v>4099000</v>
      </c>
      <c r="R68">
        <f>SUMIFS('Federal Data'!AC2:AC501,'Federal Data'!$G2:$G501,"General Science and Basic Research",'Federal Data'!$D2:$D501,"Nongrant")</f>
        <v>3991000</v>
      </c>
      <c r="S68">
        <f>SUMIFS('Federal Data'!AD2:AD501,'Federal Data'!$G2:$G501,"General Science and Basic Research",'Federal Data'!$D2:$D501,"Nongrant")</f>
        <v>4080000</v>
      </c>
      <c r="T68">
        <f>SUMIFS('Federal Data'!AE2:AE501,'Federal Data'!$G2:$G501,"General Science and Basic Research",'Federal Data'!$D2:$D501,"Nongrant")</f>
        <v>5306000</v>
      </c>
      <c r="U68">
        <f>SUMIFS('Federal Data'!AF2:AF501,'Federal Data'!$G2:$G501,"General Science and Basic Research",'Federal Data'!$D2:$D501,"Nongrant")</f>
        <v>5638000</v>
      </c>
      <c r="V68">
        <f>SUMIFS('Federal Data'!AG2:AG501,'Federal Data'!$G2:$G501,"General Science and Basic Research",'Federal Data'!$D2:$D501,"Nongrant")</f>
        <v>6167000</v>
      </c>
      <c r="W68">
        <f>SUMIFS('Federal Data'!AH2:AH501,'Federal Data'!$G2:$G501,"General Science and Basic Research",'Federal Data'!$D2:$D501,"Nongrant")</f>
        <v>6520000</v>
      </c>
      <c r="X68">
        <f>SUMIFS('Federal Data'!AI2:AI501,'Federal Data'!$G2:$G501,"General Science and Basic Research",'Federal Data'!$D2:$D501,"Nongrant")</f>
        <v>7261000</v>
      </c>
      <c r="Y68">
        <f>SUMIFS('Federal Data'!AJ2:AJ501,'Federal Data'!$G2:$G501,"General Science and Basic Research",'Federal Data'!$D2:$D501,"Nongrant")</f>
        <v>7951000</v>
      </c>
      <c r="Z68">
        <f>SUMIFS('Federal Data'!AK2:AK501,'Federal Data'!$G2:$G501,"General Science and Basic Research",'Federal Data'!$D2:$D501,"Nongrant")</f>
        <v>8392000</v>
      </c>
      <c r="AA68">
        <f>SUMIFS('Federal Data'!AL2:AL501,'Federal Data'!$G2:$G501,"General Science and Basic Research",'Federal Data'!$D2:$D501,"Nongrant")</f>
        <v>8819000</v>
      </c>
      <c r="AB68">
        <f>SUMIFS('Federal Data'!AM2:AM501,'Federal Data'!$G2:$G501,"General Science and Basic Research",'Federal Data'!$D2:$D501,"Nongrant")</f>
        <v>9093000</v>
      </c>
      <c r="AC68">
        <f>SUMIFS('Federal Data'!AN2:AN501,'Federal Data'!$G2:$G501,"General Science and Basic Research",'Federal Data'!$D2:$D501,"Nongrant")</f>
        <v>9149000</v>
      </c>
      <c r="AD68">
        <f>SUMIFS('Federal Data'!AO2:AO501,'Federal Data'!$G2:$G501,"General Science and Basic Research",'Federal Data'!$D2:$D501,"Nongrant")</f>
        <v>9573000</v>
      </c>
      <c r="AE68">
        <f>SUMIFS('Federal Data'!AP2:AP501,'Federal Data'!$G2:$G501,"General Science and Basic Research",'Federal Data'!$D2:$D501,"Nongrant")</f>
        <v>10020000</v>
      </c>
      <c r="AF68">
        <f>SUMIFS('Federal Data'!AQ2:AQ501,'Federal Data'!$G2:$G501,"General Science and Basic Research",'Federal Data'!$D2:$D501,"Nongrant")</f>
        <v>11730000</v>
      </c>
      <c r="AG68">
        <f>SUMIFS('Federal Data'!AR2:AR501,'Federal Data'!$G2:$G501,"General Science and Basic Research",'Federal Data'!$D2:$D501,"Nongrant")</f>
        <v>12434000</v>
      </c>
      <c r="AH68">
        <f>SUMIFS('Federal Data'!AS2:AS501,'Federal Data'!$G2:$G501,"General Science and Basic Research",'Federal Data'!$D2:$D501,"Nongrant")</f>
        <v>12458000</v>
      </c>
      <c r="AI68">
        <f>SUMIFS('Federal Data'!AT2:AT501,'Federal Data'!$G2:$G501,"General Science and Basic Research",'Federal Data'!$D2:$D501,"Nongrant")</f>
        <v>12479000</v>
      </c>
      <c r="AJ68">
        <f>SUMIFS('Federal Data'!AU2:AU501,'Federal Data'!$G2:$G501,"General Science and Basic Research",'Federal Data'!$D2:$D501,"Nongrant")</f>
        <v>12011000</v>
      </c>
      <c r="AK68">
        <f>SUMIFS('Federal Data'!AV2:AV501,'Federal Data'!$G2:$G501,"General Science and Basic Research",'Federal Data'!$D2:$D501,"Nongrant")</f>
        <v>11719000</v>
      </c>
    </row>
    <row r="69" spans="1:37">
      <c r="A69" s="5" t="s">
        <v>67</v>
      </c>
      <c r="B69">
        <f>SUMIFS('Federal Data'!M2:M501,'Federal Data'!$G2:$G501,"Space",'Federal Data'!$D2:$D501,"Nongrant")</f>
        <v>4450912</v>
      </c>
      <c r="C69">
        <f>SUMIFS('Federal Data'!N2:N501,'Federal Data'!$G2:$G501,"Space",'Federal Data'!$D2:$D501,"Nongrant")</f>
        <v>4992317</v>
      </c>
      <c r="D69">
        <f>SUMIFS('Federal Data'!O2:O501,'Federal Data'!$G2:$G501,"Space",'Federal Data'!$D2:$D501,"Nongrant")</f>
        <v>5592912</v>
      </c>
      <c r="E69">
        <f>SUMIFS('Federal Data'!P2:P501,'Federal Data'!$G2:$G501,"Space",'Federal Data'!$D2:$D501,"Nongrant")</f>
        <v>6290357</v>
      </c>
      <c r="F69">
        <f>SUMIFS('Federal Data'!Q2:Q501,'Federal Data'!$G2:$G501,"Space",'Federal Data'!$D2:$D501,"Nongrant")</f>
        <v>6468745</v>
      </c>
      <c r="G69">
        <f>SUMIFS('Federal Data'!R2:R501,'Federal Data'!$G2:$G501,"Space",'Federal Data'!$D2:$D501,"Nongrant")</f>
        <v>6607435</v>
      </c>
      <c r="H69">
        <f>SUMIFS('Federal Data'!S2:S501,'Federal Data'!$G2:$G501,"Space",'Federal Data'!$D2:$D501,"Nongrant")</f>
        <v>6755601</v>
      </c>
      <c r="I69">
        <f>SUMIFS('Federal Data'!T2:T501,'Federal Data'!$G2:$G501,"Space",'Federal Data'!$D2:$D501,"Nongrant")</f>
        <v>6956517</v>
      </c>
      <c r="J69">
        <f>SUMIFS('Federal Data'!U2:U501,'Federal Data'!$G2:$G501,"Space",'Federal Data'!$D2:$D501,"Nongrant")</f>
        <v>8412979</v>
      </c>
      <c r="K69">
        <f>SUMIFS('Federal Data'!V2:V501,'Federal Data'!$G2:$G501,"Space",'Federal Data'!$D2:$D501,"Nongrant")</f>
        <v>10195668</v>
      </c>
      <c r="L69">
        <f>SUMIFS('Federal Data'!W2:W501,'Federal Data'!$G2:$G501,"Space",'Federal Data'!$D2:$D501,"Nongrant")</f>
        <v>11608591</v>
      </c>
      <c r="M69">
        <f>SUMIFS('Federal Data'!X2:X501,'Federal Data'!$G2:$G501,"Space",'Federal Data'!$D2:$D501,"Nongrant")</f>
        <v>12956683</v>
      </c>
      <c r="N69">
        <f>SUMIFS('Federal Data'!Y2:Y501,'Federal Data'!$G2:$G501,"Space",'Federal Data'!$D2:$D501,"Nongrant")</f>
        <v>12837895</v>
      </c>
      <c r="O69">
        <f>SUMIFS('Federal Data'!Z2:Z501,'Federal Data'!$G2:$G501,"Space",'Federal Data'!$D2:$D501,"Nongrant")</f>
        <v>13092224</v>
      </c>
      <c r="P69">
        <f>SUMIFS('Federal Data'!AA2:AA501,'Federal Data'!$G2:$G501,"Space",'Federal Data'!$D2:$D501,"Nongrant")</f>
        <v>12363207</v>
      </c>
      <c r="Q69">
        <f>SUMIFS('Federal Data'!AB2:AB501,'Federal Data'!$G2:$G501,"Space",'Federal Data'!$D2:$D501,"Nongrant")</f>
        <v>12593000</v>
      </c>
      <c r="R69">
        <f>SUMIFS('Federal Data'!AC2:AC501,'Federal Data'!$G2:$G501,"Space",'Federal Data'!$D2:$D501,"Nongrant")</f>
        <v>12693000</v>
      </c>
      <c r="S69">
        <f>SUMIFS('Federal Data'!AD2:AD501,'Federal Data'!$G2:$G501,"Space",'Federal Data'!$D2:$D501,"Nongrant")</f>
        <v>13056000</v>
      </c>
      <c r="T69">
        <f>SUMIFS('Federal Data'!AE2:AE501,'Federal Data'!$G2:$G501,"Space",'Federal Data'!$D2:$D501,"Nongrant")</f>
        <v>12866000</v>
      </c>
      <c r="U69">
        <f>SUMIFS('Federal Data'!AF2:AF501,'Federal Data'!$G2:$G501,"Space",'Federal Data'!$D2:$D501,"Nongrant")</f>
        <v>12446000</v>
      </c>
      <c r="V69">
        <f>SUMIFS('Federal Data'!AG2:AG501,'Federal Data'!$G2:$G501,"Space",'Federal Data'!$D2:$D501,"Nongrant")</f>
        <v>12427000</v>
      </c>
      <c r="W69">
        <f>SUMIFS('Federal Data'!AH2:AH501,'Federal Data'!$G2:$G501,"Space",'Federal Data'!$D2:$D501,"Nongrant")</f>
        <v>13233000</v>
      </c>
      <c r="X69">
        <f>SUMIFS('Federal Data'!AI2:AI501,'Federal Data'!$G2:$G501,"Space",'Federal Data'!$D2:$D501,"Nongrant")</f>
        <v>13473000</v>
      </c>
      <c r="Y69">
        <f>SUMIFS('Federal Data'!AJ2:AJ501,'Federal Data'!$G2:$G501,"Space",'Federal Data'!$D2:$D501,"Nongrant")</f>
        <v>12880000</v>
      </c>
      <c r="Z69">
        <f>SUMIFS('Federal Data'!AK2:AK501,'Federal Data'!$G2:$G501,"Space",'Federal Data'!$D2:$D501,"Nongrant")</f>
        <v>14637000</v>
      </c>
      <c r="AA69">
        <f>SUMIFS('Federal Data'!AL2:AL501,'Federal Data'!$G2:$G501,"Space",'Federal Data'!$D2:$D501,"Nongrant")</f>
        <v>14778000</v>
      </c>
      <c r="AB69">
        <f>SUMIFS('Federal Data'!AM2:AM501,'Federal Data'!$G2:$G501,"Space",'Federal Data'!$D2:$D501,"Nongrant")</f>
        <v>14491000</v>
      </c>
      <c r="AC69">
        <f>SUMIFS('Federal Data'!AN2:AN501,'Federal Data'!$G2:$G501,"Space",'Federal Data'!$D2:$D501,"Nongrant")</f>
        <v>15258000</v>
      </c>
      <c r="AD69">
        <f>SUMIFS('Federal Data'!AO2:AO501,'Federal Data'!$G2:$G501,"Space",'Federal Data'!$D2:$D501,"Nongrant")</f>
        <v>17200000</v>
      </c>
      <c r="AE69">
        <f>SUMIFS('Federal Data'!AP2:AP501,'Federal Data'!$G2:$G501,"Space",'Federal Data'!$D2:$D501,"Nongrant")</f>
        <v>18397000</v>
      </c>
      <c r="AF69">
        <f>SUMIFS('Federal Data'!AQ2:AQ501,'Federal Data'!$G2:$G501,"Space",'Federal Data'!$D2:$D501,"Nongrant")</f>
        <v>18370000</v>
      </c>
      <c r="AG69">
        <f>SUMIFS('Federal Data'!AR2:AR501,'Federal Data'!$G2:$G501,"Space",'Federal Data'!$D2:$D501,"Nongrant")</f>
        <v>17032000</v>
      </c>
      <c r="AH69">
        <f>SUMIFS('Federal Data'!AS2:AS501,'Federal Data'!$G2:$G501,"Space",'Federal Data'!$D2:$D501,"Nongrant")</f>
        <v>16602000</v>
      </c>
      <c r="AI69">
        <f>SUMIFS('Federal Data'!AT2:AT501,'Federal Data'!$G2:$G501,"Space",'Federal Data'!$D2:$D501,"Nongrant")</f>
        <v>16429000</v>
      </c>
      <c r="AJ69">
        <f>SUMIFS('Federal Data'!AU2:AU501,'Federal Data'!$G2:$G501,"Space",'Federal Data'!$D2:$D501,"Nongrant")</f>
        <v>16559000</v>
      </c>
      <c r="AK69">
        <f>SUMIFS('Federal Data'!AV2:AV501,'Federal Data'!$G2:$G501,"Space",'Federal Data'!$D2:$D501,"Nongrant")</f>
        <v>17693000</v>
      </c>
    </row>
    <row r="70" spans="1:37">
      <c r="A70" s="5" t="s">
        <v>305</v>
      </c>
      <c r="B70">
        <f>SUMIFS('Federal Data'!M2:M501,'Federal Data'!$G2:$G501,"Technology INfrastructure",'Federal Data'!$D2:$D501,"Nongrant")</f>
        <v>214403</v>
      </c>
      <c r="C70">
        <f>SUMIFS('Federal Data'!N2:N501,'Federal Data'!$G2:$G501,"Technology INfrastructure",'Federal Data'!$D2:$D501,"Nongrant")</f>
        <v>234295</v>
      </c>
      <c r="D70">
        <f>SUMIFS('Federal Data'!O2:O501,'Federal Data'!$G2:$G501,"Technology INfrastructure",'Federal Data'!$D2:$D501,"Nongrant")</f>
        <v>223542</v>
      </c>
      <c r="E70">
        <f>SUMIFS('Federal Data'!P2:P501,'Federal Data'!$G2:$G501,"Technology INfrastructure",'Federal Data'!$D2:$D501,"Nongrant")</f>
        <v>242330</v>
      </c>
      <c r="F70">
        <f>SUMIFS('Federal Data'!Q2:Q501,'Federal Data'!$G2:$G501,"Technology INfrastructure",'Federal Data'!$D2:$D501,"Nongrant")</f>
        <v>287446</v>
      </c>
      <c r="G70">
        <f>SUMIFS('Federal Data'!R2:R501,'Federal Data'!$G2:$G501,"Technology INfrastructure",'Federal Data'!$D2:$D501,"Nongrant")</f>
        <v>377786</v>
      </c>
      <c r="H70">
        <f>SUMIFS('Federal Data'!S2:S501,'Federal Data'!$G2:$G501,"Technology INfrastructure",'Federal Data'!$D2:$D501,"Nongrant")</f>
        <v>432362</v>
      </c>
      <c r="I70">
        <f>SUMIFS('Federal Data'!T2:T501,'Federal Data'!$G2:$G501,"Technology INfrastructure",'Federal Data'!$D2:$D501,"Nongrant")</f>
        <v>492130</v>
      </c>
      <c r="J70">
        <f>SUMIFS('Federal Data'!U2:U501,'Federal Data'!$G2:$G501,"Technology INfrastructure",'Federal Data'!$D2:$D501,"Nongrant")</f>
        <v>577288</v>
      </c>
      <c r="K70">
        <f>SUMIFS('Federal Data'!V2:V501,'Federal Data'!$G2:$G501,"Technology INfrastructure",'Federal Data'!$D2:$D501,"Nongrant")</f>
        <v>753431</v>
      </c>
      <c r="L70">
        <f>SUMIFS('Federal Data'!W2:W501,'Federal Data'!$G2:$G501,"Technology INfrastructure",'Federal Data'!$D2:$D501,"Nongrant")</f>
        <v>942667</v>
      </c>
      <c r="M70">
        <f>SUMIFS('Federal Data'!X2:X501,'Federal Data'!$G2:$G501,"Technology INfrastructure",'Federal Data'!$D2:$D501,"Nongrant")</f>
        <v>1058765</v>
      </c>
      <c r="N70">
        <f>SUMIFS('Federal Data'!Y2:Y501,'Federal Data'!$G2:$G501,"Technology INfrastructure",'Federal Data'!$D2:$D501,"Nongrant")</f>
        <v>1143527</v>
      </c>
      <c r="O70">
        <f>SUMIFS('Federal Data'!Z2:Z501,'Federal Data'!$G2:$G501,"Technology INfrastructure",'Federal Data'!$D2:$D501,"Nongrant")</f>
        <v>1225051</v>
      </c>
      <c r="P70">
        <f>SUMIFS('Federal Data'!AA2:AA501,'Federal Data'!$G2:$G501,"Technology INfrastructure",'Federal Data'!$D2:$D501,"Nongrant")</f>
        <v>1133553</v>
      </c>
      <c r="Q70">
        <f>SUMIFS('Federal Data'!AB2:AB501,'Federal Data'!$G2:$G501,"Technology INfrastructure",'Federal Data'!$D2:$D501,"Nongrant")</f>
        <v>1400000</v>
      </c>
      <c r="R70">
        <f>SUMIFS('Federal Data'!AC2:AC501,'Federal Data'!$G2:$G501,"Technology INfrastructure",'Federal Data'!$D2:$D501,"Nongrant")</f>
        <v>1552000</v>
      </c>
      <c r="S70">
        <f>SUMIFS('Federal Data'!AD2:AD501,'Federal Data'!$G2:$G501,"Technology INfrastructure",'Federal Data'!$D2:$D501,"Nongrant")</f>
        <v>2612000</v>
      </c>
      <c r="T70">
        <f>SUMIFS('Federal Data'!AE2:AE501,'Federal Data'!$G2:$G501,"Technology INfrastructure",'Federal Data'!$D2:$D501,"Nongrant")</f>
        <v>7272000</v>
      </c>
      <c r="U70">
        <f>SUMIFS('Federal Data'!AF2:AF501,'Federal Data'!$G2:$G501,"Technology INfrastructure",'Federal Data'!$D2:$D501,"Nongrant")</f>
        <v>4520000</v>
      </c>
      <c r="V70">
        <f>SUMIFS('Federal Data'!AG2:AG501,'Federal Data'!$G2:$G501,"Technology INfrastructure",'Federal Data'!$D2:$D501,"Nongrant")</f>
        <v>1798000</v>
      </c>
      <c r="W70">
        <f>SUMIFS('Federal Data'!AH2:AH501,'Federal Data'!$G2:$G501,"Technology INfrastructure",'Federal Data'!$D2:$D501,"Nongrant")</f>
        <v>3429000</v>
      </c>
      <c r="X70">
        <f>SUMIFS('Federal Data'!AI2:AI501,'Federal Data'!$G2:$G501,"Technology INfrastructure",'Federal Data'!$D2:$D501,"Nongrant")</f>
        <v>4677000</v>
      </c>
      <c r="Y70">
        <f>SUMIFS('Federal Data'!AJ2:AJ501,'Federal Data'!$G2:$G501,"Technology INfrastructure",'Federal Data'!$D2:$D501,"Nongrant")</f>
        <v>8423000</v>
      </c>
      <c r="Z70">
        <f>SUMIFS('Federal Data'!AK2:AK501,'Federal Data'!$G2:$G501,"Technology INfrastructure",'Federal Data'!$D2:$D501,"Nongrant")</f>
        <v>3493000</v>
      </c>
      <c r="AA70">
        <f>SUMIFS('Federal Data'!AL2:AL501,'Federal Data'!$G2:$G501,"Technology INfrastructure",'Federal Data'!$D2:$D501,"Nongrant")</f>
        <v>6971000</v>
      </c>
      <c r="AB70">
        <f>SUMIFS('Federal Data'!AM2:AM501,'Federal Data'!$G2:$G501,"Technology INfrastructure",'Federal Data'!$D2:$D501,"Nongrant")</f>
        <v>6334000</v>
      </c>
      <c r="AC70">
        <f>SUMIFS('Federal Data'!AN2:AN501,'Federal Data'!$G2:$G501,"Technology INfrastructure",'Federal Data'!$D2:$D501,"Nongrant")</f>
        <v>6809000</v>
      </c>
      <c r="AD70">
        <f>SUMIFS('Federal Data'!AO2:AO501,'Federal Data'!$G2:$G501,"Technology INfrastructure",'Federal Data'!$D2:$D501,"Nongrant")</f>
        <v>7652000</v>
      </c>
      <c r="AE70">
        <f>SUMIFS('Federal Data'!AP2:AP501,'Federal Data'!$G2:$G501,"Technology INfrastructure",'Federal Data'!$D2:$D501,"Nongrant")</f>
        <v>8909000</v>
      </c>
      <c r="AF70">
        <f>SUMIFS('Federal Data'!AQ2:AQ501,'Federal Data'!$G2:$G501,"Technology INfrastructure",'Federal Data'!$D2:$D501,"Nongrant")</f>
        <v>8084000</v>
      </c>
      <c r="AG70">
        <f>SUMIFS('Federal Data'!AR2:AR501,'Federal Data'!$G2:$G501,"Technology INfrastructure",'Federal Data'!$D2:$D501,"Nongrant")</f>
        <v>9137000</v>
      </c>
      <c r="AH70">
        <f>SUMIFS('Federal Data'!AS2:AS501,'Federal Data'!$G2:$G501,"Technology INfrastructure",'Federal Data'!$D2:$D501,"Nongrant")</f>
        <v>10426000</v>
      </c>
      <c r="AI70">
        <f>SUMIFS('Federal Data'!AT2:AT501,'Federal Data'!$G2:$G501,"Technology INfrastructure",'Federal Data'!$D2:$D501,"Nongrant")</f>
        <v>9041000</v>
      </c>
      <c r="AJ70">
        <f>SUMIFS('Federal Data'!AU2:AU501,'Federal Data'!$G2:$G501,"Technology INfrastructure",'Federal Data'!$D2:$D501,"Nongrant")</f>
        <v>8331000</v>
      </c>
      <c r="AK70">
        <f>SUMIFS('Federal Data'!AV2:AV501,'Federal Data'!$G2:$G501,"Technology INfrastructure",'Federal Data'!$D2:$D501,"Nongrant")</f>
        <v>8762000</v>
      </c>
    </row>
    <row r="71" spans="1:37">
      <c r="A71" s="5" t="s">
        <v>293</v>
      </c>
      <c r="B71">
        <f>SUMIFS('Federal Data'!M2:M501,'Federal Data'!$G2:$G501,"Postal Service",'Federal Data'!$D2:$D501,"Nongrant")</f>
        <v>1245551</v>
      </c>
      <c r="C71">
        <f>SUMIFS('Federal Data'!N2:N501,'Federal Data'!$G2:$G501,"Postal Service",'Federal Data'!$D2:$D501,"Nongrant")</f>
        <v>1431723</v>
      </c>
      <c r="D71">
        <f>SUMIFS('Federal Data'!O2:O501,'Federal Data'!$G2:$G501,"Postal Service",'Federal Data'!$D2:$D501,"Nongrant")</f>
        <v>154146</v>
      </c>
      <c r="E71">
        <f>SUMIFS('Federal Data'!P2:P501,'Federal Data'!$G2:$G501,"Postal Service",'Federal Data'!$D2:$D501,"Nongrant")</f>
        <v>1111294</v>
      </c>
      <c r="F71">
        <f>SUMIFS('Federal Data'!Q2:Q501,'Federal Data'!$G2:$G501,"Postal Service",'Federal Data'!$D2:$D501,"Nongrant")</f>
        <v>1238828</v>
      </c>
      <c r="G71">
        <f>SUMIFS('Federal Data'!R2:R501,'Federal Data'!$G2:$G501,"Postal Service",'Federal Data'!$D2:$D501,"Nongrant")</f>
        <v>1351100</v>
      </c>
      <c r="H71">
        <f>SUMIFS('Federal Data'!S2:S501,'Federal Data'!$G2:$G501,"Postal Service",'Federal Data'!$D2:$D501,"Nongrant")</f>
        <v>758085</v>
      </c>
      <c r="I71">
        <f>SUMIFS('Federal Data'!T2:T501,'Federal Data'!$G2:$G501,"Postal Service",'Federal Data'!$D2:$D501,"Nongrant")</f>
        <v>1592629</v>
      </c>
      <c r="J71">
        <f>SUMIFS('Federal Data'!U2:U501,'Federal Data'!$G2:$G501,"Postal Service",'Federal Data'!$D2:$D501,"Nongrant")</f>
        <v>2229465</v>
      </c>
      <c r="K71">
        <f>SUMIFS('Federal Data'!V2:V501,'Federal Data'!$G2:$G501,"Postal Service",'Federal Data'!$D2:$D501,"Nongrant")</f>
        <v>126798</v>
      </c>
      <c r="L71">
        <f>SUMIFS('Federal Data'!W2:W501,'Federal Data'!$G2:$G501,"Postal Service",'Federal Data'!$D2:$D501,"Nongrant")</f>
        <v>2115676</v>
      </c>
      <c r="M71">
        <f>SUMIFS('Federal Data'!X2:X501,'Federal Data'!$G2:$G501,"Postal Service",'Federal Data'!$D2:$D501,"Nongrant")</f>
        <v>1827993</v>
      </c>
      <c r="N71">
        <f>SUMIFS('Federal Data'!Y2:Y501,'Federal Data'!$G2:$G501,"Postal Service",'Federal Data'!$D2:$D501,"Nongrant")</f>
        <v>1169276</v>
      </c>
      <c r="O71">
        <f>SUMIFS('Federal Data'!Z2:Z501,'Federal Data'!$G2:$G501,"Postal Service",'Federal Data'!$D2:$D501,"Nongrant")</f>
        <v>1601631</v>
      </c>
      <c r="P71">
        <f>SUMIFS('Federal Data'!AA2:AA501,'Federal Data'!$G2:$G501,"Postal Service",'Federal Data'!$D2:$D501,"Nongrant")</f>
        <v>1233139</v>
      </c>
      <c r="Q71">
        <f>SUMIFS('Federal Data'!AB2:AB501,'Federal Data'!$G2:$G501,"Postal Service",'Federal Data'!$D2:$D501,"Nongrant")</f>
        <v>-1839000</v>
      </c>
      <c r="R71">
        <f>SUMIFS('Federal Data'!AC2:AC501,'Federal Data'!$G2:$G501,"Postal Service",'Federal Data'!$D2:$D501,"Nongrant")</f>
        <v>-58000</v>
      </c>
      <c r="S71">
        <f>SUMIFS('Federal Data'!AD2:AD501,'Federal Data'!$G2:$G501,"Postal Service",'Federal Data'!$D2:$D501,"Nongrant")</f>
        <v>77000</v>
      </c>
      <c r="T71">
        <f>SUMIFS('Federal Data'!AE2:AE501,'Federal Data'!$G2:$G501,"Postal Service",'Federal Data'!$D2:$D501,"Nongrant")</f>
        <v>303000</v>
      </c>
      <c r="U71">
        <f>SUMIFS('Federal Data'!AF2:AF501,'Federal Data'!$G2:$G501,"Postal Service",'Federal Data'!$D2:$D501,"Nongrant")</f>
        <v>1050000</v>
      </c>
      <c r="V71">
        <f>SUMIFS('Federal Data'!AG2:AG501,'Federal Data'!$G2:$G501,"Postal Service",'Federal Data'!$D2:$D501,"Nongrant")</f>
        <v>2129000</v>
      </c>
      <c r="W71">
        <f>SUMIFS('Federal Data'!AH2:AH501,'Federal Data'!$G2:$G501,"Postal Service",'Federal Data'!$D2:$D501,"Nongrant")</f>
        <v>2395000</v>
      </c>
      <c r="X71">
        <f>SUMIFS('Federal Data'!AI2:AI501,'Federal Data'!$G2:$G501,"Postal Service",'Federal Data'!$D2:$D501,"Nongrant")</f>
        <v>207000</v>
      </c>
      <c r="Y71">
        <f>SUMIFS('Federal Data'!AJ2:AJ501,'Federal Data'!$G2:$G501,"Postal Service",'Federal Data'!$D2:$D501,"Nongrant")</f>
        <v>-5169000</v>
      </c>
      <c r="Z71">
        <f>SUMIFS('Federal Data'!AK2:AK501,'Federal Data'!$G2:$G501,"Postal Service",'Federal Data'!$D2:$D501,"Nongrant")</f>
        <v>-4070000</v>
      </c>
      <c r="AA71">
        <f>SUMIFS('Federal Data'!AL2:AL501,'Federal Data'!$G2:$G501,"Postal Service",'Federal Data'!$D2:$D501,"Nongrant")</f>
        <v>-1223000</v>
      </c>
      <c r="AB71">
        <f>SUMIFS('Federal Data'!AM2:AM501,'Federal Data'!$G2:$G501,"Postal Service",'Federal Data'!$D2:$D501,"Nongrant")</f>
        <v>-971000</v>
      </c>
      <c r="AC71">
        <f>SUMIFS('Federal Data'!AN2:AN501,'Federal Data'!$G2:$G501,"Postal Service",'Federal Data'!$D2:$D501,"Nongrant")</f>
        <v>5197000</v>
      </c>
      <c r="AD71">
        <f>SUMIFS('Federal Data'!AO2:AO501,'Federal Data'!$G2:$G501,"Postal Service",'Federal Data'!$D2:$D501,"Nongrant")</f>
        <v>2526000</v>
      </c>
      <c r="AE71">
        <f>SUMIFS('Federal Data'!AP2:AP501,'Federal Data'!$G2:$G501,"Postal Service",'Federal Data'!$D2:$D501,"Nongrant")</f>
        <v>422000</v>
      </c>
      <c r="AF71">
        <f>SUMIFS('Federal Data'!AQ2:AQ501,'Federal Data'!$G2:$G501,"Postal Service",'Federal Data'!$D2:$D501,"Nongrant")</f>
        <v>4818000</v>
      </c>
      <c r="AG71">
        <f>SUMIFS('Federal Data'!AR2:AR501,'Federal Data'!$G2:$G501,"Postal Service",'Federal Data'!$D2:$D501,"Nongrant")</f>
        <v>909000</v>
      </c>
      <c r="AH71">
        <f>SUMIFS('Federal Data'!AS2:AS501,'Federal Data'!$G2:$G501,"Postal Service",'Federal Data'!$D2:$D501,"Nongrant")</f>
        <v>2744000</v>
      </c>
      <c r="AI71">
        <f>SUMIFS('Federal Data'!AT2:AT501,'Federal Data'!$G2:$G501,"Postal Service",'Federal Data'!$D2:$D501,"Nongrant")</f>
        <v>-1839000</v>
      </c>
      <c r="AJ71">
        <f>SUMIFS('Federal Data'!AU2:AU501,'Federal Data'!$G2:$G501,"Postal Service",'Federal Data'!$D2:$D501,"Nongrant")</f>
        <v>-2453000</v>
      </c>
      <c r="AK71">
        <f>SUMIFS('Federal Data'!AV2:AV501,'Federal Data'!$G2:$G501,"Postal Service",'Federal Data'!$D2:$D501,"Nongrant")</f>
        <v>-1610000</v>
      </c>
    </row>
    <row r="72" spans="1:37">
      <c r="A72" s="5" t="s">
        <v>70</v>
      </c>
      <c r="B72">
        <f>SUMIFS('Federal Data'!M2:M501,'Federal Data'!$G2:$G501,"Community and Regional Development",'Federal Data'!$D2:$D501,"Nongrant")</f>
        <v>2945421</v>
      </c>
      <c r="C72">
        <f>SUMIFS('Federal Data'!N2:N501,'Federal Data'!$G2:$G501,"Community and Regional Development",'Federal Data'!$D2:$D501,"Nongrant")</f>
        <v>2870788</v>
      </c>
      <c r="D72">
        <f>SUMIFS('Federal Data'!O2:O501,'Federal Data'!$G2:$G501,"Community and Regional Development",'Federal Data'!$D2:$D501,"Nongrant")</f>
        <v>2991174</v>
      </c>
      <c r="E72">
        <f>SUMIFS('Federal Data'!P2:P501,'Federal Data'!$G2:$G501,"Community and Regional Development",'Federal Data'!$D2:$D501,"Nongrant")</f>
        <v>2628995</v>
      </c>
      <c r="F72">
        <f>SUMIFS('Federal Data'!Q2:Q501,'Federal Data'!$G2:$G501,"Community and Regional Development",'Federal Data'!$D2:$D501,"Nongrant")</f>
        <v>2447387</v>
      </c>
      <c r="G72">
        <f>SUMIFS('Federal Data'!R2:R501,'Federal Data'!$G2:$G501,"Community and Regional Development",'Federal Data'!$D2:$D501,"Nongrant")</f>
        <v>2529110</v>
      </c>
      <c r="H72">
        <f>SUMIFS('Federal Data'!S2:S501,'Federal Data'!$G2:$G501,"Community and Regional Development",'Federal Data'!$D2:$D501,"Nongrant")</f>
        <v>2132617</v>
      </c>
      <c r="I72">
        <f>SUMIFS('Federal Data'!T2:T501,'Federal Data'!$G2:$G501,"Community and Regional Development",'Federal Data'!$D2:$D501,"Nongrant")</f>
        <v>1132338</v>
      </c>
      <c r="J72">
        <f>SUMIFS('Federal Data'!U2:U501,'Federal Data'!$G2:$G501,"Community and Regional Development",'Federal Data'!$D2:$D501,"Nongrant")</f>
        <v>1332699</v>
      </c>
      <c r="K72">
        <f>SUMIFS('Federal Data'!V2:V501,'Federal Data'!$G2:$G501,"Community and Regional Development",'Federal Data'!$D2:$D501,"Nongrant")</f>
        <v>1551786</v>
      </c>
      <c r="L72">
        <f>SUMIFS('Federal Data'!W2:W501,'Federal Data'!$G2:$G501,"Community and Regional Development",'Federal Data'!$D2:$D501,"Nongrant")</f>
        <v>2553954</v>
      </c>
      <c r="M72">
        <f>SUMIFS('Federal Data'!X2:X501,'Federal Data'!$G2:$G501,"Community and Regional Development",'Federal Data'!$D2:$D501,"Nongrant")</f>
        <v>2403673</v>
      </c>
      <c r="N72">
        <f>SUMIFS('Federal Data'!Y2:Y501,'Federal Data'!$G2:$G501,"Community and Regional Development",'Federal Data'!$D2:$D501,"Nongrant")</f>
        <v>1953952</v>
      </c>
      <c r="O72">
        <f>SUMIFS('Federal Data'!Z2:Z501,'Federal Data'!$G2:$G501,"Community and Regional Development",'Federal Data'!$D2:$D501,"Nongrant")</f>
        <v>2250369</v>
      </c>
      <c r="P72">
        <f>SUMIFS('Federal Data'!AA2:AA501,'Federal Data'!$G2:$G501,"Community and Regional Development",'Federal Data'!$D2:$D501,"Nongrant")</f>
        <v>1708969</v>
      </c>
      <c r="Q72">
        <f>SUMIFS('Federal Data'!AB2:AB501,'Federal Data'!$G2:$G501,"Community and Regional Development",'Federal Data'!$D2:$D501,"Nongrant")</f>
        <v>1799000</v>
      </c>
      <c r="R72">
        <f>SUMIFS('Federal Data'!AC2:AC501,'Federal Data'!$G2:$G501,"Community and Regional Development",'Federal Data'!$D2:$D501,"Nongrant")</f>
        <v>1527000</v>
      </c>
      <c r="S72">
        <f>SUMIFS('Federal Data'!AD2:AD501,'Federal Data'!$G2:$G501,"Community and Regional Development",'Federal Data'!$D2:$D501,"Nongrant")</f>
        <v>1579000</v>
      </c>
      <c r="T72">
        <f>SUMIFS('Federal Data'!AE2:AE501,'Federal Data'!$G2:$G501,"Community and Regional Development",'Federal Data'!$D2:$D501,"Nongrant")</f>
        <v>1641000</v>
      </c>
      <c r="U72">
        <f>SUMIFS('Federal Data'!AF2:AF501,'Federal Data'!$G2:$G501,"Community and Regional Development",'Federal Data'!$D2:$D501,"Nongrant")</f>
        <v>1325000</v>
      </c>
      <c r="V72">
        <f>SUMIFS('Federal Data'!AG2:AG501,'Federal Data'!$G2:$G501,"Community and Regional Development",'Federal Data'!$D2:$D501,"Nongrant")</f>
        <v>1752000</v>
      </c>
      <c r="W72">
        <f>SUMIFS('Federal Data'!AH2:AH501,'Federal Data'!$G2:$G501,"Community and Regional Development",'Federal Data'!$D2:$D501,"Nongrant")</f>
        <v>1464000</v>
      </c>
      <c r="X72">
        <f>SUMIFS('Federal Data'!AI2:AI501,'Federal Data'!$G2:$G501,"Community and Regional Development",'Federal Data'!$D2:$D501,"Nongrant")</f>
        <v>1583000</v>
      </c>
      <c r="Y72">
        <f>SUMIFS('Federal Data'!AJ2:AJ501,'Federal Data'!$G2:$G501,"Community and Regional Development",'Federal Data'!$D2:$D501,"Nongrant")</f>
        <v>1520000</v>
      </c>
      <c r="Z72">
        <f>SUMIFS('Federal Data'!AK2:AK501,'Federal Data'!$G2:$G501,"Community and Regional Development",'Federal Data'!$D2:$D501,"Nongrant")</f>
        <v>1404000</v>
      </c>
      <c r="AA72">
        <f>SUMIFS('Federal Data'!AL2:AL501,'Federal Data'!$G2:$G501,"Community and Regional Development",'Federal Data'!$D2:$D501,"Nongrant")</f>
        <v>1980000</v>
      </c>
      <c r="AB72">
        <f>SUMIFS('Federal Data'!AM2:AM501,'Federal Data'!$G2:$G501,"Community and Regional Development",'Federal Data'!$D2:$D501,"Nongrant")</f>
        <v>1871000</v>
      </c>
      <c r="AC72">
        <f>SUMIFS('Federal Data'!AN2:AN501,'Federal Data'!$G2:$G501,"Community and Regional Development",'Federal Data'!$D2:$D501,"Nongrant")</f>
        <v>1962000</v>
      </c>
      <c r="AD72">
        <f>SUMIFS('Federal Data'!AO2:AO501,'Federal Data'!$G2:$G501,"Community and Regional Development",'Federal Data'!$D2:$D501,"Nongrant")</f>
        <v>2191000</v>
      </c>
      <c r="AE72">
        <f>SUMIFS('Federal Data'!AP2:AP501,'Federal Data'!$G2:$G501,"Community and Regional Development",'Federal Data'!$D2:$D501,"Nongrant")</f>
        <v>2640000</v>
      </c>
      <c r="AF72">
        <f>SUMIFS('Federal Data'!AQ2:AQ501,'Federal Data'!$G2:$G501,"Community and Regional Development",'Federal Data'!$D2:$D501,"Nongrant")</f>
        <v>2725000</v>
      </c>
      <c r="AG72">
        <f>SUMIFS('Federal Data'!AR2:AR501,'Federal Data'!$G2:$G501,"Community and Regional Development",'Federal Data'!$D2:$D501,"Nongrant")</f>
        <v>3176000</v>
      </c>
      <c r="AH72">
        <f>SUMIFS('Federal Data'!AS2:AS501,'Federal Data'!$G2:$G501,"Community and Regional Development",'Federal Data'!$D2:$D501,"Nongrant")</f>
        <v>3141000</v>
      </c>
      <c r="AI72">
        <f>SUMIFS('Federal Data'!AT2:AT501,'Federal Data'!$G2:$G501,"Community and Regional Development",'Federal Data'!$D2:$D501,"Nongrant")</f>
        <v>371000</v>
      </c>
      <c r="AJ72">
        <f>SUMIFS('Federal Data'!AU2:AU501,'Federal Data'!$G2:$G501,"Community and Regional Development",'Federal Data'!$D2:$D501,"Nongrant")</f>
        <v>2450000</v>
      </c>
      <c r="AK72">
        <f>SUMIFS('Federal Data'!AV2:AV501,'Federal Data'!$G2:$G501,"Community and Regional Development",'Federal Data'!$D2:$D501,"Nongrant")</f>
        <v>3245000</v>
      </c>
    </row>
    <row r="73" spans="1:37">
      <c r="A73" s="4" t="s">
        <v>235</v>
      </c>
      <c r="B73">
        <f>SUMIFS('Federal Data'!M2:M501,'Federal Data'!$F2:$F501,"Health",'Federal Data'!$D2:$D501,"Nongrant")</f>
        <v>5134624</v>
      </c>
      <c r="C73">
        <f>SUMIFS('Federal Data'!N2:N501,'Federal Data'!$F2:$F501,"Health",'Federal Data'!$D2:$D501,"Nongrant")</f>
        <v>5415675</v>
      </c>
      <c r="D73">
        <f>SUMIFS('Federal Data'!O2:O501,'Federal Data'!$F2:$F501,"Health",'Federal Data'!$D2:$D501,"Nongrant")</f>
        <v>5945079</v>
      </c>
      <c r="E73">
        <f>SUMIFS('Federal Data'!P2:P501,'Federal Data'!$F2:$F501,"Health",'Federal Data'!$D2:$D501,"Nongrant")</f>
        <v>5627461</v>
      </c>
      <c r="F73">
        <f>SUMIFS('Federal Data'!Q2:Q501,'Federal Data'!$F2:$F501,"Health",'Federal Data'!$D2:$D501,"Nongrant")</f>
        <v>5347967</v>
      </c>
      <c r="G73">
        <f>SUMIFS('Federal Data'!R2:R501,'Federal Data'!$F2:$F501,"Health",'Federal Data'!$D2:$D501,"Nongrant")</f>
        <v>5848625</v>
      </c>
      <c r="H73">
        <f>SUMIFS('Federal Data'!S2:S501,'Federal Data'!$F2:$F501,"Health",'Federal Data'!$D2:$D501,"Nongrant")</f>
        <v>6460121</v>
      </c>
      <c r="I73">
        <f>SUMIFS('Federal Data'!T2:T501,'Federal Data'!$F2:$F501,"Health",'Federal Data'!$D2:$D501,"Nongrant")</f>
        <v>6661638</v>
      </c>
      <c r="J73">
        <f>SUMIFS('Federal Data'!U2:U501,'Federal Data'!$F2:$F501,"Health",'Federal Data'!$D2:$D501,"Nongrant")</f>
        <v>7911802</v>
      </c>
      <c r="K73">
        <f>SUMIFS('Federal Data'!V2:V501,'Federal Data'!$F2:$F501,"Health",'Federal Data'!$D2:$D501,"Nongrant")</f>
        <v>8661157</v>
      </c>
      <c r="L73">
        <f>SUMIFS('Federal Data'!W2:W501,'Federal Data'!$F2:$F501,"Health",'Federal Data'!$D2:$D501,"Nongrant")</f>
        <v>9595650</v>
      </c>
      <c r="M73">
        <f>SUMIFS('Federal Data'!X2:X501,'Federal Data'!$F2:$F501,"Health",'Federal Data'!$D2:$D501,"Nongrant")</f>
        <v>10204458</v>
      </c>
      <c r="N73">
        <f>SUMIFS('Federal Data'!Y2:Y501,'Federal Data'!$F2:$F501,"Health",'Federal Data'!$D2:$D501,"Nongrant")</f>
        <v>11379431</v>
      </c>
      <c r="O73">
        <f>SUMIFS('Federal Data'!Z2:Z501,'Federal Data'!$F2:$F501,"Health",'Federal Data'!$D2:$D501,"Nongrant")</f>
        <v>12681861</v>
      </c>
      <c r="P73">
        <f>SUMIFS('Federal Data'!AA2:AA501,'Federal Data'!$F2:$F501,"Health",'Federal Data'!$D2:$D501,"Nongrant")</f>
        <v>13103089</v>
      </c>
      <c r="Q73">
        <f>SUMIFS('Federal Data'!AB2:AB501,'Federal Data'!$F2:$F501,"Health",'Federal Data'!$D2:$D501,"Nongrant")</f>
        <v>14158000</v>
      </c>
      <c r="R73">
        <f>SUMIFS('Federal Data'!AC2:AC501,'Federal Data'!$F2:$F501,"Health",'Federal Data'!$D2:$D501,"Nongrant")</f>
        <v>13500000</v>
      </c>
      <c r="S73">
        <f>SUMIFS('Federal Data'!AD2:AD501,'Federal Data'!$F2:$F501,"Health",'Federal Data'!$D2:$D501,"Nongrant")</f>
        <v>15935000</v>
      </c>
      <c r="T73">
        <f>SUMIFS('Federal Data'!AE2:AE501,'Federal Data'!$F2:$F501,"Health",'Federal Data'!$D2:$D501,"Nongrant")</f>
        <v>16782000</v>
      </c>
      <c r="U73">
        <f>SUMIFS('Federal Data'!AF2:AF501,'Federal Data'!$F2:$F501,"Health",'Federal Data'!$D2:$D501,"Nongrant")</f>
        <v>17684000</v>
      </c>
      <c r="V73">
        <f>SUMIFS('Federal Data'!AG2:AG501,'Federal Data'!$F2:$F501,"Health",'Federal Data'!$D2:$D501,"Nongrant")</f>
        <v>19925000</v>
      </c>
      <c r="W73">
        <f>SUMIFS('Federal Data'!AH2:AH501,'Federal Data'!$F2:$F501,"Health",'Federal Data'!$D2:$D501,"Nongrant")</f>
        <v>22979000</v>
      </c>
      <c r="X73">
        <f>SUMIFS('Federal Data'!AI2:AI501,'Federal Data'!$F2:$F501,"Health",'Federal Data'!$D2:$D501,"Nongrant")</f>
        <v>27208000</v>
      </c>
      <c r="Y73">
        <f>SUMIFS('Federal Data'!AJ2:AJ501,'Federal Data'!$F2:$F501,"Health",'Federal Data'!$D2:$D501,"Nongrant")</f>
        <v>30323000</v>
      </c>
      <c r="Z73">
        <f>SUMIFS('Federal Data'!AK2:AK501,'Federal Data'!$F2:$F501,"Health",'Federal Data'!$D2:$D501,"Nongrant")</f>
        <v>33246000</v>
      </c>
      <c r="AA73">
        <f>SUMIFS('Federal Data'!AL2:AL501,'Federal Data'!$F2:$F501,"Health",'Federal Data'!$D2:$D501,"Nongrant")</f>
        <v>33949000</v>
      </c>
      <c r="AB73">
        <f>SUMIFS('Federal Data'!AM2:AM501,'Federal Data'!$F2:$F501,"Health",'Federal Data'!$D2:$D501,"Nongrant")</f>
        <v>35568000</v>
      </c>
      <c r="AC73">
        <f>SUMIFS('Federal Data'!AN2:AN501,'Federal Data'!$F2:$F501,"Health",'Federal Data'!$D2:$D501,"Nongrant")</f>
        <v>36020000</v>
      </c>
      <c r="AD73">
        <f>SUMIFS('Federal Data'!AO2:AO501,'Federal Data'!$F2:$F501,"Health",'Federal Data'!$D2:$D501,"Nongrant")</f>
        <v>38867000</v>
      </c>
      <c r="AE73">
        <f>SUMIFS('Federal Data'!AP2:AP501,'Federal Data'!$F2:$F501,"Health",'Federal Data'!$D2:$D501,"Nongrant")</f>
        <v>40191000</v>
      </c>
      <c r="AF73">
        <f>SUMIFS('Federal Data'!AQ2:AQ501,'Federal Data'!$F2:$F501,"Health",'Federal Data'!$D2:$D501,"Nongrant")</f>
        <v>48815000</v>
      </c>
      <c r="AG73">
        <f>SUMIFS('Federal Data'!AR2:AR501,'Federal Data'!$F2:$F501,"Health",'Federal Data'!$D2:$D501,"Nongrant")</f>
        <v>52534000</v>
      </c>
      <c r="AH73">
        <f>SUMIFS('Federal Data'!AS2:AS501,'Federal Data'!$F2:$F501,"Health",'Federal Data'!$D2:$D501,"Nongrant")</f>
        <v>51300000</v>
      </c>
      <c r="AI73">
        <f>SUMIFS('Federal Data'!AT2:AT501,'Federal Data'!$F2:$F501,"Health",'Federal Data'!$D2:$D501,"Nongrant")</f>
        <v>49775000</v>
      </c>
      <c r="AJ73">
        <f>SUMIFS('Federal Data'!AU2:AU501,'Federal Data'!$F2:$F501,"Health",'Federal Data'!$D2:$D501,"Nongrant")</f>
        <v>47077000</v>
      </c>
      <c r="AK73">
        <f>SUMIFS('Federal Data'!AV2:AV501,'Federal Data'!$F2:$F501,"Health",'Federal Data'!$D2:$D501,"Nongrant")</f>
        <v>46269000</v>
      </c>
    </row>
    <row r="74" spans="1:37">
      <c r="A74" s="5" t="s">
        <v>56</v>
      </c>
      <c r="B74">
        <f>SUMIFS('Federal Data'!M2:M501,'Federal Data'!$G2:$G501,"Public Health",'Federal Data'!$D2:$D501,"Nongrant")</f>
        <v>5001544</v>
      </c>
      <c r="C74">
        <f>SUMIFS('Federal Data'!N2:N501,'Federal Data'!$G2:$G501,"Public Health",'Federal Data'!$D2:$D501,"Nongrant")</f>
        <v>5181941</v>
      </c>
      <c r="D74">
        <f>SUMIFS('Federal Data'!O2:O501,'Federal Data'!$G2:$G501,"Public Health",'Federal Data'!$D2:$D501,"Nongrant")</f>
        <v>5784954</v>
      </c>
      <c r="E74">
        <f>SUMIFS('Federal Data'!P2:P501,'Federal Data'!$G2:$G501,"Public Health",'Federal Data'!$D2:$D501,"Nongrant")</f>
        <v>5490291</v>
      </c>
      <c r="F74">
        <f>SUMIFS('Federal Data'!Q2:Q501,'Federal Data'!$G2:$G501,"Public Health",'Federal Data'!$D2:$D501,"Nongrant")</f>
        <v>5219565</v>
      </c>
      <c r="G74">
        <f>SUMIFS('Federal Data'!R2:R501,'Federal Data'!$G2:$G501,"Public Health",'Federal Data'!$D2:$D501,"Nongrant")</f>
        <v>5769706</v>
      </c>
      <c r="H74">
        <f>SUMIFS('Federal Data'!S2:S501,'Federal Data'!$G2:$G501,"Public Health",'Federal Data'!$D2:$D501,"Nongrant")</f>
        <v>6351160</v>
      </c>
      <c r="I74">
        <f>SUMIFS('Federal Data'!T2:T501,'Federal Data'!$G2:$G501,"Public Health",'Federal Data'!$D2:$D501,"Nongrant")</f>
        <v>6524578</v>
      </c>
      <c r="J74">
        <f>SUMIFS('Federal Data'!U2:U501,'Federal Data'!$G2:$G501,"Public Health",'Federal Data'!$D2:$D501,"Nongrant")</f>
        <v>7811307</v>
      </c>
      <c r="K74">
        <f>SUMIFS('Federal Data'!V2:V501,'Federal Data'!$G2:$G501,"Public Health",'Federal Data'!$D2:$D501,"Nongrant")</f>
        <v>8544856</v>
      </c>
      <c r="L74">
        <f>SUMIFS('Federal Data'!W2:W501,'Federal Data'!$G2:$G501,"Public Health",'Federal Data'!$D2:$D501,"Nongrant")</f>
        <v>9467745</v>
      </c>
      <c r="M74">
        <f>SUMIFS('Federal Data'!X2:X501,'Federal Data'!$G2:$G501,"Public Health",'Federal Data'!$D2:$D501,"Nongrant")</f>
        <v>10040194</v>
      </c>
      <c r="N74">
        <f>SUMIFS('Federal Data'!Y2:Y501,'Federal Data'!$G2:$G501,"Public Health",'Federal Data'!$D2:$D501,"Nongrant")</f>
        <v>11392331</v>
      </c>
      <c r="O74">
        <f>SUMIFS('Federal Data'!Z2:Z501,'Federal Data'!$G2:$G501,"Public Health",'Federal Data'!$D2:$D501,"Nongrant")</f>
        <v>12368466</v>
      </c>
      <c r="P74">
        <f>SUMIFS('Federal Data'!AA2:AA501,'Federal Data'!$G2:$G501,"Public Health",'Federal Data'!$D2:$D501,"Nongrant")</f>
        <v>12776258</v>
      </c>
      <c r="Q74">
        <f>SUMIFS('Federal Data'!AB2:AB501,'Federal Data'!$G2:$G501,"Public Health",'Federal Data'!$D2:$D501,"Nongrant")</f>
        <v>13560000</v>
      </c>
      <c r="R74">
        <f>SUMIFS('Federal Data'!AC2:AC501,'Federal Data'!$G2:$G501,"Public Health",'Federal Data'!$D2:$D501,"Nongrant")</f>
        <v>13029000</v>
      </c>
      <c r="S74">
        <f>SUMIFS('Federal Data'!AD2:AD501,'Federal Data'!$G2:$G501,"Public Health",'Federal Data'!$D2:$D501,"Nongrant")</f>
        <v>15402000</v>
      </c>
      <c r="T74">
        <f>SUMIFS('Federal Data'!AE2:AE501,'Federal Data'!$G2:$G501,"Public Health",'Federal Data'!$D2:$D501,"Nongrant")</f>
        <v>16220000</v>
      </c>
      <c r="U74">
        <f>SUMIFS('Federal Data'!AF2:AF501,'Federal Data'!$G2:$G501,"Public Health",'Federal Data'!$D2:$D501,"Nongrant")</f>
        <v>17187000</v>
      </c>
      <c r="V74">
        <f>SUMIFS('Federal Data'!AG2:AG501,'Federal Data'!$G2:$G501,"Public Health",'Federal Data'!$D2:$D501,"Nongrant")</f>
        <v>19262000</v>
      </c>
      <c r="W74">
        <f>SUMIFS('Federal Data'!AH2:AH501,'Federal Data'!$G2:$G501,"Public Health",'Federal Data'!$D2:$D501,"Nongrant")</f>
        <v>22383000</v>
      </c>
      <c r="X74">
        <f>SUMIFS('Federal Data'!AI2:AI501,'Federal Data'!$G2:$G501,"Public Health",'Federal Data'!$D2:$D501,"Nongrant")</f>
        <v>26340000</v>
      </c>
      <c r="Y74">
        <f>SUMIFS('Federal Data'!AJ2:AJ501,'Federal Data'!$G2:$G501,"Public Health",'Federal Data'!$D2:$D501,"Nongrant")</f>
        <v>29579000</v>
      </c>
      <c r="Z74">
        <f>SUMIFS('Federal Data'!AK2:AK501,'Federal Data'!$G2:$G501,"Public Health",'Federal Data'!$D2:$D501,"Nongrant")</f>
        <v>32598000</v>
      </c>
      <c r="AA74">
        <f>SUMIFS('Federal Data'!AL2:AL501,'Federal Data'!$G2:$G501,"Public Health",'Federal Data'!$D2:$D501,"Nongrant")</f>
        <v>33164000</v>
      </c>
      <c r="AB74">
        <f>SUMIFS('Federal Data'!AM2:AM501,'Federal Data'!$G2:$G501,"Public Health",'Federal Data'!$D2:$D501,"Nongrant")</f>
        <v>35194000</v>
      </c>
      <c r="AC74">
        <f>SUMIFS('Federal Data'!AN2:AN501,'Federal Data'!$G2:$G501,"Public Health",'Federal Data'!$D2:$D501,"Nongrant")</f>
        <v>35558000</v>
      </c>
      <c r="AD74">
        <f>SUMIFS('Federal Data'!AO2:AO501,'Federal Data'!$G2:$G501,"Public Health",'Federal Data'!$D2:$D501,"Nongrant")</f>
        <v>38549000</v>
      </c>
      <c r="AE74">
        <f>SUMIFS('Federal Data'!AP2:AP501,'Federal Data'!$G2:$G501,"Public Health",'Federal Data'!$D2:$D501,"Nongrant")</f>
        <v>40039000</v>
      </c>
      <c r="AF74">
        <f>SUMIFS('Federal Data'!AQ2:AQ501,'Federal Data'!$G2:$G501,"Public Health",'Federal Data'!$D2:$D501,"Nongrant")</f>
        <v>48385000</v>
      </c>
      <c r="AG74">
        <f>SUMIFS('Federal Data'!AR2:AR501,'Federal Data'!$G2:$G501,"Public Health",'Federal Data'!$D2:$D501,"Nongrant")</f>
        <v>48197000</v>
      </c>
      <c r="AH74">
        <f>SUMIFS('Federal Data'!AS2:AS501,'Federal Data'!$G2:$G501,"Public Health",'Federal Data'!$D2:$D501,"Nongrant")</f>
        <v>46478000</v>
      </c>
      <c r="AI74">
        <f>SUMIFS('Federal Data'!AT2:AT501,'Federal Data'!$G2:$G501,"Public Health",'Federal Data'!$D2:$D501,"Nongrant")</f>
        <v>45679000</v>
      </c>
      <c r="AJ74">
        <f>SUMIFS('Federal Data'!AU2:AU501,'Federal Data'!$G2:$G501,"Public Health",'Federal Data'!$D2:$D501,"Nongrant")</f>
        <v>43501000</v>
      </c>
      <c r="AK74">
        <f>SUMIFS('Federal Data'!AV2:AV501,'Federal Data'!$G2:$G501,"Public Health",'Federal Data'!$D2:$D501,"Nongrant")</f>
        <v>43770000</v>
      </c>
    </row>
    <row r="75" spans="1:37">
      <c r="A75" s="5" t="s">
        <v>57</v>
      </c>
      <c r="B75">
        <f>SUMIFS('Federal Data'!M2:M501,'Federal Data'!$G2:$G501,"Other Medical Assistance to Persons",'Federal Data'!$D2:$D501,"Nongrant")</f>
        <v>0</v>
      </c>
      <c r="C75">
        <f>SUMIFS('Federal Data'!N2:N501,'Federal Data'!$G2:$G501,"Other Medical Assistance to Persons",'Federal Data'!$D2:$D501,"Nongrant")</f>
        <v>0</v>
      </c>
      <c r="D75">
        <f>SUMIFS('Federal Data'!O2:O501,'Federal Data'!$G2:$G501,"Other Medical Assistance to Persons",'Federal Data'!$D2:$D501,"Nongrant")</f>
        <v>0</v>
      </c>
      <c r="E75">
        <f>SUMIFS('Federal Data'!P2:P501,'Federal Data'!$G2:$G501,"Other Medical Assistance to Persons",'Federal Data'!$D2:$D501,"Nongrant")</f>
        <v>0</v>
      </c>
      <c r="F75">
        <f>SUMIFS('Federal Data'!Q2:Q501,'Federal Data'!$G2:$G501,"Other Medical Assistance to Persons",'Federal Data'!$D2:$D501,"Nongrant")</f>
        <v>0</v>
      </c>
      <c r="G75">
        <f>SUMIFS('Federal Data'!R2:R501,'Federal Data'!$G2:$G501,"Other Medical Assistance to Persons",'Federal Data'!$D2:$D501,"Nongrant")</f>
        <v>0</v>
      </c>
      <c r="H75">
        <f>SUMIFS('Federal Data'!S2:S501,'Federal Data'!$G2:$G501,"Other Medical Assistance to Persons",'Federal Data'!$D2:$D501,"Nongrant")</f>
        <v>0</v>
      </c>
      <c r="I75">
        <f>SUMIFS('Federal Data'!T2:T501,'Federal Data'!$G2:$G501,"Other Medical Assistance to Persons",'Federal Data'!$D2:$D501,"Nongrant")</f>
        <v>0</v>
      </c>
      <c r="J75">
        <f>SUMIFS('Federal Data'!U2:U501,'Federal Data'!$G2:$G501,"Other Medical Assistance to Persons",'Federal Data'!$D2:$D501,"Nongrant")</f>
        <v>0</v>
      </c>
      <c r="K75">
        <f>SUMIFS('Federal Data'!V2:V501,'Federal Data'!$G2:$G501,"Other Medical Assistance to Persons",'Federal Data'!$D2:$D501,"Nongrant")</f>
        <v>0</v>
      </c>
      <c r="L75">
        <f>SUMIFS('Federal Data'!W2:W501,'Federal Data'!$G2:$G501,"Other Medical Assistance to Persons",'Federal Data'!$D2:$D501,"Nongrant")</f>
        <v>0</v>
      </c>
      <c r="M75">
        <f>SUMIFS('Federal Data'!X2:X501,'Federal Data'!$G2:$G501,"Other Medical Assistance to Persons",'Federal Data'!$D2:$D501,"Nongrant")</f>
        <v>0</v>
      </c>
      <c r="N75">
        <f>SUMIFS('Federal Data'!Y2:Y501,'Federal Data'!$G2:$G501,"Other Medical Assistance to Persons",'Federal Data'!$D2:$D501,"Nongrant")</f>
        <v>0</v>
      </c>
      <c r="O75">
        <f>SUMIFS('Federal Data'!Z2:Z501,'Federal Data'!$G2:$G501,"Other Medical Assistance to Persons",'Federal Data'!$D2:$D501,"Nongrant")</f>
        <v>161091</v>
      </c>
      <c r="P75">
        <f>SUMIFS('Federal Data'!AA2:AA501,'Federal Data'!$G2:$G501,"Other Medical Assistance to Persons",'Federal Data'!$D2:$D501,"Nongrant")</f>
        <v>285960</v>
      </c>
      <c r="Q75">
        <f>SUMIFS('Federal Data'!AB2:AB501,'Federal Data'!$G2:$G501,"Other Medical Assistance to Persons",'Federal Data'!$D2:$D501,"Nongrant")</f>
        <v>336000</v>
      </c>
      <c r="R75">
        <f>SUMIFS('Federal Data'!AC2:AC501,'Federal Data'!$G2:$G501,"Other Medical Assistance to Persons",'Federal Data'!$D2:$D501,"Nongrant")</f>
        <v>304000</v>
      </c>
      <c r="S75">
        <f>SUMIFS('Federal Data'!AD2:AD501,'Federal Data'!$G2:$G501,"Other Medical Assistance to Persons",'Federal Data'!$D2:$D501,"Nongrant")</f>
        <v>339000</v>
      </c>
      <c r="T75">
        <f>SUMIFS('Federal Data'!AE2:AE501,'Federal Data'!$G2:$G501,"Other Medical Assistance to Persons",'Federal Data'!$D2:$D501,"Nongrant")</f>
        <v>340000</v>
      </c>
      <c r="U75">
        <f>SUMIFS('Federal Data'!AF2:AF501,'Federal Data'!$G2:$G501,"Other Medical Assistance to Persons",'Federal Data'!$D2:$D501,"Nongrant")</f>
        <v>148000</v>
      </c>
      <c r="V75">
        <f>SUMIFS('Federal Data'!AG2:AG501,'Federal Data'!$G2:$G501,"Other Medical Assistance to Persons",'Federal Data'!$D2:$D501,"Nongrant")</f>
        <v>155000</v>
      </c>
      <c r="W75">
        <f>SUMIFS('Federal Data'!AH2:AH501,'Federal Data'!$G2:$G501,"Other Medical Assistance to Persons",'Federal Data'!$D2:$D501,"Nongrant")</f>
        <v>150000</v>
      </c>
      <c r="X75">
        <f>SUMIFS('Federal Data'!AI2:AI501,'Federal Data'!$G2:$G501,"Other Medical Assistance to Persons",'Federal Data'!$D2:$D501,"Nongrant")</f>
        <v>124000</v>
      </c>
      <c r="Y75">
        <f>SUMIFS('Federal Data'!AJ2:AJ501,'Federal Data'!$G2:$G501,"Other Medical Assistance to Persons",'Federal Data'!$D2:$D501,"Nongrant")</f>
        <v>190000</v>
      </c>
      <c r="Z75">
        <f>SUMIFS('Federal Data'!AK2:AK501,'Federal Data'!$G2:$G501,"Other Medical Assistance to Persons",'Federal Data'!$D2:$D501,"Nongrant")</f>
        <v>127000</v>
      </c>
      <c r="AA75">
        <f>SUMIFS('Federal Data'!AL2:AL501,'Federal Data'!$G2:$G501,"Other Medical Assistance to Persons",'Federal Data'!$D2:$D501,"Nongrant")</f>
        <v>125000</v>
      </c>
      <c r="AB75">
        <f>SUMIFS('Federal Data'!AM2:AM501,'Federal Data'!$G2:$G501,"Other Medical Assistance to Persons",'Federal Data'!$D2:$D501,"Nongrant")</f>
        <v>114000</v>
      </c>
      <c r="AC75">
        <f>SUMIFS('Federal Data'!AN2:AN501,'Federal Data'!$G2:$G501,"Other Medical Assistance to Persons",'Federal Data'!$D2:$D501,"Nongrant")</f>
        <v>49000</v>
      </c>
      <c r="AD75">
        <f>SUMIFS('Federal Data'!AO2:AO501,'Federal Data'!$G2:$G501,"Other Medical Assistance to Persons",'Federal Data'!$D2:$D501,"Nongrant")</f>
        <v>-8000</v>
      </c>
      <c r="AE75">
        <f>SUMIFS('Federal Data'!AP2:AP501,'Federal Data'!$G2:$G501,"Other Medical Assistance to Persons",'Federal Data'!$D2:$D501,"Nongrant")</f>
        <v>55000</v>
      </c>
      <c r="AF75">
        <f>SUMIFS('Federal Data'!AQ2:AQ501,'Federal Data'!$G2:$G501,"Other Medical Assistance to Persons",'Federal Data'!$D2:$D501,"Nongrant")</f>
        <v>47000</v>
      </c>
      <c r="AG75">
        <f>SUMIFS('Federal Data'!AR2:AR501,'Federal Data'!$G2:$G501,"Other Medical Assistance to Persons",'Federal Data'!$D2:$D501,"Nongrant")</f>
        <v>3415000</v>
      </c>
      <c r="AH75">
        <f>SUMIFS('Federal Data'!AS2:AS501,'Federal Data'!$G2:$G501,"Other Medical Assistance to Persons",'Federal Data'!$D2:$D501,"Nongrant")</f>
        <v>3500000</v>
      </c>
      <c r="AI75">
        <f>SUMIFS('Federal Data'!AT2:AT501,'Federal Data'!$G2:$G501,"Other Medical Assistance to Persons",'Federal Data'!$D2:$D501,"Nongrant")</f>
        <v>2481000</v>
      </c>
      <c r="AJ75">
        <f>SUMIFS('Federal Data'!AU2:AU501,'Federal Data'!$G2:$G501,"Other Medical Assistance to Persons",'Federal Data'!$D2:$D501,"Nongrant")</f>
        <v>921000</v>
      </c>
      <c r="AK75">
        <f>SUMIFS('Federal Data'!AV2:AV501,'Federal Data'!$G2:$G501,"Other Medical Assistance to Persons",'Federal Data'!$D2:$D501,"Nongrant")</f>
        <v>226000</v>
      </c>
    </row>
    <row r="76" spans="1:37">
      <c r="A76" s="5" t="s">
        <v>102</v>
      </c>
      <c r="B76">
        <f>SUMIFS('Federal Data'!M2:M501,'Federal Data'!$G2:$G501,"Medicare &amp; Medicaid Unallocable",'Federal Data'!$D2:$D501,"Nongrant")</f>
        <v>69034</v>
      </c>
      <c r="C76">
        <f>SUMIFS('Federal Data'!N2:N501,'Federal Data'!$G2:$G501,"Medicare &amp; Medicaid Unallocable",'Federal Data'!$D2:$D501,"Nongrant")</f>
        <v>115922</v>
      </c>
      <c r="D76">
        <f>SUMIFS('Federal Data'!O2:O501,'Federal Data'!$G2:$G501,"Medicare &amp; Medicaid Unallocable",'Federal Data'!$D2:$D501,"Nongrant")</f>
        <v>53445</v>
      </c>
      <c r="E76">
        <f>SUMIFS('Federal Data'!P2:P501,'Federal Data'!$G2:$G501,"Medicare &amp; Medicaid Unallocable",'Federal Data'!$D2:$D501,"Nongrant")</f>
        <v>85991</v>
      </c>
      <c r="F76">
        <f>SUMIFS('Federal Data'!Q2:Q501,'Federal Data'!$G2:$G501,"Medicare &amp; Medicaid Unallocable",'Federal Data'!$D2:$D501,"Nongrant")</f>
        <v>89701</v>
      </c>
      <c r="G76">
        <f>SUMIFS('Federal Data'!R2:R501,'Federal Data'!$G2:$G501,"Medicare &amp; Medicaid Unallocable",'Federal Data'!$D2:$D501,"Nongrant")</f>
        <v>46045</v>
      </c>
      <c r="H76">
        <f>SUMIFS('Federal Data'!S2:S501,'Federal Data'!$G2:$G501,"Medicare &amp; Medicaid Unallocable",'Federal Data'!$D2:$D501,"Nongrant")</f>
        <v>77070</v>
      </c>
      <c r="I76">
        <f>SUMIFS('Federal Data'!T2:T501,'Federal Data'!$G2:$G501,"Medicare &amp; Medicaid Unallocable",'Federal Data'!$D2:$D501,"Nongrant")</f>
        <v>94314</v>
      </c>
      <c r="J76">
        <f>SUMIFS('Federal Data'!U2:U501,'Federal Data'!$G2:$G501,"Medicare &amp; Medicaid Unallocable",'Federal Data'!$D2:$D501,"Nongrant")</f>
        <v>57791</v>
      </c>
      <c r="K76">
        <f>SUMIFS('Federal Data'!V2:V501,'Federal Data'!$G2:$G501,"Medicare &amp; Medicaid Unallocable",'Federal Data'!$D2:$D501,"Nongrant")</f>
        <v>76127</v>
      </c>
      <c r="L76">
        <f>SUMIFS('Federal Data'!W2:W501,'Federal Data'!$G2:$G501,"Medicare &amp; Medicaid Unallocable",'Federal Data'!$D2:$D501,"Nongrant")</f>
        <v>65982</v>
      </c>
      <c r="M76">
        <f>SUMIFS('Federal Data'!X2:X501,'Federal Data'!$G2:$G501,"Medicare &amp; Medicaid Unallocable",'Federal Data'!$D2:$D501,"Nongrant")</f>
        <v>121919</v>
      </c>
      <c r="N76">
        <f>SUMIFS('Federal Data'!Y2:Y501,'Federal Data'!$G2:$G501,"Medicare &amp; Medicaid Unallocable",'Federal Data'!$D2:$D501,"Nongrant")</f>
        <v>-76214</v>
      </c>
      <c r="O76">
        <f>SUMIFS('Federal Data'!Z2:Z501,'Federal Data'!$G2:$G501,"Medicare &amp; Medicaid Unallocable",'Federal Data'!$D2:$D501,"Nongrant")</f>
        <v>116802</v>
      </c>
      <c r="P76">
        <f>SUMIFS('Federal Data'!AA2:AA501,'Federal Data'!$G2:$G501,"Medicare &amp; Medicaid Unallocable",'Federal Data'!$D2:$D501,"Nongrant")</f>
        <v>-23833</v>
      </c>
      <c r="Q76">
        <f>SUMIFS('Federal Data'!AB2:AB501,'Federal Data'!$G2:$G501,"Medicare &amp; Medicaid Unallocable",'Federal Data'!$D2:$D501,"Nongrant")</f>
        <v>12000</v>
      </c>
      <c r="R76">
        <f>SUMIFS('Federal Data'!AC2:AC501,'Federal Data'!$G2:$G501,"Medicare &amp; Medicaid Unallocable",'Federal Data'!$D2:$D501,"Nongrant")</f>
        <v>23000</v>
      </c>
      <c r="S76">
        <f>SUMIFS('Federal Data'!AD2:AD501,'Federal Data'!$G2:$G501,"Medicare &amp; Medicaid Unallocable",'Federal Data'!$D2:$D501,"Nongrant")</f>
        <v>27000</v>
      </c>
      <c r="T76">
        <f>SUMIFS('Federal Data'!AE2:AE501,'Federal Data'!$G2:$G501,"Medicare &amp; Medicaid Unallocable",'Federal Data'!$D2:$D501,"Nongrant")</f>
        <v>40000</v>
      </c>
      <c r="U76">
        <f>SUMIFS('Federal Data'!AF2:AF501,'Federal Data'!$G2:$G501,"Medicare &amp; Medicaid Unallocable",'Federal Data'!$D2:$D501,"Nongrant")</f>
        <v>35000</v>
      </c>
      <c r="V76">
        <f>SUMIFS('Federal Data'!AG2:AG501,'Federal Data'!$G2:$G501,"Medicare &amp; Medicaid Unallocable",'Federal Data'!$D2:$D501,"Nongrant")</f>
        <v>-149000</v>
      </c>
      <c r="W76">
        <f>SUMIFS('Federal Data'!AH2:AH501,'Federal Data'!$G2:$G501,"Medicare &amp; Medicaid Unallocable",'Federal Data'!$D2:$D501,"Nongrant")</f>
        <v>-14000</v>
      </c>
      <c r="X76">
        <f>SUMIFS('Federal Data'!AI2:AI501,'Federal Data'!$G2:$G501,"Medicare &amp; Medicaid Unallocable",'Federal Data'!$D2:$D501,"Nongrant")</f>
        <v>477000</v>
      </c>
      <c r="Y76">
        <f>SUMIFS('Federal Data'!AJ2:AJ501,'Federal Data'!$G2:$G501,"Medicare &amp; Medicaid Unallocable",'Federal Data'!$D2:$D501,"Nongrant")</f>
        <v>-18000</v>
      </c>
      <c r="Z76">
        <f>SUMIFS('Federal Data'!AK2:AK501,'Federal Data'!$G2:$G501,"Medicare &amp; Medicaid Unallocable",'Federal Data'!$D2:$D501,"Nongrant")</f>
        <v>-342000</v>
      </c>
      <c r="AA76">
        <f>SUMIFS('Federal Data'!AL2:AL501,'Federal Data'!$G2:$G501,"Medicare &amp; Medicaid Unallocable",'Federal Data'!$D2:$D501,"Nongrant")</f>
        <v>374000</v>
      </c>
      <c r="AB76">
        <f>SUMIFS('Federal Data'!AM2:AM501,'Federal Data'!$G2:$G501,"Medicare &amp; Medicaid Unallocable",'Federal Data'!$D2:$D501,"Nongrant")</f>
        <v>-80000</v>
      </c>
      <c r="AC76">
        <f>SUMIFS('Federal Data'!AN2:AN501,'Federal Data'!$G2:$G501,"Medicare &amp; Medicaid Unallocable",'Federal Data'!$D2:$D501,"Nongrant")</f>
        <v>136000</v>
      </c>
      <c r="AD76">
        <f>SUMIFS('Federal Data'!AO2:AO501,'Federal Data'!$G2:$G501,"Medicare &amp; Medicaid Unallocable",'Federal Data'!$D2:$D501,"Nongrant")</f>
        <v>40000</v>
      </c>
      <c r="AE76">
        <f>SUMIFS('Federal Data'!AP2:AP501,'Federal Data'!$G2:$G501,"Medicare &amp; Medicaid Unallocable",'Federal Data'!$D2:$D501,"Nongrant")</f>
        <v>-54000</v>
      </c>
      <c r="AF76">
        <f>SUMIFS('Federal Data'!AQ2:AQ501,'Federal Data'!$G2:$G501,"Medicare &amp; Medicaid Unallocable",'Federal Data'!$D2:$D501,"Nongrant")</f>
        <v>127000</v>
      </c>
      <c r="AG76">
        <f>SUMIFS('Federal Data'!AR2:AR501,'Federal Data'!$G2:$G501,"Medicare &amp; Medicaid Unallocable",'Federal Data'!$D2:$D501,"Nongrant")</f>
        <v>302000</v>
      </c>
      <c r="AH76">
        <f>SUMIFS('Federal Data'!AS2:AS501,'Federal Data'!$G2:$G501,"Medicare &amp; Medicaid Unallocable",'Federal Data'!$D2:$D501,"Nongrant")</f>
        <v>415000</v>
      </c>
      <c r="AI76">
        <f>SUMIFS('Federal Data'!AT2:AT501,'Federal Data'!$G2:$G501,"Medicare &amp; Medicaid Unallocable",'Federal Data'!$D2:$D501,"Nongrant")</f>
        <v>752000</v>
      </c>
      <c r="AJ76">
        <f>SUMIFS('Federal Data'!AU2:AU501,'Federal Data'!$G2:$G501,"Medicare &amp; Medicaid Unallocable",'Federal Data'!$D2:$D501,"Nongrant")</f>
        <v>1354000</v>
      </c>
      <c r="AK76">
        <f>SUMIFS('Federal Data'!AV2:AV501,'Federal Data'!$G2:$G501,"Medicare &amp; Medicaid Unallocable",'Federal Data'!$D2:$D501,"Nongrant")</f>
        <v>1341000</v>
      </c>
    </row>
    <row r="77" spans="1:37">
      <c r="A77" s="5" t="s">
        <v>58</v>
      </c>
      <c r="B77">
        <f>SUMIFS('Federal Data'!M2:M501,'Federal Data'!$G2:$G501,"Other Health",'Federal Data'!$D2:$D501,"Nongrant")</f>
        <v>64046</v>
      </c>
      <c r="C77">
        <f>SUMIFS('Federal Data'!N2:N501,'Federal Data'!$G2:$G501,"Other Health",'Federal Data'!$D2:$D501,"Nongrant")</f>
        <v>117812</v>
      </c>
      <c r="D77">
        <f>SUMIFS('Federal Data'!O2:O501,'Federal Data'!$G2:$G501,"Other Health",'Federal Data'!$D2:$D501,"Nongrant")</f>
        <v>106680</v>
      </c>
      <c r="E77">
        <f>SUMIFS('Federal Data'!P2:P501,'Federal Data'!$G2:$G501,"Other Health",'Federal Data'!$D2:$D501,"Nongrant")</f>
        <v>51179</v>
      </c>
      <c r="F77">
        <f>SUMIFS('Federal Data'!Q2:Q501,'Federal Data'!$G2:$G501,"Other Health",'Federal Data'!$D2:$D501,"Nongrant")</f>
        <v>38701</v>
      </c>
      <c r="G77">
        <f>SUMIFS('Federal Data'!R2:R501,'Federal Data'!$G2:$G501,"Other Health",'Federal Data'!$D2:$D501,"Nongrant")</f>
        <v>32874</v>
      </c>
      <c r="H77">
        <f>SUMIFS('Federal Data'!S2:S501,'Federal Data'!$G2:$G501,"Other Health",'Federal Data'!$D2:$D501,"Nongrant")</f>
        <v>31891</v>
      </c>
      <c r="I77">
        <f>SUMIFS('Federal Data'!T2:T501,'Federal Data'!$G2:$G501,"Other Health",'Federal Data'!$D2:$D501,"Nongrant")</f>
        <v>42746</v>
      </c>
      <c r="J77">
        <f>SUMIFS('Federal Data'!U2:U501,'Federal Data'!$G2:$G501,"Other Health",'Federal Data'!$D2:$D501,"Nongrant")</f>
        <v>42704</v>
      </c>
      <c r="K77">
        <f>SUMIFS('Federal Data'!V2:V501,'Federal Data'!$G2:$G501,"Other Health",'Federal Data'!$D2:$D501,"Nongrant")</f>
        <v>40174</v>
      </c>
      <c r="L77">
        <f>SUMIFS('Federal Data'!W2:W501,'Federal Data'!$G2:$G501,"Other Health",'Federal Data'!$D2:$D501,"Nongrant")</f>
        <v>61923</v>
      </c>
      <c r="M77">
        <f>SUMIFS('Federal Data'!X2:X501,'Federal Data'!$G2:$G501,"Other Health",'Federal Data'!$D2:$D501,"Nongrant")</f>
        <v>42345</v>
      </c>
      <c r="N77">
        <f>SUMIFS('Federal Data'!Y2:Y501,'Federal Data'!$G2:$G501,"Other Health",'Federal Data'!$D2:$D501,"Nongrant")</f>
        <v>63314</v>
      </c>
      <c r="O77">
        <f>SUMIFS('Federal Data'!Z2:Z501,'Federal Data'!$G2:$G501,"Other Health",'Federal Data'!$D2:$D501,"Nongrant")</f>
        <v>35502</v>
      </c>
      <c r="P77">
        <f>SUMIFS('Federal Data'!AA2:AA501,'Federal Data'!$G2:$G501,"Other Health",'Federal Data'!$D2:$D501,"Nongrant")</f>
        <v>64704</v>
      </c>
      <c r="Q77">
        <f>SUMIFS('Federal Data'!AB2:AB501,'Federal Data'!$G2:$G501,"Other Health",'Federal Data'!$D2:$D501,"Nongrant")</f>
        <v>250000</v>
      </c>
      <c r="R77">
        <f>SUMIFS('Federal Data'!AC2:AC501,'Federal Data'!$G2:$G501,"Other Health",'Federal Data'!$D2:$D501,"Nongrant")</f>
        <v>144000</v>
      </c>
      <c r="S77">
        <f>SUMIFS('Federal Data'!AD2:AD501,'Federal Data'!$G2:$G501,"Other Health",'Federal Data'!$D2:$D501,"Nongrant")</f>
        <v>167000</v>
      </c>
      <c r="T77">
        <f>SUMIFS('Federal Data'!AE2:AE501,'Federal Data'!$G2:$G501,"Other Health",'Federal Data'!$D2:$D501,"Nongrant")</f>
        <v>182000</v>
      </c>
      <c r="U77">
        <f>SUMIFS('Federal Data'!AF2:AF501,'Federal Data'!$G2:$G501,"Other Health",'Federal Data'!$D2:$D501,"Nongrant")</f>
        <v>314000</v>
      </c>
      <c r="V77">
        <f>SUMIFS('Federal Data'!AG2:AG501,'Federal Data'!$G2:$G501,"Other Health",'Federal Data'!$D2:$D501,"Nongrant")</f>
        <v>657000</v>
      </c>
      <c r="W77">
        <f>SUMIFS('Federal Data'!AH2:AH501,'Federal Data'!$G2:$G501,"Other Health",'Federal Data'!$D2:$D501,"Nongrant")</f>
        <v>460000</v>
      </c>
      <c r="X77">
        <f>SUMIFS('Federal Data'!AI2:AI501,'Federal Data'!$G2:$G501,"Other Health",'Federal Data'!$D2:$D501,"Nongrant")</f>
        <v>267000</v>
      </c>
      <c r="Y77">
        <f>SUMIFS('Federal Data'!AJ2:AJ501,'Federal Data'!$G2:$G501,"Other Health",'Federal Data'!$D2:$D501,"Nongrant")</f>
        <v>572000</v>
      </c>
      <c r="Z77">
        <f>SUMIFS('Federal Data'!AK2:AK501,'Federal Data'!$G2:$G501,"Other Health",'Federal Data'!$D2:$D501,"Nongrant")</f>
        <v>863000</v>
      </c>
      <c r="AA77">
        <f>SUMIFS('Federal Data'!AL2:AL501,'Federal Data'!$G2:$G501,"Other Health",'Federal Data'!$D2:$D501,"Nongrant")</f>
        <v>286000</v>
      </c>
      <c r="AB77">
        <f>SUMIFS('Federal Data'!AM2:AM501,'Federal Data'!$G2:$G501,"Other Health",'Federal Data'!$D2:$D501,"Nongrant")</f>
        <v>340000</v>
      </c>
      <c r="AC77">
        <f>SUMIFS('Federal Data'!AN2:AN501,'Federal Data'!$G2:$G501,"Other Health",'Federal Data'!$D2:$D501,"Nongrant")</f>
        <v>277000</v>
      </c>
      <c r="AD77">
        <f>SUMIFS('Federal Data'!AO2:AO501,'Federal Data'!$G2:$G501,"Other Health",'Federal Data'!$D2:$D501,"Nongrant")</f>
        <v>286000</v>
      </c>
      <c r="AE77">
        <f>SUMIFS('Federal Data'!AP2:AP501,'Federal Data'!$G2:$G501,"Other Health",'Federal Data'!$D2:$D501,"Nongrant")</f>
        <v>151000</v>
      </c>
      <c r="AF77">
        <f>SUMIFS('Federal Data'!AQ2:AQ501,'Federal Data'!$G2:$G501,"Other Health",'Federal Data'!$D2:$D501,"Nongrant")</f>
        <v>256000</v>
      </c>
      <c r="AG77">
        <f>SUMIFS('Federal Data'!AR2:AR501,'Federal Data'!$G2:$G501,"Other Health",'Federal Data'!$D2:$D501,"Nongrant")</f>
        <v>620000</v>
      </c>
      <c r="AH77">
        <f>SUMIFS('Federal Data'!AS2:AS501,'Federal Data'!$G2:$G501,"Other Health",'Federal Data'!$D2:$D501,"Nongrant")</f>
        <v>907000</v>
      </c>
      <c r="AI77">
        <f>SUMIFS('Federal Data'!AT2:AT501,'Federal Data'!$G2:$G501,"Other Health",'Federal Data'!$D2:$D501,"Nongrant")</f>
        <v>863000</v>
      </c>
      <c r="AJ77">
        <f>SUMIFS('Federal Data'!AU2:AU501,'Federal Data'!$G2:$G501,"Other Health",'Federal Data'!$D2:$D501,"Nongrant")</f>
        <v>1301000</v>
      </c>
      <c r="AK77">
        <f>SUMIFS('Federal Data'!AV2:AV501,'Federal Data'!$G2:$G501,"Other Health",'Federal Data'!$D2:$D501,"Nongrant")</f>
        <v>932000</v>
      </c>
    </row>
    <row r="78" spans="1:37">
      <c r="A78" s="4" t="s">
        <v>39</v>
      </c>
      <c r="B78">
        <f>SUMIFS('Federal Data'!M2:M501,'Federal Data'!$F2:$F501,"Standard of Living and Aid to the Disadvantaged",'Federal Data'!$D2:$D501,"Nongrant")</f>
        <v>41803866</v>
      </c>
      <c r="C78">
        <f>SUMIFS('Federal Data'!N2:N501,'Federal Data'!$F2:$F501,"Standard of Living and Aid to the Disadvantaged",'Federal Data'!$D2:$D501,"Nongrant")</f>
        <v>47743036</v>
      </c>
      <c r="D78">
        <f>SUMIFS('Federal Data'!O2:O501,'Federal Data'!$F2:$F501,"Standard of Living and Aid to the Disadvantaged",'Federal Data'!$D2:$D501,"Nongrant")</f>
        <v>50373810</v>
      </c>
      <c r="E78">
        <f>SUMIFS('Federal Data'!P2:P501,'Federal Data'!$F2:$F501,"Standard of Living and Aid to the Disadvantaged",'Federal Data'!$D2:$D501,"Nongrant")</f>
        <v>61653459</v>
      </c>
      <c r="F78">
        <f>SUMIFS('Federal Data'!Q2:Q501,'Federal Data'!$F2:$F501,"Standard of Living and Aid to the Disadvantaged",'Federal Data'!$D2:$D501,"Nongrant")</f>
        <v>49079344</v>
      </c>
      <c r="G78">
        <f>SUMIFS('Federal Data'!R2:R501,'Federal Data'!$F2:$F501,"Standard of Living and Aid to the Disadvantaged",'Federal Data'!$D2:$D501,"Nongrant")</f>
        <v>63057984</v>
      </c>
      <c r="H78">
        <f>SUMIFS('Federal Data'!S2:S501,'Federal Data'!$F2:$F501,"Standard of Living and Aid to the Disadvantaged",'Federal Data'!$D2:$D501,"Nongrant")</f>
        <v>50672760</v>
      </c>
      <c r="I78">
        <f>SUMIFS('Federal Data'!T2:T501,'Federal Data'!$F2:$F501,"Standard of Living and Aid to the Disadvantaged",'Federal Data'!$D2:$D501,"Nongrant")</f>
        <v>50835811</v>
      </c>
      <c r="J78">
        <f>SUMIFS('Federal Data'!U2:U501,'Federal Data'!$F2:$F501,"Standard of Living and Aid to the Disadvantaged",'Federal Data'!$D2:$D501,"Nongrant")</f>
        <v>52978450</v>
      </c>
      <c r="K78">
        <f>SUMIFS('Federal Data'!V2:V501,'Federal Data'!$F2:$F501,"Standard of Living and Aid to the Disadvantaged",'Federal Data'!$D2:$D501,"Nongrant")</f>
        <v>56919193</v>
      </c>
      <c r="L78">
        <f>SUMIFS('Federal Data'!W2:W501,'Federal Data'!$F2:$F501,"Standard of Living and Aid to the Disadvantaged",'Federal Data'!$D2:$D501,"Nongrant")</f>
        <v>63194087</v>
      </c>
      <c r="M78">
        <f>SUMIFS('Federal Data'!X2:X501,'Federal Data'!$F2:$F501,"Standard of Living and Aid to the Disadvantaged",'Federal Data'!$D2:$D501,"Nongrant")</f>
        <v>79555766</v>
      </c>
      <c r="N78">
        <f>SUMIFS('Federal Data'!Y2:Y501,'Federal Data'!$F2:$F501,"Standard of Living and Aid to the Disadvantaged",'Federal Data'!$D2:$D501,"Nongrant")</f>
        <v>101511449</v>
      </c>
      <c r="O78">
        <f>SUMIFS('Federal Data'!Z2:Z501,'Federal Data'!$F2:$F501,"Standard of Living and Aid to the Disadvantaged",'Federal Data'!$D2:$D501,"Nongrant")</f>
        <v>108299385</v>
      </c>
      <c r="P78">
        <f>SUMIFS('Federal Data'!AA2:AA501,'Federal Data'!$F2:$F501,"Standard of Living and Aid to the Disadvantaged",'Federal Data'!$D2:$D501,"Nongrant")</f>
        <v>106248480</v>
      </c>
      <c r="Q78">
        <f>SUMIFS('Federal Data'!AB2:AB501,'Federal Data'!$F2:$F501,"Standard of Living and Aid to the Disadvantaged",'Federal Data'!$D2:$D501,"Nongrant")</f>
        <v>105649000</v>
      </c>
      <c r="R78">
        <f>SUMIFS('Federal Data'!AC2:AC501,'Federal Data'!$F2:$F501,"Standard of Living and Aid to the Disadvantaged",'Federal Data'!$D2:$D501,"Nongrant")</f>
        <v>110275000</v>
      </c>
      <c r="S78">
        <f>SUMIFS('Federal Data'!AD2:AD501,'Federal Data'!$F2:$F501,"Standard of Living and Aid to the Disadvantaged",'Federal Data'!$D2:$D501,"Nongrant")</f>
        <v>111621000</v>
      </c>
      <c r="T78">
        <f>SUMIFS('Federal Data'!AE2:AE501,'Federal Data'!$F2:$F501,"Standard of Living and Aid to the Disadvantaged",'Federal Data'!$D2:$D501,"Nongrant")</f>
        <v>109628000</v>
      </c>
      <c r="U78">
        <f>SUMIFS('Federal Data'!AF2:AF501,'Federal Data'!$F2:$F501,"Standard of Living and Aid to the Disadvantaged",'Federal Data'!$D2:$D501,"Nongrant")</f>
        <v>110893000</v>
      </c>
      <c r="V78">
        <f>SUMIFS('Federal Data'!AG2:AG501,'Federal Data'!$F2:$F501,"Standard of Living and Aid to the Disadvantaged",'Federal Data'!$D2:$D501,"Nongrant")</f>
        <v>117245000</v>
      </c>
      <c r="W78">
        <f>SUMIFS('Federal Data'!AH2:AH501,'Federal Data'!$F2:$F501,"Standard of Living and Aid to the Disadvantaged",'Federal Data'!$D2:$D501,"Nongrant")</f>
        <v>123204000</v>
      </c>
      <c r="X78">
        <f>SUMIFS('Federal Data'!AI2:AI501,'Federal Data'!$F2:$F501,"Standard of Living and Aid to the Disadvantaged",'Federal Data'!$D2:$D501,"Nongrant")</f>
        <v>160930000</v>
      </c>
      <c r="Y78">
        <f>SUMIFS('Federal Data'!AJ2:AJ501,'Federal Data'!$F2:$F501,"Standard of Living and Aid to the Disadvantaged",'Federal Data'!$D2:$D501,"Nongrant")</f>
        <v>176694000</v>
      </c>
      <c r="Z78">
        <f>SUMIFS('Federal Data'!AK2:AK501,'Federal Data'!$F2:$F501,"Standard of Living and Aid to the Disadvantaged",'Federal Data'!$D2:$D501,"Nongrant")</f>
        <v>173820000</v>
      </c>
      <c r="AA78">
        <f>SUMIFS('Federal Data'!AL2:AL501,'Federal Data'!$F2:$F501,"Standard of Living and Aid to the Disadvantaged",'Federal Data'!$D2:$D501,"Nongrant")</f>
        <v>177335000</v>
      </c>
      <c r="AB78">
        <f>SUMIFS('Federal Data'!AM2:AM501,'Federal Data'!$F2:$F501,"Standard of Living and Aid to the Disadvantaged",'Federal Data'!$D2:$D501,"Nongrant")</f>
        <v>180946000</v>
      </c>
      <c r="AC78">
        <f>SUMIFS('Federal Data'!AN2:AN501,'Federal Data'!$F2:$F501,"Standard of Living and Aid to the Disadvantaged",'Federal Data'!$D2:$D501,"Nongrant")</f>
        <v>185955000</v>
      </c>
      <c r="AD78">
        <f>SUMIFS('Federal Data'!AO2:AO501,'Federal Data'!$F2:$F501,"Standard of Living and Aid to the Disadvantaged",'Federal Data'!$D2:$D501,"Nongrant")</f>
        <v>242028000</v>
      </c>
      <c r="AE78">
        <f>SUMIFS('Federal Data'!AP2:AP501,'Federal Data'!$F2:$F501,"Standard of Living and Aid to the Disadvantaged",'Federal Data'!$D2:$D501,"Nongrant")</f>
        <v>335409000</v>
      </c>
      <c r="AF78">
        <f>SUMIFS('Federal Data'!AQ2:AQ501,'Federal Data'!$F2:$F501,"Standard of Living and Aid to the Disadvantaged",'Federal Data'!$D2:$D501,"Nongrant")</f>
        <v>428174000</v>
      </c>
      <c r="AG78">
        <f>SUMIFS('Federal Data'!AR2:AR501,'Federal Data'!$F2:$F501,"Standard of Living and Aid to the Disadvantaged",'Federal Data'!$D2:$D501,"Nongrant")</f>
        <v>402668000</v>
      </c>
      <c r="AH78">
        <f>SUMIFS('Federal Data'!AS2:AS501,'Federal Data'!$F2:$F501,"Standard of Living and Aid to the Disadvantaged",'Federal Data'!$D2:$D501,"Nongrant")</f>
        <v>353681000</v>
      </c>
      <c r="AI78">
        <f>SUMIFS('Federal Data'!AT2:AT501,'Federal Data'!$F2:$F501,"Standard of Living and Aid to the Disadvantaged",'Federal Data'!$D2:$D501,"Nongrant")</f>
        <v>339038000</v>
      </c>
      <c r="AJ78">
        <f>SUMIFS('Federal Data'!AU2:AU501,'Federal Data'!$F2:$F501,"Standard of Living and Aid to the Disadvantaged",'Federal Data'!$D2:$D501,"Nongrant")</f>
        <v>324692000</v>
      </c>
      <c r="AK78">
        <f>SUMIFS('Federal Data'!AV2:AV501,'Federal Data'!$F2:$F501,"Standard of Living and Aid to the Disadvantaged",'Federal Data'!$D2:$D501,"Nongrant")</f>
        <v>337492000</v>
      </c>
    </row>
    <row r="79" spans="1:37">
      <c r="A79" s="5" t="s">
        <v>60</v>
      </c>
      <c r="B79">
        <f>SUMIFS('Federal Data'!M2:M501,'Federal Data'!$G2:$G501,"Cash Programs",'Federal Data'!$D2:$D501,"Nongrant")</f>
        <v>7676958</v>
      </c>
      <c r="C79">
        <f>SUMIFS('Federal Data'!N2:N501,'Federal Data'!$G2:$G501,"Cash Programs",'Federal Data'!$D2:$D501,"Nongrant")</f>
        <v>8549660</v>
      </c>
      <c r="D79">
        <f>SUMIFS('Federal Data'!O2:O501,'Federal Data'!$G2:$G501,"Cash Programs",'Federal Data'!$D2:$D501,"Nongrant")</f>
        <v>8991879</v>
      </c>
      <c r="E79">
        <f>SUMIFS('Federal Data'!P2:P501,'Federal Data'!$G2:$G501,"Cash Programs",'Federal Data'!$D2:$D501,"Nongrant")</f>
        <v>9943953</v>
      </c>
      <c r="F79">
        <f>SUMIFS('Federal Data'!Q2:Q501,'Federal Data'!$G2:$G501,"Cash Programs",'Federal Data'!$D2:$D501,"Nongrant")</f>
        <v>9699085</v>
      </c>
      <c r="G79">
        <f>SUMIFS('Federal Data'!R2:R501,'Federal Data'!$G2:$G501,"Cash Programs",'Federal Data'!$D2:$D501,"Nongrant")</f>
        <v>10727902</v>
      </c>
      <c r="H79">
        <f>SUMIFS('Federal Data'!S2:S501,'Federal Data'!$G2:$G501,"Cash Programs",'Federal Data'!$D2:$D501,"Nongrant")</f>
        <v>11772510</v>
      </c>
      <c r="I79">
        <f>SUMIFS('Federal Data'!T2:T501,'Federal Data'!$G2:$G501,"Cash Programs",'Federal Data'!$D2:$D501,"Nongrant")</f>
        <v>12332456</v>
      </c>
      <c r="J79">
        <f>SUMIFS('Federal Data'!U2:U501,'Federal Data'!$G2:$G501,"Cash Programs",'Federal Data'!$D2:$D501,"Nongrant")</f>
        <v>15051338</v>
      </c>
      <c r="K79">
        <f>SUMIFS('Federal Data'!V2:V501,'Federal Data'!$G2:$G501,"Cash Programs",'Federal Data'!$D2:$D501,"Nongrant")</f>
        <v>16575491</v>
      </c>
      <c r="L79">
        <f>SUMIFS('Federal Data'!W2:W501,'Federal Data'!$G2:$G501,"Cash Programs",'Federal Data'!$D2:$D501,"Nongrant")</f>
        <v>16972185</v>
      </c>
      <c r="M79">
        <f>SUMIFS('Federal Data'!X2:X501,'Federal Data'!$G2:$G501,"Cash Programs",'Federal Data'!$D2:$D501,"Nongrant")</f>
        <v>20851416</v>
      </c>
      <c r="N79">
        <f>SUMIFS('Federal Data'!Y2:Y501,'Federal Data'!$G2:$G501,"Cash Programs",'Federal Data'!$D2:$D501,"Nongrant")</f>
        <v>26198634</v>
      </c>
      <c r="O79">
        <f>SUMIFS('Federal Data'!Z2:Z501,'Federal Data'!$G2:$G501,"Cash Programs",'Federal Data'!$D2:$D501,"Nongrant")</f>
        <v>30721407</v>
      </c>
      <c r="P79">
        <f>SUMIFS('Federal Data'!AA2:AA501,'Federal Data'!$G2:$G501,"Cash Programs",'Federal Data'!$D2:$D501,"Nongrant")</f>
        <v>36475132</v>
      </c>
      <c r="Q79">
        <f>SUMIFS('Federal Data'!AB2:AB501,'Federal Data'!$G2:$G501,"Cash Programs",'Federal Data'!$D2:$D501,"Nongrant")</f>
        <v>40852000</v>
      </c>
      <c r="R79">
        <f>SUMIFS('Federal Data'!AC2:AC501,'Federal Data'!$G2:$G501,"Cash Programs",'Federal Data'!$D2:$D501,"Nongrant")</f>
        <v>44093000</v>
      </c>
      <c r="S79">
        <f>SUMIFS('Federal Data'!AD2:AD501,'Federal Data'!$G2:$G501,"Cash Programs",'Federal Data'!$D2:$D501,"Nongrant")</f>
        <v>49332000</v>
      </c>
      <c r="T79">
        <f>SUMIFS('Federal Data'!AE2:AE501,'Federal Data'!$G2:$G501,"Cash Programs",'Federal Data'!$D2:$D501,"Nongrant")</f>
        <v>51666000</v>
      </c>
      <c r="U79">
        <f>SUMIFS('Federal Data'!AF2:AF501,'Federal Data'!$G2:$G501,"Cash Programs",'Federal Data'!$D2:$D501,"Nongrant")</f>
        <v>55370000</v>
      </c>
      <c r="V79">
        <f>SUMIFS('Federal Data'!AG2:AG501,'Federal Data'!$G2:$G501,"Cash Programs",'Federal Data'!$D2:$D501,"Nongrant")</f>
        <v>58876000</v>
      </c>
      <c r="W79">
        <f>SUMIFS('Federal Data'!AH2:AH501,'Federal Data'!$G2:$G501,"Cash Programs",'Federal Data'!$D2:$D501,"Nongrant")</f>
        <v>55514000</v>
      </c>
      <c r="X79">
        <f>SUMIFS('Federal Data'!AI2:AI501,'Federal Data'!$G2:$G501,"Cash Programs",'Federal Data'!$D2:$D501,"Nongrant")</f>
        <v>64840000</v>
      </c>
      <c r="Y79">
        <f>SUMIFS('Federal Data'!AJ2:AJ501,'Federal Data'!$G2:$G501,"Cash Programs",'Federal Data'!$D2:$D501,"Nongrant")</f>
        <v>71541000</v>
      </c>
      <c r="Z79">
        <f>SUMIFS('Federal Data'!AK2:AK501,'Federal Data'!$G2:$G501,"Cash Programs",'Federal Data'!$D2:$D501,"Nongrant")</f>
        <v>75991000</v>
      </c>
      <c r="AA79">
        <f>SUMIFS('Federal Data'!AL2:AL501,'Federal Data'!$G2:$G501,"Cash Programs",'Federal Data'!$D2:$D501,"Nongrant")</f>
        <v>87278000</v>
      </c>
      <c r="AB79">
        <f>SUMIFS('Federal Data'!AM2:AM501,'Federal Data'!$G2:$G501,"Cash Programs",'Federal Data'!$D2:$D501,"Nongrant")</f>
        <v>88909000</v>
      </c>
      <c r="AC79">
        <f>SUMIFS('Federal Data'!AN2:AN501,'Federal Data'!$G2:$G501,"Cash Programs",'Federal Data'!$D2:$D501,"Nongrant")</f>
        <v>90154000</v>
      </c>
      <c r="AD79">
        <f>SUMIFS('Federal Data'!AO2:AO501,'Federal Data'!$G2:$G501,"Cash Programs",'Federal Data'!$D2:$D501,"Nongrant")</f>
        <v>129370000</v>
      </c>
      <c r="AE79">
        <f>SUMIFS('Federal Data'!AP2:AP501,'Federal Data'!$G2:$G501,"Cash Programs",'Federal Data'!$D2:$D501,"Nongrant")</f>
        <v>114085000</v>
      </c>
      <c r="AF79">
        <f>SUMIFS('Federal Data'!AQ2:AQ501,'Federal Data'!$G2:$G501,"Cash Programs",'Federal Data'!$D2:$D501,"Nongrant")</f>
        <v>138749000</v>
      </c>
      <c r="AG79">
        <f>SUMIFS('Federal Data'!AR2:AR501,'Federal Data'!$G2:$G501,"Cash Programs",'Federal Data'!$D2:$D501,"Nongrant")</f>
        <v>145473000</v>
      </c>
      <c r="AH79">
        <f>SUMIFS('Federal Data'!AS2:AS501,'Federal Data'!$G2:$G501,"Cash Programs",'Federal Data'!$D2:$D501,"Nongrant")</f>
        <v>125264000</v>
      </c>
      <c r="AI79">
        <f>SUMIFS('Federal Data'!AT2:AT501,'Federal Data'!$G2:$G501,"Cash Programs",'Federal Data'!$D2:$D501,"Nongrant")</f>
        <v>133653000</v>
      </c>
      <c r="AJ79">
        <f>SUMIFS('Federal Data'!AU2:AU501,'Federal Data'!$G2:$G501,"Cash Programs",'Federal Data'!$D2:$D501,"Nongrant")</f>
        <v>137417000</v>
      </c>
      <c r="AK79">
        <f>SUMIFS('Federal Data'!AV2:AV501,'Federal Data'!$G2:$G501,"Cash Programs",'Federal Data'!$D2:$D501,"Nongrant")</f>
        <v>137502000</v>
      </c>
    </row>
    <row r="80" spans="1:37">
      <c r="A80" s="6" t="s">
        <v>107</v>
      </c>
      <c r="B80">
        <f>SUMIFS('Federal Data'!M2:M501,'Federal Data'!$H2:$H501,"Child Tax Credit (Refundable portion)",'Federal Data'!$D2:$D501,"Nongrant")</f>
        <v>0</v>
      </c>
      <c r="C80">
        <f>SUMIFS('Federal Data'!N2:N501,'Federal Data'!$H2:$H501,"Child Tax Credit (Refundable portion)",'Federal Data'!$D2:$D501,"Nongrant")</f>
        <v>0</v>
      </c>
      <c r="D80">
        <f>SUMIFS('Federal Data'!O2:O501,'Federal Data'!$H2:$H501,"Child Tax Credit (Refundable portion)",'Federal Data'!$D2:$D501,"Nongrant")</f>
        <v>0</v>
      </c>
      <c r="E80">
        <f>SUMIFS('Federal Data'!P2:P501,'Federal Data'!$H2:$H501,"Child Tax Credit (Refundable portion)",'Federal Data'!$D2:$D501,"Nongrant")</f>
        <v>0</v>
      </c>
      <c r="F80">
        <f>SUMIFS('Federal Data'!Q2:Q501,'Federal Data'!$H2:$H501,"Child Tax Credit (Refundable portion)",'Federal Data'!$D2:$D501,"Nongrant")</f>
        <v>0</v>
      </c>
      <c r="G80">
        <f>SUMIFS('Federal Data'!R2:R501,'Federal Data'!$H2:$H501,"Child Tax Credit (Refundable portion)",'Federal Data'!$D2:$D501,"Nongrant")</f>
        <v>0</v>
      </c>
      <c r="H80">
        <f>SUMIFS('Federal Data'!S2:S501,'Federal Data'!$H2:$H501,"Child Tax Credit (Refundable portion)",'Federal Data'!$D2:$D501,"Nongrant")</f>
        <v>0</v>
      </c>
      <c r="I80">
        <f>SUMIFS('Federal Data'!T2:T501,'Federal Data'!$H2:$H501,"Child Tax Credit (Refundable portion)",'Federal Data'!$D2:$D501,"Nongrant")</f>
        <v>0</v>
      </c>
      <c r="J80">
        <f>SUMIFS('Federal Data'!U2:U501,'Federal Data'!$H2:$H501,"Child Tax Credit (Refundable portion)",'Federal Data'!$D2:$D501,"Nongrant")</f>
        <v>0</v>
      </c>
      <c r="K80">
        <f>SUMIFS('Federal Data'!V2:V501,'Federal Data'!$H2:$H501,"Child Tax Credit (Refundable portion)",'Federal Data'!$D2:$D501,"Nongrant")</f>
        <v>0</v>
      </c>
      <c r="L80">
        <f>SUMIFS('Federal Data'!W2:W501,'Federal Data'!$H2:$H501,"Child Tax Credit (Refundable portion)",'Federal Data'!$D2:$D501,"Nongrant")</f>
        <v>0</v>
      </c>
      <c r="M80">
        <f>SUMIFS('Federal Data'!X2:X501,'Federal Data'!$H2:$H501,"Child Tax Credit (Refundable portion)",'Federal Data'!$D2:$D501,"Nongrant")</f>
        <v>0</v>
      </c>
      <c r="N80">
        <f>SUMIFS('Federal Data'!Y2:Y501,'Federal Data'!$H2:$H501,"Child Tax Credit (Refundable portion)",'Federal Data'!$D2:$D501,"Nongrant")</f>
        <v>0</v>
      </c>
      <c r="O80">
        <f>SUMIFS('Federal Data'!Z2:Z501,'Federal Data'!$H2:$H501,"Child Tax Credit (Refundable portion)",'Federal Data'!$D2:$D501,"Nongrant")</f>
        <v>0</v>
      </c>
      <c r="P80">
        <f>SUMIFS('Federal Data'!AA2:AA501,'Federal Data'!$H2:$H501,"Child Tax Credit (Refundable portion)",'Federal Data'!$D2:$D501,"Nongrant")</f>
        <v>0</v>
      </c>
      <c r="Q80">
        <f>SUMIFS('Federal Data'!AB2:AB501,'Federal Data'!$H2:$H501,"Child Tax Credit (Refundable portion)",'Federal Data'!$D2:$D501,"Nongrant")</f>
        <v>0</v>
      </c>
      <c r="R80">
        <f>SUMIFS('Federal Data'!AC2:AC501,'Federal Data'!$H2:$H501,"Child Tax Credit (Refundable portion)",'Federal Data'!$D2:$D501,"Nongrant")</f>
        <v>0</v>
      </c>
      <c r="S80">
        <f>SUMIFS('Federal Data'!AD2:AD501,'Federal Data'!$H2:$H501,"Child Tax Credit (Refundable portion)",'Federal Data'!$D2:$D501,"Nongrant")</f>
        <v>0</v>
      </c>
      <c r="T80">
        <f>SUMIFS('Federal Data'!AE2:AE501,'Federal Data'!$H2:$H501,"Child Tax Credit (Refundable portion)",'Federal Data'!$D2:$D501,"Nongrant")</f>
        <v>0</v>
      </c>
      <c r="U80">
        <f>SUMIFS('Federal Data'!AF2:AF501,'Federal Data'!$H2:$H501,"Child Tax Credit (Refundable portion)",'Federal Data'!$D2:$D501,"Nongrant")</f>
        <v>445000</v>
      </c>
      <c r="V80">
        <f>SUMIFS('Federal Data'!AG2:AG501,'Federal Data'!$H2:$H501,"Child Tax Credit (Refundable portion)",'Federal Data'!$D2:$D501,"Nongrant")</f>
        <v>809000</v>
      </c>
      <c r="W80">
        <f>SUMIFS('Federal Data'!AH2:AH501,'Federal Data'!$H2:$H501,"Child Tax Credit (Refundable portion)",'Federal Data'!$D2:$D501,"Nongrant")</f>
        <v>982000</v>
      </c>
      <c r="X80">
        <f>SUMIFS('Federal Data'!AI2:AI501,'Federal Data'!$H2:$H501,"Child Tax Credit (Refundable portion)",'Federal Data'!$D2:$D501,"Nongrant")</f>
        <v>5060000</v>
      </c>
      <c r="Y80">
        <f>SUMIFS('Federal Data'!AJ2:AJ501,'Federal Data'!$H2:$H501,"Child Tax Credit (Refundable portion)",'Federal Data'!$D2:$D501,"Nongrant")</f>
        <v>6435000</v>
      </c>
      <c r="Z80">
        <f>SUMIFS('Federal Data'!AK2:AK501,'Federal Data'!$H2:$H501,"Child Tax Credit (Refundable portion)",'Federal Data'!$D2:$D501,"Nongrant")</f>
        <v>8857000</v>
      </c>
      <c r="AA80">
        <f>SUMIFS('Federal Data'!AL2:AL501,'Federal Data'!$H2:$H501,"Child Tax Credit (Refundable portion)",'Federal Data'!$D2:$D501,"Nongrant")</f>
        <v>14624000</v>
      </c>
      <c r="AB80">
        <f>SUMIFS('Federal Data'!AM2:AM501,'Federal Data'!$H2:$H501,"Child Tax Credit (Refundable portion)",'Federal Data'!$D2:$D501,"Nongrant")</f>
        <v>15473000</v>
      </c>
      <c r="AC80">
        <f>SUMIFS('Federal Data'!AN2:AN501,'Federal Data'!$H2:$H501,"Child Tax Credit (Refundable portion)",'Federal Data'!$D2:$D501,"Nongrant")</f>
        <v>16159000</v>
      </c>
      <c r="AD80">
        <f>SUMIFS('Federal Data'!AO2:AO501,'Federal Data'!$H2:$H501,"Child Tax Credit (Refundable portion)",'Federal Data'!$D2:$D501,"Nongrant")</f>
        <v>34019000</v>
      </c>
      <c r="AE80">
        <f>SUMIFS('Federal Data'!AP2:AP501,'Federal Data'!$H2:$H501,"Child Tax Credit (Refundable portion)",'Federal Data'!$D2:$D501,"Nongrant")</f>
        <v>24284000</v>
      </c>
      <c r="AF80">
        <f>SUMIFS('Federal Data'!AQ2:AQ501,'Federal Data'!$H2:$H501,"Child Tax Credit (Refundable portion)",'Federal Data'!$D2:$D501,"Nongrant")</f>
        <v>22659000</v>
      </c>
      <c r="AG80">
        <f>SUMIFS('Federal Data'!AR2:AR501,'Federal Data'!$H2:$H501,"Child Tax Credit (Refundable portion)",'Federal Data'!$D2:$D501,"Nongrant")</f>
        <v>22691000</v>
      </c>
      <c r="AH80">
        <f>SUMIFS('Federal Data'!AS2:AS501,'Federal Data'!$H2:$H501,"Child Tax Credit (Refundable portion)",'Federal Data'!$D2:$D501,"Nongrant")</f>
        <v>22106000</v>
      </c>
      <c r="AI80">
        <f>SUMIFS('Federal Data'!AT2:AT501,'Federal Data'!$H2:$H501,"Child Tax Credit (Refundable portion)",'Federal Data'!$D2:$D501,"Nongrant")</f>
        <v>21608000</v>
      </c>
      <c r="AJ80">
        <f>SUMIFS('Federal Data'!AU2:AU501,'Federal Data'!$H2:$H501,"Child Tax Credit (Refundable portion)",'Federal Data'!$D2:$D501,"Nongrant")</f>
        <v>21490000</v>
      </c>
      <c r="AK80">
        <f>SUMIFS('Federal Data'!AV2:AV501,'Federal Data'!$H2:$H501,"Child Tax Credit (Refundable portion)",'Federal Data'!$D2:$D501,"Nongrant")</f>
        <v>20592000</v>
      </c>
    </row>
    <row r="81" spans="1:37">
      <c r="A81" s="6" t="s">
        <v>108</v>
      </c>
      <c r="B81">
        <f>SUMIFS('Federal Data'!M2:M501,'Federal Data'!$H2:$H501,"EITC (Refundable Portion)",'Federal Data'!$D2:$D501,"Nongrant")</f>
        <v>1275231</v>
      </c>
      <c r="C81">
        <f>SUMIFS('Federal Data'!N2:N501,'Federal Data'!$H2:$H501,"EITC (Refundable Portion)",'Federal Data'!$D2:$D501,"Nongrant")</f>
        <v>1317980</v>
      </c>
      <c r="D81">
        <f>SUMIFS('Federal Data'!O2:O501,'Federal Data'!$H2:$H501,"EITC (Refundable Portion)",'Federal Data'!$D2:$D501,"Nongrant")</f>
        <v>1201494</v>
      </c>
      <c r="E81">
        <f>SUMIFS('Federal Data'!P2:P501,'Federal Data'!$H2:$H501,"EITC (Refundable Portion)",'Federal Data'!$D2:$D501,"Nongrant")</f>
        <v>1213292</v>
      </c>
      <c r="F81">
        <f>SUMIFS('Federal Data'!Q2:Q501,'Federal Data'!$H2:$H501,"EITC (Refundable Portion)",'Federal Data'!$D2:$D501,"Nongrant")</f>
        <v>1192901</v>
      </c>
      <c r="G81">
        <f>SUMIFS('Federal Data'!R2:R501,'Federal Data'!$H2:$H501,"EITC (Refundable Portion)",'Federal Data'!$D2:$D501,"Nongrant")</f>
        <v>1099776</v>
      </c>
      <c r="H81">
        <f>SUMIFS('Federal Data'!S2:S501,'Federal Data'!$H2:$H501,"EITC (Refundable Portion)",'Federal Data'!$D2:$D501,"Nongrant")</f>
        <v>1414990</v>
      </c>
      <c r="I81">
        <f>SUMIFS('Federal Data'!T2:T501,'Federal Data'!$H2:$H501,"EITC (Refundable Portion)",'Federal Data'!$D2:$D501,"Nongrant")</f>
        <v>1409932</v>
      </c>
      <c r="J81">
        <f>SUMIFS('Federal Data'!U2:U501,'Federal Data'!$H2:$H501,"EITC (Refundable Portion)",'Federal Data'!$D2:$D501,"Nongrant")</f>
        <v>2697587</v>
      </c>
      <c r="K81">
        <f>SUMIFS('Federal Data'!V2:V501,'Federal Data'!$H2:$H501,"EITC (Refundable Portion)",'Federal Data'!$D2:$D501,"Nongrant")</f>
        <v>4002029</v>
      </c>
      <c r="L81">
        <f>SUMIFS('Federal Data'!W2:W501,'Federal Data'!$H2:$H501,"EITC (Refundable Portion)",'Federal Data'!$D2:$D501,"Nongrant")</f>
        <v>4354072</v>
      </c>
      <c r="M81">
        <f>SUMIFS('Federal Data'!X2:X501,'Federal Data'!$H2:$H501,"EITC (Refundable Portion)",'Federal Data'!$D2:$D501,"Nongrant")</f>
        <v>4884669</v>
      </c>
      <c r="N81">
        <f>SUMIFS('Federal Data'!Y2:Y501,'Federal Data'!$H2:$H501,"EITC (Refundable Portion)",'Federal Data'!$D2:$D501,"Nongrant")</f>
        <v>7344885</v>
      </c>
      <c r="O81">
        <f>SUMIFS('Federal Data'!Z2:Z501,'Federal Data'!$H2:$H501,"EITC (Refundable Portion)",'Federal Data'!$D2:$D501,"Nongrant")</f>
        <v>8780787</v>
      </c>
      <c r="P81">
        <f>SUMIFS('Federal Data'!AA2:AA501,'Federal Data'!$H2:$H501,"EITC (Refundable Portion)",'Federal Data'!$D2:$D501,"Nongrant")</f>
        <v>10949827</v>
      </c>
      <c r="Q81">
        <f>SUMIFS('Federal Data'!AB2:AB501,'Federal Data'!$H2:$H501,"EITC (Refundable Portion)",'Federal Data'!$D2:$D501,"Nongrant")</f>
        <v>15244000</v>
      </c>
      <c r="R81">
        <f>SUMIFS('Federal Data'!AC2:AC501,'Federal Data'!$H2:$H501,"EITC (Refundable Portion)",'Federal Data'!$D2:$D501,"Nongrant")</f>
        <v>19159000</v>
      </c>
      <c r="S81">
        <f>SUMIFS('Federal Data'!AD2:AD501,'Federal Data'!$H2:$H501,"EITC (Refundable Portion)",'Federal Data'!$D2:$D501,"Nongrant")</f>
        <v>21856000</v>
      </c>
      <c r="T81">
        <f>SUMIFS('Federal Data'!AE2:AE501,'Federal Data'!$H2:$H501,"EITC (Refundable Portion)",'Federal Data'!$D2:$D501,"Nongrant")</f>
        <v>23239000</v>
      </c>
      <c r="U81">
        <f>SUMIFS('Federal Data'!AF2:AF501,'Federal Data'!$H2:$H501,"EITC (Refundable Portion)",'Federal Data'!$D2:$D501,"Nongrant")</f>
        <v>25632000</v>
      </c>
      <c r="V81">
        <f>SUMIFS('Federal Data'!AG2:AG501,'Federal Data'!$H2:$H501,"EITC (Refundable Portion)",'Federal Data'!$D2:$D501,"Nongrant")</f>
        <v>26099000</v>
      </c>
      <c r="W81">
        <f>SUMIFS('Federal Data'!AH2:AH501,'Federal Data'!$H2:$H501,"EITC (Refundable Portion)",'Federal Data'!$D2:$D501,"Nongrant")</f>
        <v>26123000</v>
      </c>
      <c r="X81">
        <f>SUMIFS('Federal Data'!AI2:AI501,'Federal Data'!$H2:$H501,"EITC (Refundable Portion)",'Federal Data'!$D2:$D501,"Nongrant")</f>
        <v>27826000</v>
      </c>
      <c r="Y81">
        <f>SUMIFS('Federal Data'!AJ2:AJ501,'Federal Data'!$H2:$H501,"EITC (Refundable Portion)",'Federal Data'!$D2:$D501,"Nongrant")</f>
        <v>31961000</v>
      </c>
      <c r="Z81">
        <f>SUMIFS('Federal Data'!AK2:AK501,'Federal Data'!$H2:$H501,"EITC (Refundable Portion)",'Federal Data'!$D2:$D501,"Nongrant")</f>
        <v>33134000</v>
      </c>
      <c r="AA81">
        <f>SUMIFS('Federal Data'!AL2:AL501,'Federal Data'!$H2:$H501,"EITC (Refundable Portion)",'Federal Data'!$D2:$D501,"Nongrant")</f>
        <v>34559000</v>
      </c>
      <c r="AB81">
        <f>SUMIFS('Federal Data'!AM2:AM501,'Federal Data'!$H2:$H501,"EITC (Refundable Portion)",'Federal Data'!$D2:$D501,"Nongrant")</f>
        <v>36166000</v>
      </c>
      <c r="AC81">
        <f>SUMIFS('Federal Data'!AN2:AN501,'Federal Data'!$H2:$H501,"EITC (Refundable Portion)",'Federal Data'!$D2:$D501,"Nongrant")</f>
        <v>38274000</v>
      </c>
      <c r="AD81">
        <f>SUMIFS('Federal Data'!AO2:AO501,'Federal Data'!$H2:$H501,"EITC (Refundable Portion)",'Federal Data'!$D2:$D501,"Nongrant")</f>
        <v>40600000</v>
      </c>
      <c r="AE81">
        <f>SUMIFS('Federal Data'!AP2:AP501,'Federal Data'!$H2:$H501,"EITC (Refundable Portion)",'Federal Data'!$D2:$D501,"Nongrant")</f>
        <v>42418000</v>
      </c>
      <c r="AF81">
        <f>SUMIFS('Federal Data'!AQ2:AQ501,'Federal Data'!$H2:$H501,"EITC (Refundable Portion)",'Federal Data'!$D2:$D501,"Nongrant")</f>
        <v>54712000</v>
      </c>
      <c r="AG81">
        <f>SUMIFS('Federal Data'!AR2:AR501,'Federal Data'!$H2:$H501,"EITC (Refundable Portion)",'Federal Data'!$D2:$D501,"Nongrant")</f>
        <v>55652000</v>
      </c>
      <c r="AH81">
        <f>SUMIFS('Federal Data'!AS2:AS501,'Federal Data'!$H2:$H501,"EITC (Refundable Portion)",'Federal Data'!$D2:$D501,"Nongrant")</f>
        <v>54890000</v>
      </c>
      <c r="AI81">
        <f>SUMIFS('Federal Data'!AT2:AT501,'Federal Data'!$H2:$H501,"EITC (Refundable Portion)",'Federal Data'!$D2:$D501,"Nongrant")</f>
        <v>57513000</v>
      </c>
      <c r="AJ81">
        <f>SUMIFS('Federal Data'!AU2:AU501,'Federal Data'!$H2:$H501,"EITC (Refundable Portion)",'Federal Data'!$D2:$D501,"Nongrant")</f>
        <v>60087000</v>
      </c>
      <c r="AK81">
        <f>SUMIFS('Federal Data'!AV2:AV501,'Federal Data'!$H2:$H501,"EITC (Refundable Portion)",'Federal Data'!$D2:$D501,"Nongrant")</f>
        <v>60084000</v>
      </c>
    </row>
    <row r="82" spans="1:37">
      <c r="A82" s="6" t="s">
        <v>103</v>
      </c>
      <c r="B82">
        <f>SUMIFS('Federal Data'!M2:M501,'Federal Data'!$H2:$H501,"SSI",'Federal Data'!$D2:$D501,"Nongrant")</f>
        <v>6372174</v>
      </c>
      <c r="C82">
        <f>SUMIFS('Federal Data'!N2:N501,'Federal Data'!$H2:$H501,"SSI",'Federal Data'!$D2:$D501,"Nongrant")</f>
        <v>7146506</v>
      </c>
      <c r="D82">
        <f>SUMIFS('Federal Data'!O2:O501,'Federal Data'!$H2:$H501,"SSI",'Federal Data'!$D2:$D501,"Nongrant")</f>
        <v>7656868</v>
      </c>
      <c r="E82">
        <f>SUMIFS('Federal Data'!P2:P501,'Federal Data'!$H2:$H501,"SSI",'Federal Data'!$D2:$D501,"Nongrant")</f>
        <v>8710884</v>
      </c>
      <c r="F82">
        <f>SUMIFS('Federal Data'!Q2:Q501,'Federal Data'!$H2:$H501,"SSI",'Federal Data'!$D2:$D501,"Nongrant")</f>
        <v>8490127</v>
      </c>
      <c r="G82">
        <f>SUMIFS('Federal Data'!R2:R501,'Federal Data'!$H2:$H501,"SSI",'Federal Data'!$D2:$D501,"Nongrant")</f>
        <v>9606378</v>
      </c>
      <c r="H82">
        <f>SUMIFS('Federal Data'!S2:S501,'Federal Data'!$H2:$H501,"SSI",'Federal Data'!$D2:$D501,"Nongrant")</f>
        <v>10344721</v>
      </c>
      <c r="I82">
        <f>SUMIFS('Federal Data'!T2:T501,'Federal Data'!$H2:$H501,"SSI",'Federal Data'!$D2:$D501,"Nongrant")</f>
        <v>10909274</v>
      </c>
      <c r="J82">
        <f>SUMIFS('Federal Data'!U2:U501,'Federal Data'!$H2:$H501,"SSI",'Federal Data'!$D2:$D501,"Nongrant")</f>
        <v>12344977</v>
      </c>
      <c r="K82">
        <f>SUMIFS('Federal Data'!V2:V501,'Federal Data'!$H2:$H501,"SSI",'Federal Data'!$D2:$D501,"Nongrant")</f>
        <v>12554727</v>
      </c>
      <c r="L82">
        <f>SUMIFS('Federal Data'!W2:W501,'Federal Data'!$H2:$H501,"SSI",'Federal Data'!$D2:$D501,"Nongrant")</f>
        <v>12568426</v>
      </c>
      <c r="M82">
        <f>SUMIFS('Federal Data'!X2:X501,'Federal Data'!$H2:$H501,"SSI",'Federal Data'!$D2:$D501,"Nongrant")</f>
        <v>15925823</v>
      </c>
      <c r="N82">
        <f>SUMIFS('Federal Data'!Y2:Y501,'Federal Data'!$H2:$H501,"SSI",'Federal Data'!$D2:$D501,"Nongrant")</f>
        <v>18777024</v>
      </c>
      <c r="O82">
        <f>SUMIFS('Federal Data'!Z2:Z501,'Federal Data'!$H2:$H501,"SSI",'Federal Data'!$D2:$D501,"Nongrant")</f>
        <v>21906839</v>
      </c>
      <c r="P82">
        <f>SUMIFS('Federal Data'!AA2:AA501,'Federal Data'!$H2:$H501,"SSI",'Federal Data'!$D2:$D501,"Nongrant")</f>
        <v>25480386</v>
      </c>
      <c r="Q82">
        <f>SUMIFS('Federal Data'!AB2:AB501,'Federal Data'!$H2:$H501,"SSI",'Federal Data'!$D2:$D501,"Nongrant")</f>
        <v>25561000</v>
      </c>
      <c r="R82">
        <f>SUMIFS('Federal Data'!AC2:AC501,'Federal Data'!$H2:$H501,"SSI",'Federal Data'!$D2:$D501,"Nongrant")</f>
        <v>24892000</v>
      </c>
      <c r="S82">
        <f>SUMIFS('Federal Data'!AD2:AD501,'Federal Data'!$H2:$H501,"SSI",'Federal Data'!$D2:$D501,"Nongrant")</f>
        <v>27430000</v>
      </c>
      <c r="T82">
        <f>SUMIFS('Federal Data'!AE2:AE501,'Federal Data'!$H2:$H501,"SSI",'Federal Data'!$D2:$D501,"Nongrant")</f>
        <v>28396000</v>
      </c>
      <c r="U82">
        <f>SUMIFS('Federal Data'!AF2:AF501,'Federal Data'!$H2:$H501,"SSI",'Federal Data'!$D2:$D501,"Nongrant")</f>
        <v>29197000</v>
      </c>
      <c r="V82">
        <f>SUMIFS('Federal Data'!AG2:AG501,'Federal Data'!$H2:$H501,"SSI",'Federal Data'!$D2:$D501,"Nongrant")</f>
        <v>31865000</v>
      </c>
      <c r="W82">
        <f>SUMIFS('Federal Data'!AH2:AH501,'Federal Data'!$H2:$H501,"SSI",'Federal Data'!$D2:$D501,"Nongrant")</f>
        <v>28298000</v>
      </c>
      <c r="X82">
        <f>SUMIFS('Federal Data'!AI2:AI501,'Federal Data'!$H2:$H501,"SSI",'Federal Data'!$D2:$D501,"Nongrant")</f>
        <v>31836000</v>
      </c>
      <c r="Y82">
        <f>SUMIFS('Federal Data'!AJ2:AJ501,'Federal Data'!$H2:$H501,"SSI",'Federal Data'!$D2:$D501,"Nongrant")</f>
        <v>33045000</v>
      </c>
      <c r="Z82">
        <f>SUMIFS('Federal Data'!AK2:AK501,'Federal Data'!$H2:$H501,"SSI",'Federal Data'!$D2:$D501,"Nongrant")</f>
        <v>33914000</v>
      </c>
      <c r="AA82">
        <f>SUMIFS('Federal Data'!AL2:AL501,'Federal Data'!$H2:$H501,"SSI",'Federal Data'!$D2:$D501,"Nongrant")</f>
        <v>38010000</v>
      </c>
      <c r="AB82">
        <f>SUMIFS('Federal Data'!AM2:AM501,'Federal Data'!$H2:$H501,"SSI",'Federal Data'!$D2:$D501,"Nongrant")</f>
        <v>37185000</v>
      </c>
      <c r="AC82">
        <f>SUMIFS('Federal Data'!AN2:AN501,'Federal Data'!$H2:$H501,"SSI",'Federal Data'!$D2:$D501,"Nongrant")</f>
        <v>35601000</v>
      </c>
      <c r="AD82">
        <f>SUMIFS('Federal Data'!AO2:AO501,'Federal Data'!$H2:$H501,"SSI",'Federal Data'!$D2:$D501,"Nongrant")</f>
        <v>40762000</v>
      </c>
      <c r="AE82">
        <f>SUMIFS('Federal Data'!AP2:AP501,'Federal Data'!$H2:$H501,"SSI",'Federal Data'!$D2:$D501,"Nongrant")</f>
        <v>44565000</v>
      </c>
      <c r="AF82">
        <f>SUMIFS('Federal Data'!AQ2:AQ501,'Federal Data'!$H2:$H501,"SSI",'Federal Data'!$D2:$D501,"Nongrant")</f>
        <v>47423000</v>
      </c>
      <c r="AG82">
        <f>SUMIFS('Federal Data'!AR2:AR501,'Federal Data'!$H2:$H501,"SSI",'Federal Data'!$D2:$D501,"Nongrant")</f>
        <v>53373000</v>
      </c>
      <c r="AH82">
        <f>SUMIFS('Federal Data'!AS2:AS501,'Federal Data'!$H2:$H501,"SSI",'Federal Data'!$D2:$D501,"Nongrant")</f>
        <v>47846000</v>
      </c>
      <c r="AI82">
        <f>SUMIFS('Federal Data'!AT2:AT501,'Federal Data'!$H2:$H501,"SSI",'Federal Data'!$D2:$D501,"Nongrant")</f>
        <v>53834000</v>
      </c>
      <c r="AJ82">
        <f>SUMIFS('Federal Data'!AU2:AU501,'Federal Data'!$H2:$H501,"SSI",'Federal Data'!$D2:$D501,"Nongrant")</f>
        <v>55234000</v>
      </c>
      <c r="AK82">
        <f>SUMIFS('Federal Data'!AV2:AV501,'Federal Data'!$H2:$H501,"SSI",'Federal Data'!$D2:$D501,"Nongrant")</f>
        <v>56366000</v>
      </c>
    </row>
    <row r="83" spans="1:37">
      <c r="A83" s="6" t="s">
        <v>104</v>
      </c>
      <c r="B83">
        <f>SUMIFS('Federal Data'!M2:M501,'Federal Data'!$H2:$H501,"TANF",'Federal Data'!$D2:$D501,"Nongrant")</f>
        <v>0</v>
      </c>
      <c r="C83">
        <f>SUMIFS('Federal Data'!N2:N501,'Federal Data'!$H2:$H501,"TANF",'Federal Data'!$D2:$D501,"Nongrant")</f>
        <v>0</v>
      </c>
      <c r="D83">
        <f>SUMIFS('Federal Data'!O2:O501,'Federal Data'!$H2:$H501,"TANF",'Federal Data'!$D2:$D501,"Nongrant")</f>
        <v>0</v>
      </c>
      <c r="E83">
        <f>SUMIFS('Federal Data'!P2:P501,'Federal Data'!$H2:$H501,"TANF",'Federal Data'!$D2:$D501,"Nongrant")</f>
        <v>0</v>
      </c>
      <c r="F83">
        <f>SUMIFS('Federal Data'!Q2:Q501,'Federal Data'!$H2:$H501,"TANF",'Federal Data'!$D2:$D501,"Nongrant")</f>
        <v>0</v>
      </c>
      <c r="G83">
        <f>SUMIFS('Federal Data'!R2:R501,'Federal Data'!$H2:$H501,"TANF",'Federal Data'!$D2:$D501,"Nongrant")</f>
        <v>0</v>
      </c>
      <c r="H83">
        <f>SUMIFS('Federal Data'!S2:S501,'Federal Data'!$H2:$H501,"TANF",'Federal Data'!$D2:$D501,"Nongrant")</f>
        <v>0</v>
      </c>
      <c r="I83">
        <f>SUMIFS('Federal Data'!T2:T501,'Federal Data'!$H2:$H501,"TANF",'Federal Data'!$D2:$D501,"Nongrant")</f>
        <v>0</v>
      </c>
      <c r="J83">
        <f>SUMIFS('Federal Data'!U2:U501,'Federal Data'!$H2:$H501,"TANF",'Federal Data'!$D2:$D501,"Nongrant")</f>
        <v>0</v>
      </c>
      <c r="K83">
        <f>SUMIFS('Federal Data'!V2:V501,'Federal Data'!$H2:$H501,"TANF",'Federal Data'!$D2:$D501,"Nongrant")</f>
        <v>0</v>
      </c>
      <c r="L83">
        <f>SUMIFS('Federal Data'!W2:W501,'Federal Data'!$H2:$H501,"TANF",'Federal Data'!$D2:$D501,"Nongrant")</f>
        <v>0</v>
      </c>
      <c r="M83">
        <f>SUMIFS('Federal Data'!X2:X501,'Federal Data'!$H2:$H501,"TANF",'Federal Data'!$D2:$D501,"Nongrant")</f>
        <v>0</v>
      </c>
      <c r="N83">
        <f>SUMIFS('Federal Data'!Y2:Y501,'Federal Data'!$H2:$H501,"TANF",'Federal Data'!$D2:$D501,"Nongrant")</f>
        <v>0</v>
      </c>
      <c r="O83">
        <f>SUMIFS('Federal Data'!Z2:Z501,'Federal Data'!$H2:$H501,"TANF",'Federal Data'!$D2:$D501,"Nongrant")</f>
        <v>0</v>
      </c>
      <c r="P83">
        <f>SUMIFS('Federal Data'!AA2:AA501,'Federal Data'!$H2:$H501,"TANF",'Federal Data'!$D2:$D501,"Nongrant")</f>
        <v>0</v>
      </c>
      <c r="Q83">
        <f>SUMIFS('Federal Data'!AB2:AB501,'Federal Data'!$H2:$H501,"TANF",'Federal Data'!$D2:$D501,"Nongrant")</f>
        <v>0</v>
      </c>
      <c r="R83">
        <f>SUMIFS('Federal Data'!AC2:AC501,'Federal Data'!$H2:$H501,"TANF",'Federal Data'!$D2:$D501,"Nongrant")</f>
        <v>0</v>
      </c>
      <c r="S83">
        <f>SUMIFS('Federal Data'!AD2:AD501,'Federal Data'!$H2:$H501,"TANF",'Federal Data'!$D2:$D501,"Nongrant")</f>
        <v>0</v>
      </c>
      <c r="T83">
        <f>SUMIFS('Federal Data'!AE2:AE501,'Federal Data'!$H2:$H501,"TANF",'Federal Data'!$D2:$D501,"Nongrant")</f>
        <v>0</v>
      </c>
      <c r="U83">
        <f>SUMIFS('Federal Data'!AF2:AF501,'Federal Data'!$H2:$H501,"TANF",'Federal Data'!$D2:$D501,"Nongrant")</f>
        <v>0</v>
      </c>
      <c r="V83">
        <f>SUMIFS('Federal Data'!AG2:AG501,'Federal Data'!$H2:$H501,"TANF",'Federal Data'!$D2:$D501,"Nongrant")</f>
        <v>0</v>
      </c>
      <c r="W83">
        <f>SUMIFS('Federal Data'!AH2:AH501,'Federal Data'!$H2:$H501,"TANF",'Federal Data'!$D2:$D501,"Nongrant")</f>
        <v>0</v>
      </c>
      <c r="X83">
        <f>SUMIFS('Federal Data'!AI2:AI501,'Federal Data'!$H2:$H501,"TANF",'Federal Data'!$D2:$D501,"Nongrant")</f>
        <v>0</v>
      </c>
      <c r="Y83">
        <f>SUMIFS('Federal Data'!AJ2:AJ501,'Federal Data'!$H2:$H501,"TANF",'Federal Data'!$D2:$D501,"Nongrant")</f>
        <v>0</v>
      </c>
      <c r="Z83">
        <f>SUMIFS('Federal Data'!AK2:AK501,'Federal Data'!$H2:$H501,"TANF",'Federal Data'!$D2:$D501,"Nongrant")</f>
        <v>0</v>
      </c>
      <c r="AA83">
        <f>SUMIFS('Federal Data'!AL2:AL501,'Federal Data'!$H2:$H501,"TANF",'Federal Data'!$D2:$D501,"Nongrant")</f>
        <v>0</v>
      </c>
      <c r="AB83">
        <f>SUMIFS('Federal Data'!AM2:AM501,'Federal Data'!$H2:$H501,"TANF",'Federal Data'!$D2:$D501,"Nongrant")</f>
        <v>0</v>
      </c>
      <c r="AC83">
        <f>SUMIFS('Federal Data'!AN2:AN501,'Federal Data'!$H2:$H501,"TANF",'Federal Data'!$D2:$D501,"Nongrant")</f>
        <v>0</v>
      </c>
      <c r="AD83">
        <f>SUMIFS('Federal Data'!AO2:AO501,'Federal Data'!$H2:$H501,"TANF",'Federal Data'!$D2:$D501,"Nongrant")</f>
        <v>0</v>
      </c>
      <c r="AE83">
        <f>SUMIFS('Federal Data'!AP2:AP501,'Federal Data'!$H2:$H501,"TANF",'Federal Data'!$D2:$D501,"Nongrant")</f>
        <v>0</v>
      </c>
      <c r="AF83">
        <f>SUMIFS('Federal Data'!AQ2:AQ501,'Federal Data'!$H2:$H501,"TANF",'Federal Data'!$D2:$D501,"Nongrant")</f>
        <v>2000</v>
      </c>
      <c r="AG83">
        <f>SUMIFS('Federal Data'!AR2:AR501,'Federal Data'!$H2:$H501,"TANF",'Federal Data'!$D2:$D501,"Nongrant")</f>
        <v>0</v>
      </c>
      <c r="AH83">
        <f>SUMIFS('Federal Data'!AS2:AS501,'Federal Data'!$H2:$H501,"TANF",'Federal Data'!$D2:$D501,"Nongrant")</f>
        <v>0</v>
      </c>
      <c r="AI83">
        <f>SUMIFS('Federal Data'!AT2:AT501,'Federal Data'!$H2:$H501,"TANF",'Federal Data'!$D2:$D501,"Nongrant")</f>
        <v>0</v>
      </c>
      <c r="AJ83">
        <f>SUMIFS('Federal Data'!AU2:AU501,'Federal Data'!$H2:$H501,"TANF",'Federal Data'!$D2:$D501,"Nongrant")</f>
        <v>0</v>
      </c>
      <c r="AK83">
        <f>SUMIFS('Federal Data'!AV2:AV501,'Federal Data'!$H2:$H501,"TANF",'Federal Data'!$D2:$D501,"Nongrant")</f>
        <v>2000</v>
      </c>
    </row>
    <row r="84" spans="1:37">
      <c r="A84" s="6" t="s">
        <v>105</v>
      </c>
      <c r="B84">
        <f>SUMIFS('Federal Data'!M2:M501,'Federal Data'!$H2:$H501,"Refugee Assistance",'Federal Data'!$D2:$D501,"Nongrant")</f>
        <v>29553</v>
      </c>
      <c r="C84">
        <f>SUMIFS('Federal Data'!N2:N501,'Federal Data'!$H2:$H501,"Refugee Assistance",'Federal Data'!$D2:$D501,"Nongrant")</f>
        <v>85174</v>
      </c>
      <c r="D84">
        <f>SUMIFS('Federal Data'!O2:O501,'Federal Data'!$H2:$H501,"Refugee Assistance",'Federal Data'!$D2:$D501,"Nongrant")</f>
        <v>133517</v>
      </c>
      <c r="E84">
        <f>SUMIFS('Federal Data'!P2:P501,'Federal Data'!$H2:$H501,"Refugee Assistance",'Federal Data'!$D2:$D501,"Nongrant")</f>
        <v>19777</v>
      </c>
      <c r="F84">
        <f>SUMIFS('Federal Data'!Q2:Q501,'Federal Data'!$H2:$H501,"Refugee Assistance",'Federal Data'!$D2:$D501,"Nongrant")</f>
        <v>16057</v>
      </c>
      <c r="G84">
        <f>SUMIFS('Federal Data'!R2:R501,'Federal Data'!$H2:$H501,"Refugee Assistance",'Federal Data'!$D2:$D501,"Nongrant")</f>
        <v>21748</v>
      </c>
      <c r="H84">
        <f>SUMIFS('Federal Data'!S2:S501,'Federal Data'!$H2:$H501,"Refugee Assistance",'Federal Data'!$D2:$D501,"Nongrant")</f>
        <v>12799</v>
      </c>
      <c r="I84">
        <f>SUMIFS('Federal Data'!T2:T501,'Federal Data'!$H2:$H501,"Refugee Assistance",'Federal Data'!$D2:$D501,"Nongrant")</f>
        <v>13250</v>
      </c>
      <c r="J84">
        <f>SUMIFS('Federal Data'!U2:U501,'Federal Data'!$H2:$H501,"Refugee Assistance",'Federal Data'!$D2:$D501,"Nongrant")</f>
        <v>8774</v>
      </c>
      <c r="K84">
        <f>SUMIFS('Federal Data'!V2:V501,'Federal Data'!$H2:$H501,"Refugee Assistance",'Federal Data'!$D2:$D501,"Nongrant")</f>
        <v>18735</v>
      </c>
      <c r="L84">
        <f>SUMIFS('Federal Data'!W2:W501,'Federal Data'!$H2:$H501,"Refugee Assistance",'Federal Data'!$D2:$D501,"Nongrant")</f>
        <v>49687</v>
      </c>
      <c r="M84">
        <f>SUMIFS('Federal Data'!X2:X501,'Federal Data'!$H2:$H501,"Refugee Assistance",'Federal Data'!$D2:$D501,"Nongrant")</f>
        <v>40924</v>
      </c>
      <c r="N84">
        <f>SUMIFS('Federal Data'!Y2:Y501,'Federal Data'!$H2:$H501,"Refugee Assistance",'Federal Data'!$D2:$D501,"Nongrant")</f>
        <v>76725</v>
      </c>
      <c r="O84">
        <f>SUMIFS('Federal Data'!Z2:Z501,'Federal Data'!$H2:$H501,"Refugee Assistance",'Federal Data'!$D2:$D501,"Nongrant")</f>
        <v>33781</v>
      </c>
      <c r="P84">
        <f>SUMIFS('Federal Data'!AA2:AA501,'Federal Data'!$H2:$H501,"Refugee Assistance",'Federal Data'!$D2:$D501,"Nongrant")</f>
        <v>44919</v>
      </c>
      <c r="Q84">
        <f>SUMIFS('Federal Data'!AB2:AB501,'Federal Data'!$H2:$H501,"Refugee Assistance",'Federal Data'!$D2:$D501,"Nongrant")</f>
        <v>47000</v>
      </c>
      <c r="R84">
        <f>SUMIFS('Federal Data'!AC2:AC501,'Federal Data'!$H2:$H501,"Refugee Assistance",'Federal Data'!$D2:$D501,"Nongrant")</f>
        <v>42000</v>
      </c>
      <c r="S84">
        <f>SUMIFS('Federal Data'!AD2:AD501,'Federal Data'!$H2:$H501,"Refugee Assistance",'Federal Data'!$D2:$D501,"Nongrant")</f>
        <v>46000</v>
      </c>
      <c r="T84">
        <f>SUMIFS('Federal Data'!AE2:AE501,'Federal Data'!$H2:$H501,"Refugee Assistance",'Federal Data'!$D2:$D501,"Nongrant")</f>
        <v>31000</v>
      </c>
      <c r="U84">
        <f>SUMIFS('Federal Data'!AF2:AF501,'Federal Data'!$H2:$H501,"Refugee Assistance",'Federal Data'!$D2:$D501,"Nongrant")</f>
        <v>96000</v>
      </c>
      <c r="V84">
        <f>SUMIFS('Federal Data'!AG2:AG501,'Federal Data'!$H2:$H501,"Refugee Assistance",'Federal Data'!$D2:$D501,"Nongrant")</f>
        <v>103000</v>
      </c>
      <c r="W84">
        <f>SUMIFS('Federal Data'!AH2:AH501,'Federal Data'!$H2:$H501,"Refugee Assistance",'Federal Data'!$D2:$D501,"Nongrant")</f>
        <v>111000</v>
      </c>
      <c r="X84">
        <f>SUMIFS('Federal Data'!AI2:AI501,'Federal Data'!$H2:$H501,"Refugee Assistance",'Federal Data'!$D2:$D501,"Nongrant")</f>
        <v>118000</v>
      </c>
      <c r="Y84">
        <f>SUMIFS('Federal Data'!AJ2:AJ501,'Federal Data'!$H2:$H501,"Refugee Assistance",'Federal Data'!$D2:$D501,"Nongrant")</f>
        <v>100000</v>
      </c>
      <c r="Z84">
        <f>SUMIFS('Federal Data'!AK2:AK501,'Federal Data'!$H2:$H501,"Refugee Assistance",'Federal Data'!$D2:$D501,"Nongrant")</f>
        <v>86000</v>
      </c>
      <c r="AA84">
        <f>SUMIFS('Federal Data'!AL2:AL501,'Federal Data'!$H2:$H501,"Refugee Assistance",'Federal Data'!$D2:$D501,"Nongrant")</f>
        <v>85000</v>
      </c>
      <c r="AB84">
        <f>SUMIFS('Federal Data'!AM2:AM501,'Federal Data'!$H2:$H501,"Refugee Assistance",'Federal Data'!$D2:$D501,"Nongrant")</f>
        <v>85000</v>
      </c>
      <c r="AC84">
        <f>SUMIFS('Federal Data'!AN2:AN501,'Federal Data'!$H2:$H501,"Refugee Assistance",'Federal Data'!$D2:$D501,"Nongrant")</f>
        <v>120000</v>
      </c>
      <c r="AD84">
        <f>SUMIFS('Federal Data'!AO2:AO501,'Federal Data'!$H2:$H501,"Refugee Assistance",'Federal Data'!$D2:$D501,"Nongrant")</f>
        <v>121000</v>
      </c>
      <c r="AE84">
        <f>SUMIFS('Federal Data'!AP2:AP501,'Federal Data'!$H2:$H501,"Refugee Assistance",'Federal Data'!$D2:$D501,"Nongrant")</f>
        <v>131000</v>
      </c>
      <c r="AF84">
        <f>SUMIFS('Federal Data'!AQ2:AQ501,'Federal Data'!$H2:$H501,"Refugee Assistance",'Federal Data'!$D2:$D501,"Nongrant")</f>
        <v>178000</v>
      </c>
      <c r="AG84">
        <f>SUMIFS('Federal Data'!AR2:AR501,'Federal Data'!$H2:$H501,"Refugee Assistance",'Federal Data'!$D2:$D501,"Nongrant")</f>
        <v>121000</v>
      </c>
      <c r="AH84">
        <f>SUMIFS('Federal Data'!AS2:AS501,'Federal Data'!$H2:$H501,"Refugee Assistance",'Federal Data'!$D2:$D501,"Nongrant")</f>
        <v>169000</v>
      </c>
      <c r="AI84">
        <f>SUMIFS('Federal Data'!AT2:AT501,'Federal Data'!$H2:$H501,"Refugee Assistance",'Federal Data'!$D2:$D501,"Nongrant")</f>
        <v>709000</v>
      </c>
      <c r="AJ84">
        <f>SUMIFS('Federal Data'!AU2:AU501,'Federal Data'!$H2:$H501,"Refugee Assistance",'Federal Data'!$D2:$D501,"Nongrant")</f>
        <v>606000</v>
      </c>
      <c r="AK84">
        <f>SUMIFS('Federal Data'!AV2:AV501,'Federal Data'!$H2:$H501,"Refugee Assistance",'Federal Data'!$D2:$D501,"Nongrant")</f>
        <v>458000</v>
      </c>
    </row>
    <row r="85" spans="1:37">
      <c r="A85" s="6" t="s">
        <v>106</v>
      </c>
      <c r="B85">
        <f>SUMIFS('Federal Data'!M2:M501,'Federal Data'!$H2:$H501,"Other",'Federal Data'!$D2:$D501,"Nongrant",'Federal Data'!$G2:$G501,"Cash Programs")</f>
        <v>0</v>
      </c>
      <c r="C85">
        <f>SUMIFS('Federal Data'!N2:N501,'Federal Data'!$H2:$H501,"Other",'Federal Data'!$D2:$D501,"Nongrant",'Federal Data'!$G2:$G501,"Cash Programs")</f>
        <v>0</v>
      </c>
      <c r="D85">
        <f>SUMIFS('Federal Data'!O2:O501,'Federal Data'!$H2:$H501,"Other",'Federal Data'!$D2:$D501,"Nongrant",'Federal Data'!$G2:$G501,"Cash Programs")</f>
        <v>0</v>
      </c>
      <c r="E85">
        <f>SUMIFS('Federal Data'!P2:P501,'Federal Data'!$H2:$H501,"Other",'Federal Data'!$D2:$D501,"Nongrant",'Federal Data'!$G2:$G501,"Cash Programs")</f>
        <v>0</v>
      </c>
      <c r="F85">
        <f>SUMIFS('Federal Data'!Q2:Q501,'Federal Data'!$H2:$H501,"Other",'Federal Data'!$D2:$D501,"Nongrant",'Federal Data'!$G2:$G501,"Cash Programs")</f>
        <v>0</v>
      </c>
      <c r="G85">
        <f>SUMIFS('Federal Data'!R2:R501,'Federal Data'!$H2:$H501,"Other",'Federal Data'!$D2:$D501,"Nongrant",'Federal Data'!$G2:$G501,"Cash Programs")</f>
        <v>0</v>
      </c>
      <c r="H85">
        <f>SUMIFS('Federal Data'!S2:S501,'Federal Data'!$H2:$H501,"Other",'Federal Data'!$D2:$D501,"Nongrant",'Federal Data'!$G2:$G501,"Cash Programs")</f>
        <v>0</v>
      </c>
      <c r="I85">
        <f>SUMIFS('Federal Data'!T2:T501,'Federal Data'!$H2:$H501,"Other",'Federal Data'!$D2:$D501,"Nongrant",'Federal Data'!$G2:$G501,"Cash Programs")</f>
        <v>0</v>
      </c>
      <c r="J85">
        <f>SUMIFS('Federal Data'!U2:U501,'Federal Data'!$H2:$H501,"Other",'Federal Data'!$D2:$D501,"Nongrant",'Federal Data'!$G2:$G501,"Cash Programs")</f>
        <v>0</v>
      </c>
      <c r="K85">
        <f>SUMIFS('Federal Data'!V2:V501,'Federal Data'!$H2:$H501,"Other",'Federal Data'!$D2:$D501,"Nongrant",'Federal Data'!$G2:$G501,"Cash Programs")</f>
        <v>0</v>
      </c>
      <c r="L85">
        <f>SUMIFS('Federal Data'!W2:W501,'Federal Data'!$H2:$H501,"Other",'Federal Data'!$D2:$D501,"Nongrant",'Federal Data'!$G2:$G501,"Cash Programs")</f>
        <v>0</v>
      </c>
      <c r="M85">
        <f>SUMIFS('Federal Data'!X2:X501,'Federal Data'!$H2:$H501,"Other",'Federal Data'!$D2:$D501,"Nongrant",'Federal Data'!$G2:$G501,"Cash Programs")</f>
        <v>0</v>
      </c>
      <c r="N85">
        <f>SUMIFS('Federal Data'!Y2:Y501,'Federal Data'!$H2:$H501,"Other",'Federal Data'!$D2:$D501,"Nongrant",'Federal Data'!$G2:$G501,"Cash Programs")</f>
        <v>0</v>
      </c>
      <c r="O85">
        <f>SUMIFS('Federal Data'!Z2:Z501,'Federal Data'!$H2:$H501,"Other",'Federal Data'!$D2:$D501,"Nongrant",'Federal Data'!$G2:$G501,"Cash Programs")</f>
        <v>0</v>
      </c>
      <c r="P85">
        <f>SUMIFS('Federal Data'!AA2:AA501,'Federal Data'!$H2:$H501,"Other",'Federal Data'!$D2:$D501,"Nongrant",'Federal Data'!$G2:$G501,"Cash Programs")</f>
        <v>0</v>
      </c>
      <c r="Q85">
        <f>SUMIFS('Federal Data'!AB2:AB501,'Federal Data'!$H2:$H501,"Other",'Federal Data'!$D2:$D501,"Nongrant",'Federal Data'!$G2:$G501,"Cash Programs")</f>
        <v>0</v>
      </c>
      <c r="R85">
        <f>SUMIFS('Federal Data'!AC2:AC501,'Federal Data'!$H2:$H501,"Other",'Federal Data'!$D2:$D501,"Nongrant",'Federal Data'!$G2:$G501,"Cash Programs")</f>
        <v>0</v>
      </c>
      <c r="S85">
        <f>SUMIFS('Federal Data'!AD2:AD501,'Federal Data'!$H2:$H501,"Other",'Federal Data'!$D2:$D501,"Nongrant",'Federal Data'!$G2:$G501,"Cash Programs")</f>
        <v>0</v>
      </c>
      <c r="T85">
        <f>SUMIFS('Federal Data'!AE2:AE501,'Federal Data'!$H2:$H501,"Other",'Federal Data'!$D2:$D501,"Nongrant",'Federal Data'!$G2:$G501,"Cash Programs")</f>
        <v>0</v>
      </c>
      <c r="U85">
        <f>SUMIFS('Federal Data'!AF2:AF501,'Federal Data'!$H2:$H501,"Other",'Federal Data'!$D2:$D501,"Nongrant",'Federal Data'!$G2:$G501,"Cash Programs")</f>
        <v>0</v>
      </c>
      <c r="V85">
        <f>SUMIFS('Federal Data'!AG2:AG501,'Federal Data'!$H2:$H501,"Other",'Federal Data'!$D2:$D501,"Nongrant",'Federal Data'!$G2:$G501,"Cash Programs")</f>
        <v>0</v>
      </c>
      <c r="W85">
        <f>SUMIFS('Federal Data'!AH2:AH501,'Federal Data'!$H2:$H501,"Other",'Federal Data'!$D2:$D501,"Nongrant",'Federal Data'!$G2:$G501,"Cash Programs")</f>
        <v>0</v>
      </c>
      <c r="X85">
        <f>SUMIFS('Federal Data'!AI2:AI501,'Federal Data'!$H2:$H501,"Other",'Federal Data'!$D2:$D501,"Nongrant",'Federal Data'!$G2:$G501,"Cash Programs")</f>
        <v>0</v>
      </c>
      <c r="Y85">
        <f>SUMIFS('Federal Data'!AJ2:AJ501,'Federal Data'!$H2:$H501,"Other",'Federal Data'!$D2:$D501,"Nongrant",'Federal Data'!$G2:$G501,"Cash Programs")</f>
        <v>0</v>
      </c>
      <c r="Z85">
        <f>SUMIFS('Federal Data'!AK2:AK501,'Federal Data'!$H2:$H501,"Other",'Federal Data'!$D2:$D501,"Nongrant",'Federal Data'!$G2:$G501,"Cash Programs")</f>
        <v>0</v>
      </c>
      <c r="AA85">
        <f>SUMIFS('Federal Data'!AL2:AL501,'Federal Data'!$H2:$H501,"Other",'Federal Data'!$D2:$D501,"Nongrant",'Federal Data'!$G2:$G501,"Cash Programs")</f>
        <v>0</v>
      </c>
      <c r="AB85">
        <f>SUMIFS('Federal Data'!AM2:AM501,'Federal Data'!$H2:$H501,"Other",'Federal Data'!$D2:$D501,"Nongrant",'Federal Data'!$G2:$G501,"Cash Programs")</f>
        <v>0</v>
      </c>
      <c r="AC85">
        <f>SUMIFS('Federal Data'!AN2:AN501,'Federal Data'!$H2:$H501,"Other",'Federal Data'!$D2:$D501,"Nongrant",'Federal Data'!$G2:$G501,"Cash Programs")</f>
        <v>0</v>
      </c>
      <c r="AD85">
        <f>SUMIFS('Federal Data'!AO2:AO501,'Federal Data'!$H2:$H501,"Other",'Federal Data'!$D2:$D501,"Nongrant",'Federal Data'!$G2:$G501,"Cash Programs")</f>
        <v>13868000</v>
      </c>
      <c r="AE85">
        <f>SUMIFS('Federal Data'!AP2:AP501,'Federal Data'!$H2:$H501,"Other",'Federal Data'!$D2:$D501,"Nongrant",'Federal Data'!$G2:$G501,"Cash Programs")</f>
        <v>2687000</v>
      </c>
      <c r="AF85">
        <f>SUMIFS('Federal Data'!AQ2:AQ501,'Federal Data'!$H2:$H501,"Other",'Federal Data'!$D2:$D501,"Nongrant",'Federal Data'!$G2:$G501,"Cash Programs")</f>
        <v>13775000</v>
      </c>
      <c r="AG85">
        <f>SUMIFS('Federal Data'!AR2:AR501,'Federal Data'!$H2:$H501,"Other",'Federal Data'!$D2:$D501,"Nongrant",'Federal Data'!$G2:$G501,"Cash Programs")</f>
        <v>13636000</v>
      </c>
      <c r="AH85">
        <f>SUMIFS('Federal Data'!AS2:AS501,'Federal Data'!$H2:$H501,"Other",'Federal Data'!$D2:$D501,"Nongrant",'Federal Data'!$G2:$G501,"Cash Programs")</f>
        <v>253000</v>
      </c>
      <c r="AI85">
        <f>SUMIFS('Federal Data'!AT2:AT501,'Federal Data'!$H2:$H501,"Other",'Federal Data'!$D2:$D501,"Nongrant",'Federal Data'!$G2:$G501,"Cash Programs")</f>
        <v>-11000</v>
      </c>
      <c r="AJ85">
        <f>SUMIFS('Federal Data'!AU2:AU501,'Federal Data'!$H2:$H501,"Other",'Federal Data'!$D2:$D501,"Nongrant",'Federal Data'!$G2:$G501,"Cash Programs")</f>
        <v>0</v>
      </c>
      <c r="AK85">
        <f>SUMIFS('Federal Data'!AV2:AV501,'Federal Data'!$H2:$H501,"Other",'Federal Data'!$D2:$D501,"Nongrant",'Federal Data'!$G2:$G501,"Cash Programs")</f>
        <v>0</v>
      </c>
    </row>
    <row r="86" spans="1:37">
      <c r="A86" s="5" t="s">
        <v>61</v>
      </c>
      <c r="B86">
        <f>SUMIFS('Federal Data'!M2:M501,'Federal Data'!$G2:$G501,"Non-Cash Programs",'Federal Data'!$D2:$D501,"Nongrant")</f>
        <v>16023051</v>
      </c>
      <c r="C86">
        <f>SUMIFS('Federal Data'!N2:N501,'Federal Data'!$G2:$G501,"Non-Cash Programs",'Federal Data'!$D2:$D501,"Nongrant")</f>
        <v>19590770</v>
      </c>
      <c r="D86">
        <f>SUMIFS('Federal Data'!O2:O501,'Federal Data'!$G2:$G501,"Non-Cash Programs",'Federal Data'!$D2:$D501,"Nongrant")</f>
        <v>17897396</v>
      </c>
      <c r="E86">
        <f>SUMIFS('Federal Data'!P2:P501,'Federal Data'!$G2:$G501,"Non-Cash Programs",'Federal Data'!$D2:$D501,"Nongrant")</f>
        <v>20705675</v>
      </c>
      <c r="F86">
        <f>SUMIFS('Federal Data'!Q2:Q501,'Federal Data'!$G2:$G501,"Non-Cash Programs",'Federal Data'!$D2:$D501,"Nongrant")</f>
        <v>21335934</v>
      </c>
      <c r="G86">
        <f>SUMIFS('Federal Data'!R2:R501,'Federal Data'!$G2:$G501,"Non-Cash Programs",'Federal Data'!$D2:$D501,"Nongrant")</f>
        <v>35110858</v>
      </c>
      <c r="H86">
        <f>SUMIFS('Federal Data'!S2:S501,'Federal Data'!$G2:$G501,"Non-Cash Programs",'Federal Data'!$D2:$D501,"Nongrant")</f>
        <v>21440975</v>
      </c>
      <c r="I86">
        <f>SUMIFS('Federal Data'!T2:T501,'Federal Data'!$G2:$G501,"Non-Cash Programs",'Federal Data'!$D2:$D501,"Nongrant")</f>
        <v>21686405</v>
      </c>
      <c r="J86">
        <f>SUMIFS('Federal Data'!U2:U501,'Federal Data'!$G2:$G501,"Non-Cash Programs",'Federal Data'!$D2:$D501,"Nongrant")</f>
        <v>22922610</v>
      </c>
      <c r="K86">
        <f>SUMIFS('Federal Data'!V2:V501,'Federal Data'!$G2:$G501,"Non-Cash Programs",'Federal Data'!$D2:$D501,"Nongrant")</f>
        <v>25070571</v>
      </c>
      <c r="L86">
        <f>SUMIFS('Federal Data'!W2:W501,'Federal Data'!$G2:$G501,"Non-Cash Programs",'Federal Data'!$D2:$D501,"Nongrant")</f>
        <v>27554497</v>
      </c>
      <c r="M86">
        <f>SUMIFS('Federal Data'!X2:X501,'Federal Data'!$G2:$G501,"Non-Cash Programs",'Federal Data'!$D2:$D501,"Nongrant")</f>
        <v>31982323</v>
      </c>
      <c r="N86">
        <f>SUMIFS('Federal Data'!Y2:Y501,'Federal Data'!$G2:$G501,"Non-Cash Programs",'Federal Data'!$D2:$D501,"Nongrant")</f>
        <v>36231538</v>
      </c>
      <c r="O86">
        <f>SUMIFS('Federal Data'!Z2:Z501,'Federal Data'!$G2:$G501,"Non-Cash Programs",'Federal Data'!$D2:$D501,"Nongrant")</f>
        <v>39891163</v>
      </c>
      <c r="P86">
        <f>SUMIFS('Federal Data'!AA2:AA501,'Federal Data'!$G2:$G501,"Non-Cash Programs",'Federal Data'!$D2:$D501,"Nongrant")</f>
        <v>41044013</v>
      </c>
      <c r="Q86">
        <f>SUMIFS('Federal Data'!AB2:AB501,'Federal Data'!$G2:$G501,"Non-Cash Programs",'Federal Data'!$D2:$D501,"Nongrant")</f>
        <v>41252000</v>
      </c>
      <c r="R86">
        <f>SUMIFS('Federal Data'!AC2:AC501,'Federal Data'!$G2:$G501,"Non-Cash Programs",'Federal Data'!$D2:$D501,"Nongrant")</f>
        <v>41493000</v>
      </c>
      <c r="S86">
        <f>SUMIFS('Federal Data'!AD2:AD501,'Federal Data'!$G2:$G501,"Non-Cash Programs",'Federal Data'!$D2:$D501,"Nongrant")</f>
        <v>39525000</v>
      </c>
      <c r="T86">
        <f>SUMIFS('Federal Data'!AE2:AE501,'Federal Data'!$G2:$G501,"Non-Cash Programs",'Federal Data'!$D2:$D501,"Nongrant")</f>
        <v>35911000</v>
      </c>
      <c r="U86">
        <f>SUMIFS('Federal Data'!AF2:AF501,'Federal Data'!$G2:$G501,"Non-Cash Programs",'Federal Data'!$D2:$D501,"Nongrant")</f>
        <v>32182000</v>
      </c>
      <c r="V86">
        <f>SUMIFS('Federal Data'!AG2:AG501,'Federal Data'!$G2:$G501,"Non-Cash Programs",'Federal Data'!$D2:$D501,"Nongrant")</f>
        <v>35459000</v>
      </c>
      <c r="W86">
        <f>SUMIFS('Federal Data'!AH2:AH501,'Federal Data'!$G2:$G501,"Non-Cash Programs",'Federal Data'!$D2:$D501,"Nongrant")</f>
        <v>37445000</v>
      </c>
      <c r="X86">
        <f>SUMIFS('Federal Data'!AI2:AI501,'Federal Data'!$G2:$G501,"Non-Cash Programs",'Federal Data'!$D2:$D501,"Nongrant")</f>
        <v>42990000</v>
      </c>
      <c r="Y86">
        <f>SUMIFS('Federal Data'!AJ2:AJ501,'Federal Data'!$G2:$G501,"Non-Cash Programs",'Federal Data'!$D2:$D501,"Nongrant")</f>
        <v>47869000</v>
      </c>
      <c r="Z86">
        <f>SUMIFS('Federal Data'!AK2:AK501,'Federal Data'!$G2:$G501,"Non-Cash Programs",'Federal Data'!$D2:$D501,"Nongrant")</f>
        <v>52437000</v>
      </c>
      <c r="AA86">
        <f>SUMIFS('Federal Data'!AL2:AL501,'Federal Data'!$G2:$G501,"Non-Cash Programs",'Federal Data'!$D2:$D501,"Nongrant")</f>
        <v>54520000</v>
      </c>
      <c r="AB86">
        <f>SUMIFS('Federal Data'!AM2:AM501,'Federal Data'!$G2:$G501,"Non-Cash Programs",'Federal Data'!$D2:$D501,"Nongrant")</f>
        <v>58711000</v>
      </c>
      <c r="AC86">
        <f>SUMIFS('Federal Data'!AN2:AN501,'Federal Data'!$G2:$G501,"Non-Cash Programs",'Federal Data'!$D2:$D501,"Nongrant")</f>
        <v>59728000</v>
      </c>
      <c r="AD86">
        <f>SUMIFS('Federal Data'!AO2:AO501,'Federal Data'!$G2:$G501,"Non-Cash Programs",'Federal Data'!$D2:$D501,"Nongrant")</f>
        <v>66487000</v>
      </c>
      <c r="AE86">
        <f>SUMIFS('Federal Data'!AP2:AP501,'Federal Data'!$G2:$G501,"Non-Cash Programs",'Federal Data'!$D2:$D501,"Nongrant")</f>
        <v>98471000</v>
      </c>
      <c r="AF86">
        <f>SUMIFS('Federal Data'!AQ2:AQ501,'Federal Data'!$G2:$G501,"Non-Cash Programs",'Federal Data'!$D2:$D501,"Nongrant")</f>
        <v>128589000</v>
      </c>
      <c r="AG86">
        <f>SUMIFS('Federal Data'!AR2:AR501,'Federal Data'!$G2:$G501,"Non-Cash Programs",'Federal Data'!$D2:$D501,"Nongrant")</f>
        <v>136072000</v>
      </c>
      <c r="AH86">
        <f>SUMIFS('Federal Data'!AS2:AS501,'Federal Data'!$G2:$G501,"Non-Cash Programs",'Federal Data'!$D2:$D501,"Nongrant")</f>
        <v>131779000</v>
      </c>
      <c r="AI86">
        <f>SUMIFS('Federal Data'!AT2:AT501,'Federal Data'!$G2:$G501,"Non-Cash Programs",'Federal Data'!$D2:$D501,"Nongrant")</f>
        <v>134006000</v>
      </c>
      <c r="AJ86">
        <f>SUMIFS('Federal Data'!AU2:AU501,'Federal Data'!$G2:$G501,"Non-Cash Programs",'Federal Data'!$D2:$D501,"Nongrant")</f>
        <v>140762000</v>
      </c>
      <c r="AK86">
        <f>SUMIFS('Federal Data'!AV2:AV501,'Federal Data'!$G2:$G501,"Non-Cash Programs",'Federal Data'!$D2:$D501,"Nongrant")</f>
        <v>163019000</v>
      </c>
    </row>
    <row r="87" spans="1:37">
      <c r="A87" s="6" t="s">
        <v>110</v>
      </c>
      <c r="B87">
        <f>SUMIFS('Federal Data'!M2:M501,'Federal Data'!$H2:$H501,"Child Care Assistance",'Federal Data'!$D2:$D501,"Nongrant")</f>
        <v>0</v>
      </c>
      <c r="C87">
        <f>SUMIFS('Federal Data'!N2:N501,'Federal Data'!$H2:$H501,"Child Care Assistance",'Federal Data'!$D2:$D501,"Nongrant")</f>
        <v>0</v>
      </c>
      <c r="D87">
        <f>SUMIFS('Federal Data'!O2:O501,'Federal Data'!$H2:$H501,"Child Care Assistance",'Federal Data'!$D2:$D501,"Nongrant")</f>
        <v>0</v>
      </c>
      <c r="E87">
        <f>SUMIFS('Federal Data'!P2:P501,'Federal Data'!$H2:$H501,"Child Care Assistance",'Federal Data'!$D2:$D501,"Nongrant")</f>
        <v>0</v>
      </c>
      <c r="F87">
        <f>SUMIFS('Federal Data'!Q2:Q501,'Federal Data'!$H2:$H501,"Child Care Assistance",'Federal Data'!$D2:$D501,"Nongrant")</f>
        <v>0</v>
      </c>
      <c r="G87">
        <f>SUMIFS('Federal Data'!R2:R501,'Federal Data'!$H2:$H501,"Child Care Assistance",'Federal Data'!$D2:$D501,"Nongrant")</f>
        <v>0</v>
      </c>
      <c r="H87">
        <f>SUMIFS('Federal Data'!S2:S501,'Federal Data'!$H2:$H501,"Child Care Assistance",'Federal Data'!$D2:$D501,"Nongrant")</f>
        <v>0</v>
      </c>
      <c r="I87">
        <f>SUMIFS('Federal Data'!T2:T501,'Federal Data'!$H2:$H501,"Child Care Assistance",'Federal Data'!$D2:$D501,"Nongrant")</f>
        <v>0</v>
      </c>
      <c r="J87">
        <f>SUMIFS('Federal Data'!U2:U501,'Federal Data'!$H2:$H501,"Child Care Assistance",'Federal Data'!$D2:$D501,"Nongrant")</f>
        <v>0</v>
      </c>
      <c r="K87">
        <f>SUMIFS('Federal Data'!V2:V501,'Federal Data'!$H2:$H501,"Child Care Assistance",'Federal Data'!$D2:$D501,"Nongrant")</f>
        <v>0</v>
      </c>
      <c r="L87">
        <f>SUMIFS('Federal Data'!W2:W501,'Federal Data'!$H2:$H501,"Child Care Assistance",'Federal Data'!$D2:$D501,"Nongrant")</f>
        <v>0</v>
      </c>
      <c r="M87">
        <f>SUMIFS('Federal Data'!X2:X501,'Federal Data'!$H2:$H501,"Child Care Assistance",'Federal Data'!$D2:$D501,"Nongrant")</f>
        <v>0</v>
      </c>
      <c r="N87">
        <f>SUMIFS('Federal Data'!Y2:Y501,'Federal Data'!$H2:$H501,"Child Care Assistance",'Federal Data'!$D2:$D501,"Nongrant")</f>
        <v>0</v>
      </c>
      <c r="O87">
        <f>SUMIFS('Federal Data'!Z2:Z501,'Federal Data'!$H2:$H501,"Child Care Assistance",'Federal Data'!$D2:$D501,"Nongrant")</f>
        <v>0</v>
      </c>
      <c r="P87">
        <f>SUMIFS('Federal Data'!AA2:AA501,'Federal Data'!$H2:$H501,"Child Care Assistance",'Federal Data'!$D2:$D501,"Nongrant")</f>
        <v>0</v>
      </c>
      <c r="Q87">
        <f>SUMIFS('Federal Data'!AB2:AB501,'Federal Data'!$H2:$H501,"Child Care Assistance",'Federal Data'!$D2:$D501,"Nongrant")</f>
        <v>0</v>
      </c>
      <c r="R87">
        <f>SUMIFS('Federal Data'!AC2:AC501,'Federal Data'!$H2:$H501,"Child Care Assistance",'Federal Data'!$D2:$D501,"Nongrant")</f>
        <v>0</v>
      </c>
      <c r="S87">
        <f>SUMIFS('Federal Data'!AD2:AD501,'Federal Data'!$H2:$H501,"Child Care Assistance",'Federal Data'!$D2:$D501,"Nongrant")</f>
        <v>0</v>
      </c>
      <c r="T87">
        <f>SUMIFS('Federal Data'!AE2:AE501,'Federal Data'!$H2:$H501,"Child Care Assistance",'Federal Data'!$D2:$D501,"Nongrant")</f>
        <v>2000</v>
      </c>
      <c r="U87">
        <f>SUMIFS('Federal Data'!AF2:AF501,'Federal Data'!$H2:$H501,"Child Care Assistance",'Federal Data'!$D2:$D501,"Nongrant")</f>
        <v>3000</v>
      </c>
      <c r="V87">
        <f>SUMIFS('Federal Data'!AG2:AG501,'Federal Data'!$H2:$H501,"Child Care Assistance",'Federal Data'!$D2:$D501,"Nongrant")</f>
        <v>5000</v>
      </c>
      <c r="W87">
        <f>SUMIFS('Federal Data'!AH2:AH501,'Federal Data'!$H2:$H501,"Child Care Assistance",'Federal Data'!$D2:$D501,"Nongrant")</f>
        <v>12000</v>
      </c>
      <c r="X87">
        <f>SUMIFS('Federal Data'!AI2:AI501,'Federal Data'!$H2:$H501,"Child Care Assistance",'Federal Data'!$D2:$D501,"Nongrant")</f>
        <v>14000</v>
      </c>
      <c r="Y87">
        <f>SUMIFS('Federal Data'!AJ2:AJ501,'Federal Data'!$H2:$H501,"Child Care Assistance",'Federal Data'!$D2:$D501,"Nongrant")</f>
        <v>14000</v>
      </c>
      <c r="Z87">
        <f>SUMIFS('Federal Data'!AK2:AK501,'Federal Data'!$H2:$H501,"Child Care Assistance",'Federal Data'!$D2:$D501,"Nongrant")</f>
        <v>7000</v>
      </c>
      <c r="AA87">
        <f>SUMIFS('Federal Data'!AL2:AL501,'Federal Data'!$H2:$H501,"Child Care Assistance",'Federal Data'!$D2:$D501,"Nongrant")</f>
        <v>7000</v>
      </c>
      <c r="AB87">
        <f>SUMIFS('Federal Data'!AM2:AM501,'Federal Data'!$H2:$H501,"Child Care Assistance",'Federal Data'!$D2:$D501,"Nongrant")</f>
        <v>7000</v>
      </c>
      <c r="AC87">
        <f>SUMIFS('Federal Data'!AN2:AN501,'Federal Data'!$H2:$H501,"Child Care Assistance",'Federal Data'!$D2:$D501,"Nongrant")</f>
        <v>7000</v>
      </c>
      <c r="AD87">
        <f>SUMIFS('Federal Data'!AO2:AO501,'Federal Data'!$H2:$H501,"Child Care Assistance",'Federal Data'!$D2:$D501,"Nongrant")</f>
        <v>6000</v>
      </c>
      <c r="AE87">
        <f>SUMIFS('Federal Data'!AP2:AP501,'Federal Data'!$H2:$H501,"Child Care Assistance",'Federal Data'!$D2:$D501,"Nongrant")</f>
        <v>7000</v>
      </c>
      <c r="AF87">
        <f>SUMIFS('Federal Data'!AQ2:AQ501,'Federal Data'!$H2:$H501,"Child Care Assistance",'Federal Data'!$D2:$D501,"Nongrant")</f>
        <v>7000</v>
      </c>
      <c r="AG87">
        <f>SUMIFS('Federal Data'!AR2:AR501,'Federal Data'!$H2:$H501,"Child Care Assistance",'Federal Data'!$D2:$D501,"Nongrant")</f>
        <v>9000</v>
      </c>
      <c r="AH87">
        <f>SUMIFS('Federal Data'!AS2:AS501,'Federal Data'!$H2:$H501,"Child Care Assistance",'Federal Data'!$D2:$D501,"Nongrant")</f>
        <v>9000</v>
      </c>
      <c r="AI87">
        <f>SUMIFS('Federal Data'!AT2:AT501,'Federal Data'!$H2:$H501,"Child Care Assistance",'Federal Data'!$D2:$D501,"Nongrant")</f>
        <v>9000</v>
      </c>
      <c r="AJ87">
        <f>SUMIFS('Federal Data'!AU2:AU501,'Federal Data'!$H2:$H501,"Child Care Assistance",'Federal Data'!$D2:$D501,"Nongrant")</f>
        <v>9000</v>
      </c>
      <c r="AK87">
        <f>SUMIFS('Federal Data'!AV2:AV501,'Federal Data'!$H2:$H501,"Child Care Assistance",'Federal Data'!$D2:$D501,"Nongrant")</f>
        <v>12000</v>
      </c>
    </row>
    <row r="88" spans="1:37">
      <c r="A88" s="6" t="s">
        <v>111</v>
      </c>
      <c r="B88">
        <f>SUMIFS('Federal Data'!M2:M501,'Federal Data'!$H2:$H501,"Housing Assistance",'Federal Data'!$D2:$D501,"Nongrant")</f>
        <v>2187172</v>
      </c>
      <c r="C88">
        <f>SUMIFS('Federal Data'!N2:N501,'Federal Data'!$H2:$H501,"Housing Assistance",'Federal Data'!$D2:$D501,"Nongrant")</f>
        <v>3698515</v>
      </c>
      <c r="D88">
        <f>SUMIFS('Federal Data'!O2:O501,'Federal Data'!$H2:$H501,"Housing Assistance",'Federal Data'!$D2:$D501,"Nongrant")</f>
        <v>3819400</v>
      </c>
      <c r="E88">
        <f>SUMIFS('Federal Data'!P2:P501,'Federal Data'!$H2:$H501,"Housing Assistance",'Federal Data'!$D2:$D501,"Nongrant")</f>
        <v>4283284</v>
      </c>
      <c r="F88">
        <f>SUMIFS('Federal Data'!Q2:Q501,'Federal Data'!$H2:$H501,"Housing Assistance",'Federal Data'!$D2:$D501,"Nongrant")</f>
        <v>5504272</v>
      </c>
      <c r="G88">
        <f>SUMIFS('Federal Data'!R2:R501,'Federal Data'!$H2:$H501,"Housing Assistance",'Federal Data'!$D2:$D501,"Nongrant")</f>
        <v>18848995</v>
      </c>
      <c r="H88">
        <f>SUMIFS('Federal Data'!S2:S501,'Federal Data'!$H2:$H501,"Housing Assistance",'Federal Data'!$D2:$D501,"Nongrant")</f>
        <v>4943041</v>
      </c>
      <c r="I88">
        <f>SUMIFS('Federal Data'!T2:T501,'Federal Data'!$H2:$H501,"Housing Assistance",'Federal Data'!$D2:$D501,"Nongrant")</f>
        <v>5258312</v>
      </c>
      <c r="J88">
        <f>SUMIFS('Federal Data'!U2:U501,'Federal Data'!$H2:$H501,"Housing Assistance",'Federal Data'!$D2:$D501,"Nongrant")</f>
        <v>5258669</v>
      </c>
      <c r="K88">
        <f>SUMIFS('Federal Data'!V2:V501,'Federal Data'!$H2:$H501,"Housing Assistance",'Federal Data'!$D2:$D501,"Nongrant")</f>
        <v>6164042</v>
      </c>
      <c r="L88">
        <f>SUMIFS('Federal Data'!W2:W501,'Federal Data'!$H2:$H501,"Housing Assistance",'Federal Data'!$D2:$D501,"Nongrant")</f>
        <v>6354607</v>
      </c>
      <c r="M88">
        <f>SUMIFS('Federal Data'!X2:X501,'Federal Data'!$H2:$H501,"Housing Assistance",'Federal Data'!$D2:$D501,"Nongrant")</f>
        <v>6731975</v>
      </c>
      <c r="N88">
        <f>SUMIFS('Federal Data'!Y2:Y501,'Federal Data'!$H2:$H501,"Housing Assistance",'Federal Data'!$D2:$D501,"Nongrant")</f>
        <v>6654119</v>
      </c>
      <c r="O88">
        <f>SUMIFS('Federal Data'!Z2:Z501,'Federal Data'!$H2:$H501,"Housing Assistance",'Federal Data'!$D2:$D501,"Nongrant")</f>
        <v>7455953</v>
      </c>
      <c r="P88">
        <f>SUMIFS('Federal Data'!AA2:AA501,'Federal Data'!$H2:$H501,"Housing Assistance",'Federal Data'!$D2:$D501,"Nongrant")</f>
        <v>8130857</v>
      </c>
      <c r="Q88">
        <f>SUMIFS('Federal Data'!AB2:AB501,'Federal Data'!$H2:$H501,"Housing Assistance",'Federal Data'!$D2:$D501,"Nongrant")</f>
        <v>9156000</v>
      </c>
      <c r="R88">
        <f>SUMIFS('Federal Data'!AC2:AC501,'Federal Data'!$H2:$H501,"Housing Assistance",'Federal Data'!$D2:$D501,"Nongrant")</f>
        <v>10048000</v>
      </c>
      <c r="S88">
        <f>SUMIFS('Federal Data'!AD2:AD501,'Federal Data'!$H2:$H501,"Housing Assistance",'Federal Data'!$D2:$D501,"Nongrant")</f>
        <v>10165000</v>
      </c>
      <c r="T88">
        <f>SUMIFS('Federal Data'!AE2:AE501,'Federal Data'!$H2:$H501,"Housing Assistance",'Federal Data'!$D2:$D501,"Nongrant")</f>
        <v>9163000</v>
      </c>
      <c r="U88">
        <f>SUMIFS('Federal Data'!AF2:AF501,'Federal Data'!$H2:$H501,"Housing Assistance",'Federal Data'!$D2:$D501,"Nongrant")</f>
        <v>4971000</v>
      </c>
      <c r="V88">
        <f>SUMIFS('Federal Data'!AG2:AG501,'Federal Data'!$H2:$H501,"Housing Assistance",'Federal Data'!$D2:$D501,"Nongrant")</f>
        <v>8977000</v>
      </c>
      <c r="W88">
        <f>SUMIFS('Federal Data'!AH2:AH501,'Federal Data'!$H2:$H501,"Housing Assistance",'Federal Data'!$D2:$D501,"Nongrant")</f>
        <v>9112000</v>
      </c>
      <c r="X88">
        <f>SUMIFS('Federal Data'!AI2:AI501,'Federal Data'!$H2:$H501,"Housing Assistance",'Federal Data'!$D2:$D501,"Nongrant")</f>
        <v>9591000</v>
      </c>
      <c r="Y88">
        <f>SUMIFS('Federal Data'!AJ2:AJ501,'Federal Data'!$H2:$H501,"Housing Assistance",'Federal Data'!$D2:$D501,"Nongrant")</f>
        <v>9552000</v>
      </c>
      <c r="Z88">
        <f>SUMIFS('Federal Data'!AK2:AK501,'Federal Data'!$H2:$H501,"Housing Assistance",'Federal Data'!$D2:$D501,"Nongrant")</f>
        <v>9754000</v>
      </c>
      <c r="AA88">
        <f>SUMIFS('Federal Data'!AL2:AL501,'Federal Data'!$H2:$H501,"Housing Assistance",'Federal Data'!$D2:$D501,"Nongrant")</f>
        <v>7698000</v>
      </c>
      <c r="AB88">
        <f>SUMIFS('Federal Data'!AM2:AM501,'Federal Data'!$H2:$H501,"Housing Assistance",'Federal Data'!$D2:$D501,"Nongrant")</f>
        <v>10343000</v>
      </c>
      <c r="AC88">
        <f>SUMIFS('Federal Data'!AN2:AN501,'Federal Data'!$H2:$H501,"Housing Assistance",'Federal Data'!$D2:$D501,"Nongrant")</f>
        <v>10838000</v>
      </c>
      <c r="AD88">
        <f>SUMIFS('Federal Data'!AO2:AO501,'Federal Data'!$H2:$H501,"Housing Assistance",'Federal Data'!$D2:$D501,"Nongrant")</f>
        <v>11378000</v>
      </c>
      <c r="AE88">
        <f>SUMIFS('Federal Data'!AP2:AP501,'Federal Data'!$H2:$H501,"Housing Assistance",'Federal Data'!$D2:$D501,"Nongrant")</f>
        <v>20958000</v>
      </c>
      <c r="AF88">
        <f>SUMIFS('Federal Data'!AQ2:AQ501,'Federal Data'!$H2:$H501,"Housing Assistance",'Federal Data'!$D2:$D501,"Nongrant")</f>
        <v>21154000</v>
      </c>
      <c r="AG88">
        <f>SUMIFS('Federal Data'!AR2:AR501,'Federal Data'!$H2:$H501,"Housing Assistance",'Federal Data'!$D2:$D501,"Nongrant")</f>
        <v>19603000</v>
      </c>
      <c r="AH88">
        <f>SUMIFS('Federal Data'!AS2:AS501,'Federal Data'!$H2:$H501,"Housing Assistance",'Federal Data'!$D2:$D501,"Nongrant")</f>
        <v>18101000</v>
      </c>
      <c r="AI88">
        <f>SUMIFS('Federal Data'!AT2:AT501,'Federal Data'!$H2:$H501,"Housing Assistance",'Federal Data'!$D2:$D501,"Nongrant")</f>
        <v>18763000</v>
      </c>
      <c r="AJ88">
        <f>SUMIFS('Federal Data'!AU2:AU501,'Federal Data'!$H2:$H501,"Housing Assistance",'Federal Data'!$D2:$D501,"Nongrant")</f>
        <v>19254000</v>
      </c>
      <c r="AK88">
        <f>SUMIFS('Federal Data'!AV2:AV501,'Federal Data'!$H2:$H501,"Housing Assistance",'Federal Data'!$D2:$D501,"Nongrant")</f>
        <v>19280000</v>
      </c>
    </row>
    <row r="89" spans="1:37">
      <c r="A89" s="6" t="s">
        <v>112</v>
      </c>
      <c r="B89">
        <f>SUMIFS('Federal Data'!M2:M501,'Federal Data'!$H2:$H501,"Medicaid and CHIP",'Federal Data'!$D2:$D501,"Nongrant")</f>
        <v>0</v>
      </c>
      <c r="C89">
        <f>SUMIFS('Federal Data'!N2:N501,'Federal Data'!$H2:$H501,"Medicaid and CHIP",'Federal Data'!$D2:$D501,"Nongrant")</f>
        <v>0</v>
      </c>
      <c r="D89">
        <f>SUMIFS('Federal Data'!O2:O501,'Federal Data'!$H2:$H501,"Medicaid and CHIP",'Federal Data'!$D2:$D501,"Nongrant")</f>
        <v>0</v>
      </c>
      <c r="E89">
        <f>SUMIFS('Federal Data'!P2:P501,'Federal Data'!$H2:$H501,"Medicaid and CHIP",'Federal Data'!$D2:$D501,"Nongrant")</f>
        <v>0</v>
      </c>
      <c r="F89">
        <f>SUMIFS('Federal Data'!Q2:Q501,'Federal Data'!$H2:$H501,"Medicaid and CHIP",'Federal Data'!$D2:$D501,"Nongrant")</f>
        <v>0</v>
      </c>
      <c r="G89">
        <f>SUMIFS('Federal Data'!R2:R501,'Federal Data'!$H2:$H501,"Medicaid and CHIP",'Federal Data'!$D2:$D501,"Nongrant")</f>
        <v>0</v>
      </c>
      <c r="H89">
        <f>SUMIFS('Federal Data'!S2:S501,'Federal Data'!$H2:$H501,"Medicaid and CHIP",'Federal Data'!$D2:$D501,"Nongrant")</f>
        <v>0</v>
      </c>
      <c r="I89">
        <f>SUMIFS('Federal Data'!T2:T501,'Federal Data'!$H2:$H501,"Medicaid and CHIP",'Federal Data'!$D2:$D501,"Nongrant")</f>
        <v>0</v>
      </c>
      <c r="J89">
        <f>SUMIFS('Federal Data'!U2:U501,'Federal Data'!$H2:$H501,"Medicaid and CHIP",'Federal Data'!$D2:$D501,"Nongrant")</f>
        <v>0</v>
      </c>
      <c r="K89">
        <f>SUMIFS('Federal Data'!V2:V501,'Federal Data'!$H2:$H501,"Medicaid and CHIP",'Federal Data'!$D2:$D501,"Nongrant")</f>
        <v>0</v>
      </c>
      <c r="L89">
        <f>SUMIFS('Federal Data'!W2:W501,'Federal Data'!$H2:$H501,"Medicaid and CHIP",'Federal Data'!$D2:$D501,"Nongrant")</f>
        <v>0</v>
      </c>
      <c r="M89">
        <f>SUMIFS('Federal Data'!X2:X501,'Federal Data'!$H2:$H501,"Medicaid and CHIP",'Federal Data'!$D2:$D501,"Nongrant")</f>
        <v>0</v>
      </c>
      <c r="N89">
        <f>SUMIFS('Federal Data'!Y2:Y501,'Federal Data'!$H2:$H501,"Medicaid and CHIP",'Federal Data'!$D2:$D501,"Nongrant")</f>
        <v>0</v>
      </c>
      <c r="O89">
        <f>SUMIFS('Federal Data'!Z2:Z501,'Federal Data'!$H2:$H501,"Medicaid and CHIP",'Federal Data'!$D2:$D501,"Nongrant")</f>
        <v>0</v>
      </c>
      <c r="P89">
        <f>SUMIFS('Federal Data'!AA2:AA501,'Federal Data'!$H2:$H501,"Medicaid and CHIP",'Federal Data'!$D2:$D501,"Nongrant")</f>
        <v>0</v>
      </c>
      <c r="Q89">
        <f>SUMIFS('Federal Data'!AB2:AB501,'Federal Data'!$H2:$H501,"Medicaid and CHIP",'Federal Data'!$D2:$D501,"Nongrant")</f>
        <v>0</v>
      </c>
      <c r="R89">
        <f>SUMIFS('Federal Data'!AC2:AC501,'Federal Data'!$H2:$H501,"Medicaid and CHIP",'Federal Data'!$D2:$D501,"Nongrant")</f>
        <v>0</v>
      </c>
      <c r="S89">
        <f>SUMIFS('Federal Data'!AD2:AD501,'Federal Data'!$H2:$H501,"Medicaid and CHIP",'Federal Data'!$D2:$D501,"Nongrant")</f>
        <v>0</v>
      </c>
      <c r="T89">
        <f>SUMIFS('Federal Data'!AE2:AE501,'Federal Data'!$H2:$H501,"Medicaid and CHIP",'Federal Data'!$D2:$D501,"Nongrant")</f>
        <v>0</v>
      </c>
      <c r="U89">
        <f>SUMIFS('Federal Data'!AF2:AF501,'Federal Data'!$H2:$H501,"Medicaid and CHIP",'Federal Data'!$D2:$D501,"Nongrant")</f>
        <v>0</v>
      </c>
      <c r="V89">
        <f>SUMIFS('Federal Data'!AG2:AG501,'Federal Data'!$H2:$H501,"Medicaid and CHIP",'Federal Data'!$D2:$D501,"Nongrant")</f>
        <v>0</v>
      </c>
      <c r="W89">
        <f>SUMIFS('Federal Data'!AH2:AH501,'Federal Data'!$H2:$H501,"Medicaid and CHIP",'Federal Data'!$D2:$D501,"Nongrant")</f>
        <v>-60000</v>
      </c>
      <c r="X89">
        <f>SUMIFS('Federal Data'!AI2:AI501,'Federal Data'!$H2:$H501,"Medicaid and CHIP",'Federal Data'!$D2:$D501,"Nongrant")</f>
        <v>-138000</v>
      </c>
      <c r="Y89">
        <f>SUMIFS('Federal Data'!AJ2:AJ501,'Federal Data'!$H2:$H501,"Medicaid and CHIP",'Federal Data'!$D2:$D501,"Nongrant")</f>
        <v>-112000</v>
      </c>
      <c r="Z89">
        <f>SUMIFS('Federal Data'!AK2:AK501,'Federal Data'!$H2:$H501,"Medicaid and CHIP",'Federal Data'!$D2:$D501,"Nongrant")</f>
        <v>0</v>
      </c>
      <c r="AA89">
        <f>SUMIFS('Federal Data'!AL2:AL501,'Federal Data'!$H2:$H501,"Medicaid and CHIP",'Federal Data'!$D2:$D501,"Nongrant")</f>
        <v>0</v>
      </c>
      <c r="AB89">
        <f>SUMIFS('Federal Data'!AM2:AM501,'Federal Data'!$H2:$H501,"Medicaid and CHIP",'Federal Data'!$D2:$D501,"Nongrant")</f>
        <v>0</v>
      </c>
      <c r="AC89">
        <f>SUMIFS('Federal Data'!AN2:AN501,'Federal Data'!$H2:$H501,"Medicaid and CHIP",'Federal Data'!$D2:$D501,"Nongrant")</f>
        <v>0</v>
      </c>
      <c r="AD89">
        <f>SUMIFS('Federal Data'!AO2:AO501,'Federal Data'!$H2:$H501,"Medicaid and CHIP",'Federal Data'!$D2:$D501,"Nongrant")</f>
        <v>0</v>
      </c>
      <c r="AE89">
        <f>SUMIFS('Federal Data'!AP2:AP501,'Federal Data'!$H2:$H501,"Medicaid and CHIP",'Federal Data'!$D2:$D501,"Nongrant")</f>
        <v>1000</v>
      </c>
      <c r="AF89">
        <f>SUMIFS('Federal Data'!AQ2:AQ501,'Federal Data'!$H2:$H501,"Medicaid and CHIP",'Federal Data'!$D2:$D501,"Nongrant")</f>
        <v>0</v>
      </c>
      <c r="AG89">
        <f>SUMIFS('Federal Data'!AR2:AR501,'Federal Data'!$H2:$H501,"Medicaid and CHIP",'Federal Data'!$D2:$D501,"Nongrant")</f>
        <v>6000</v>
      </c>
      <c r="AH89">
        <f>SUMIFS('Federal Data'!AS2:AS501,'Federal Data'!$H2:$H501,"Medicaid and CHIP",'Federal Data'!$D2:$D501,"Nongrant")</f>
        <v>6000</v>
      </c>
      <c r="AI89">
        <f>SUMIFS('Federal Data'!AT2:AT501,'Federal Data'!$H2:$H501,"Medicaid and CHIP",'Federal Data'!$D2:$D501,"Nongrant")</f>
        <v>8000</v>
      </c>
      <c r="AJ89">
        <f>SUMIFS('Federal Data'!AU2:AU501,'Federal Data'!$H2:$H501,"Medicaid and CHIP",'Federal Data'!$D2:$D501,"Nongrant")</f>
        <v>8000</v>
      </c>
      <c r="AK89">
        <f>SUMIFS('Federal Data'!AV2:AV501,'Federal Data'!$H2:$H501,"Medicaid and CHIP",'Federal Data'!$D2:$D501,"Nongrant")</f>
        <v>9000</v>
      </c>
    </row>
    <row r="90" spans="1:37">
      <c r="A90" s="6" t="s">
        <v>57</v>
      </c>
      <c r="B90">
        <f>SUMIFS('Federal Data'!M2:M501,'Federal Data'!$H2:$H501,"Other Medical Assistance to Persons",'Federal Data'!$D2:$D501,"Nongrant")</f>
        <v>668959</v>
      </c>
      <c r="C90">
        <f>SUMIFS('Federal Data'!N2:N501,'Federal Data'!$H2:$H501,"Other Medical Assistance to Persons",'Federal Data'!$D2:$D501,"Nongrant")</f>
        <v>695845</v>
      </c>
      <c r="D90">
        <f>SUMIFS('Federal Data'!O2:O501,'Federal Data'!$H2:$H501,"Other Medical Assistance to Persons",'Federal Data'!$D2:$D501,"Nongrant")</f>
        <v>667808</v>
      </c>
      <c r="E90">
        <f>SUMIFS('Federal Data'!P2:P501,'Federal Data'!$H2:$H501,"Other Medical Assistance to Persons",'Federal Data'!$D2:$D501,"Nongrant")</f>
        <v>698333</v>
      </c>
      <c r="F90">
        <f>SUMIFS('Federal Data'!Q2:Q501,'Federal Data'!$H2:$H501,"Other Medical Assistance to Persons",'Federal Data'!$D2:$D501,"Nongrant")</f>
        <v>787765</v>
      </c>
      <c r="G90">
        <f>SUMIFS('Federal Data'!R2:R501,'Federal Data'!$H2:$H501,"Other Medical Assistance to Persons",'Federal Data'!$D2:$D501,"Nongrant")</f>
        <v>863210</v>
      </c>
      <c r="H90">
        <f>SUMIFS('Federal Data'!S2:S501,'Federal Data'!$H2:$H501,"Other Medical Assistance to Persons",'Federal Data'!$D2:$D501,"Nongrant")</f>
        <v>858710</v>
      </c>
      <c r="I90">
        <f>SUMIFS('Federal Data'!T2:T501,'Federal Data'!$H2:$H501,"Other Medical Assistance to Persons",'Federal Data'!$D2:$D501,"Nongrant")</f>
        <v>855649</v>
      </c>
      <c r="J90">
        <f>SUMIFS('Federal Data'!U2:U501,'Federal Data'!$H2:$H501,"Other Medical Assistance to Persons",'Federal Data'!$D2:$D501,"Nongrant")</f>
        <v>941235</v>
      </c>
      <c r="K90">
        <f>SUMIFS('Federal Data'!V2:V501,'Federal Data'!$H2:$H501,"Other Medical Assistance to Persons",'Federal Data'!$D2:$D501,"Nongrant")</f>
        <v>1047364</v>
      </c>
      <c r="L90">
        <f>SUMIFS('Federal Data'!W2:W501,'Federal Data'!$H2:$H501,"Other Medical Assistance to Persons",'Federal Data'!$D2:$D501,"Nongrant")</f>
        <v>1110404</v>
      </c>
      <c r="M90">
        <f>SUMIFS('Federal Data'!X2:X501,'Federal Data'!$H2:$H501,"Other Medical Assistance to Persons",'Federal Data'!$D2:$D501,"Nongrant")</f>
        <v>1305660</v>
      </c>
      <c r="N90">
        <f>SUMIFS('Federal Data'!Y2:Y501,'Federal Data'!$H2:$H501,"Other Medical Assistance to Persons",'Federal Data'!$D2:$D501,"Nongrant")</f>
        <v>1963253</v>
      </c>
      <c r="O90">
        <f>SUMIFS('Federal Data'!Z2:Z501,'Federal Data'!$H2:$H501,"Other Medical Assistance to Persons",'Federal Data'!$D2:$D501,"Nongrant")</f>
        <v>2383694</v>
      </c>
      <c r="P90">
        <f>SUMIFS('Federal Data'!AA2:AA501,'Federal Data'!$H2:$H501,"Other Medical Assistance to Persons",'Federal Data'!$D2:$D501,"Nongrant")</f>
        <v>2589227</v>
      </c>
      <c r="Q90">
        <f>SUMIFS('Federal Data'!AB2:AB501,'Federal Data'!$H2:$H501,"Other Medical Assistance to Persons",'Federal Data'!$D2:$D501,"Nongrant")</f>
        <v>2008000</v>
      </c>
      <c r="R90">
        <f>SUMIFS('Federal Data'!AC2:AC501,'Federal Data'!$H2:$H501,"Other Medical Assistance to Persons",'Federal Data'!$D2:$D501,"Nongrant")</f>
        <v>2028000</v>
      </c>
      <c r="S90">
        <f>SUMIFS('Federal Data'!AD2:AD501,'Federal Data'!$H2:$H501,"Other Medical Assistance to Persons",'Federal Data'!$D2:$D501,"Nongrant")</f>
        <v>2173000</v>
      </c>
      <c r="T90">
        <f>SUMIFS('Federal Data'!AE2:AE501,'Federal Data'!$H2:$H501,"Other Medical Assistance to Persons",'Federal Data'!$D2:$D501,"Nongrant")</f>
        <v>2149000</v>
      </c>
      <c r="U90">
        <f>SUMIFS('Federal Data'!AF2:AF501,'Federal Data'!$H2:$H501,"Other Medical Assistance to Persons",'Federal Data'!$D2:$D501,"Nongrant")</f>
        <v>2199000</v>
      </c>
      <c r="V90">
        <f>SUMIFS('Federal Data'!AG2:AG501,'Federal Data'!$H2:$H501,"Other Medical Assistance to Persons",'Federal Data'!$D2:$D501,"Nongrant")</f>
        <v>2378000</v>
      </c>
      <c r="W90">
        <f>SUMIFS('Federal Data'!AH2:AH501,'Federal Data'!$H2:$H501,"Other Medical Assistance to Persons",'Federal Data'!$D2:$D501,"Nongrant")</f>
        <v>2561000</v>
      </c>
      <c r="X90">
        <f>SUMIFS('Federal Data'!AI2:AI501,'Federal Data'!$H2:$H501,"Other Medical Assistance to Persons",'Federal Data'!$D2:$D501,"Nongrant")</f>
        <v>2817000</v>
      </c>
      <c r="Y90">
        <f>SUMIFS('Federal Data'!AJ2:AJ501,'Federal Data'!$H2:$H501,"Other Medical Assistance to Persons",'Federal Data'!$D2:$D501,"Nongrant")</f>
        <v>2948000</v>
      </c>
      <c r="Z90">
        <f>SUMIFS('Federal Data'!AK2:AK501,'Federal Data'!$H2:$H501,"Other Medical Assistance to Persons",'Federal Data'!$D2:$D501,"Nongrant")</f>
        <v>3145000</v>
      </c>
      <c r="AA90">
        <f>SUMIFS('Federal Data'!AL2:AL501,'Federal Data'!$H2:$H501,"Other Medical Assistance to Persons",'Federal Data'!$D2:$D501,"Nongrant")</f>
        <v>3207000</v>
      </c>
      <c r="AB90">
        <f>SUMIFS('Federal Data'!AM2:AM501,'Federal Data'!$H2:$H501,"Other Medical Assistance to Persons",'Federal Data'!$D2:$D501,"Nongrant")</f>
        <v>3347000</v>
      </c>
      <c r="AC90">
        <f>SUMIFS('Federal Data'!AN2:AN501,'Federal Data'!$H2:$H501,"Other Medical Assistance to Persons",'Federal Data'!$D2:$D501,"Nongrant")</f>
        <v>3375000</v>
      </c>
      <c r="AD90">
        <f>SUMIFS('Federal Data'!AO2:AO501,'Federal Data'!$H2:$H501,"Other Medical Assistance to Persons",'Federal Data'!$D2:$D501,"Nongrant")</f>
        <v>3347000</v>
      </c>
      <c r="AE90">
        <f>SUMIFS('Federal Data'!AP2:AP501,'Federal Data'!$H2:$H501,"Other Medical Assistance to Persons",'Federal Data'!$D2:$D501,"Nongrant")</f>
        <v>4070000</v>
      </c>
      <c r="AF90">
        <f>SUMIFS('Federal Data'!AQ2:AQ501,'Federal Data'!$H2:$H501,"Other Medical Assistance to Persons",'Federal Data'!$D2:$D501,"Nongrant")</f>
        <v>8421000</v>
      </c>
      <c r="AG90">
        <f>SUMIFS('Federal Data'!AR2:AR501,'Federal Data'!$H2:$H501,"Other Medical Assistance to Persons",'Federal Data'!$D2:$D501,"Nongrant")</f>
        <v>6582000</v>
      </c>
      <c r="AH90">
        <f>SUMIFS('Federal Data'!AS2:AS501,'Federal Data'!$H2:$H501,"Other Medical Assistance to Persons",'Federal Data'!$D2:$D501,"Nongrant")</f>
        <v>4914000</v>
      </c>
      <c r="AI90">
        <f>SUMIFS('Federal Data'!AT2:AT501,'Federal Data'!$H2:$H501,"Other Medical Assistance to Persons",'Federal Data'!$D2:$D501,"Nongrant")</f>
        <v>4500000</v>
      </c>
      <c r="AJ90">
        <f>SUMIFS('Federal Data'!AU2:AU501,'Federal Data'!$H2:$H501,"Other Medical Assistance to Persons",'Federal Data'!$D2:$D501,"Nongrant")</f>
        <v>17675000</v>
      </c>
      <c r="AK90">
        <f>SUMIFS('Federal Data'!AV2:AV501,'Federal Data'!$H2:$H501,"Other Medical Assistance to Persons",'Federal Data'!$D2:$D501,"Nongrant")</f>
        <v>40868000</v>
      </c>
    </row>
    <row r="91" spans="1:37">
      <c r="A91" s="6" t="s">
        <v>113</v>
      </c>
      <c r="B91">
        <f>SUMIFS('Federal Data'!M2:M501,'Federal Data'!$H2:$H501,"Pell Grants",'Federal Data'!$D2:$D501,"Nongrant")</f>
        <v>3604504</v>
      </c>
      <c r="C91">
        <f>SUMIFS('Federal Data'!N2:N501,'Federal Data'!$H2:$H501,"Pell Grants",'Federal Data'!$D2:$D501,"Nongrant")</f>
        <v>3827935</v>
      </c>
      <c r="D91">
        <f>SUMIFS('Federal Data'!O2:O501,'Federal Data'!$H2:$H501,"Pell Grants",'Federal Data'!$D2:$D501,"Nongrant")</f>
        <v>2675717</v>
      </c>
      <c r="E91">
        <f>SUMIFS('Federal Data'!P2:P501,'Federal Data'!$H2:$H501,"Pell Grants",'Federal Data'!$D2:$D501,"Nongrant")</f>
        <v>3992842</v>
      </c>
      <c r="F91">
        <f>SUMIFS('Federal Data'!Q2:Q501,'Federal Data'!$H2:$H501,"Pell Grants",'Federal Data'!$D2:$D501,"Nongrant")</f>
        <v>3673678</v>
      </c>
      <c r="G91">
        <f>SUMIFS('Federal Data'!R2:R501,'Federal Data'!$H2:$H501,"Pell Grants",'Federal Data'!$D2:$D501,"Nongrant")</f>
        <v>4086709</v>
      </c>
      <c r="H91">
        <f>SUMIFS('Federal Data'!S2:S501,'Federal Data'!$H2:$H501,"Pell Grants",'Federal Data'!$D2:$D501,"Nongrant")</f>
        <v>4503138</v>
      </c>
      <c r="I91">
        <f>SUMIFS('Federal Data'!T2:T501,'Federal Data'!$H2:$H501,"Pell Grants",'Federal Data'!$D2:$D501,"Nongrant")</f>
        <v>4713396</v>
      </c>
      <c r="J91">
        <f>SUMIFS('Federal Data'!U2:U501,'Federal Data'!$H2:$H501,"Pell Grants",'Federal Data'!$D2:$D501,"Nongrant")</f>
        <v>5151582</v>
      </c>
      <c r="K91">
        <f>SUMIFS('Federal Data'!V2:V501,'Federal Data'!$H2:$H501,"Pell Grants",'Federal Data'!$D2:$D501,"Nongrant")</f>
        <v>5791801</v>
      </c>
      <c r="L91">
        <f>SUMIFS('Federal Data'!W2:W501,'Federal Data'!$H2:$H501,"Pell Grants",'Federal Data'!$D2:$D501,"Nongrant")</f>
        <v>5846916</v>
      </c>
      <c r="M91">
        <f>SUMIFS('Federal Data'!X2:X501,'Federal Data'!$H2:$H501,"Pell Grants",'Federal Data'!$D2:$D501,"Nongrant")</f>
        <v>6273668</v>
      </c>
      <c r="N91">
        <f>SUMIFS('Federal Data'!Y2:Y501,'Federal Data'!$H2:$H501,"Pell Grants",'Federal Data'!$D2:$D501,"Nongrant")</f>
        <v>6998060</v>
      </c>
      <c r="O91">
        <f>SUMIFS('Federal Data'!Z2:Z501,'Federal Data'!$H2:$H501,"Pell Grants",'Federal Data'!$D2:$D501,"Nongrant")</f>
        <v>7589005</v>
      </c>
      <c r="P91">
        <f>SUMIFS('Federal Data'!AA2:AA501,'Federal Data'!$H2:$H501,"Pell Grants",'Federal Data'!$D2:$D501,"Nongrant")</f>
        <v>7037115</v>
      </c>
      <c r="Q91">
        <f>SUMIFS('Federal Data'!AB2:AB501,'Federal Data'!$H2:$H501,"Pell Grants",'Federal Data'!$D2:$D501,"Nongrant")</f>
        <v>6965000</v>
      </c>
      <c r="R91">
        <f>SUMIFS('Federal Data'!AC2:AC501,'Federal Data'!$H2:$H501,"Pell Grants",'Federal Data'!$D2:$D501,"Nongrant")</f>
        <v>6783000</v>
      </c>
      <c r="S91">
        <f>SUMIFS('Federal Data'!AD2:AD501,'Federal Data'!$H2:$H501,"Pell Grants",'Federal Data'!$D2:$D501,"Nongrant")</f>
        <v>7205000</v>
      </c>
      <c r="T91">
        <f>SUMIFS('Federal Data'!AE2:AE501,'Federal Data'!$H2:$H501,"Pell Grants",'Federal Data'!$D2:$D501,"Nongrant")</f>
        <v>7883000</v>
      </c>
      <c r="U91">
        <f>SUMIFS('Federal Data'!AF2:AF501,'Federal Data'!$H2:$H501,"Pell Grants",'Federal Data'!$D2:$D501,"Nongrant")</f>
        <v>9102000</v>
      </c>
      <c r="V91">
        <f>SUMIFS('Federal Data'!AG2:AG501,'Federal Data'!$H2:$H501,"Pell Grants",'Federal Data'!$D2:$D501,"Nongrant")</f>
        <v>9036000</v>
      </c>
      <c r="W91">
        <f>SUMIFS('Federal Data'!AH2:AH501,'Federal Data'!$H2:$H501,"Pell Grants",'Federal Data'!$D2:$D501,"Nongrant")</f>
        <v>10118000</v>
      </c>
      <c r="X91">
        <f>SUMIFS('Federal Data'!AI2:AI501,'Federal Data'!$H2:$H501,"Pell Grants",'Federal Data'!$D2:$D501,"Nongrant")</f>
        <v>12307000</v>
      </c>
      <c r="Y91">
        <f>SUMIFS('Federal Data'!AJ2:AJ501,'Federal Data'!$H2:$H501,"Pell Grants",'Federal Data'!$D2:$D501,"Nongrant")</f>
        <v>13983000</v>
      </c>
      <c r="Z91">
        <f>SUMIFS('Federal Data'!AK2:AK501,'Federal Data'!$H2:$H501,"Pell Grants",'Federal Data'!$D2:$D501,"Nongrant")</f>
        <v>14789000</v>
      </c>
      <c r="AA91">
        <f>SUMIFS('Federal Data'!AL2:AL501,'Federal Data'!$H2:$H501,"Pell Grants",'Federal Data'!$D2:$D501,"Nongrant")</f>
        <v>15042000</v>
      </c>
      <c r="AB91">
        <f>SUMIFS('Federal Data'!AM2:AM501,'Federal Data'!$H2:$H501,"Pell Grants",'Federal Data'!$D2:$D501,"Nongrant")</f>
        <v>14642000</v>
      </c>
      <c r="AC91">
        <f>SUMIFS('Federal Data'!AN2:AN501,'Federal Data'!$H2:$H501,"Pell Grants",'Federal Data'!$D2:$D501,"Nongrant")</f>
        <v>14867000</v>
      </c>
      <c r="AD91">
        <f>SUMIFS('Federal Data'!AO2:AO501,'Federal Data'!$H2:$H501,"Pell Grants",'Federal Data'!$D2:$D501,"Nongrant")</f>
        <v>17013000</v>
      </c>
      <c r="AE91">
        <f>SUMIFS('Federal Data'!AP2:AP501,'Federal Data'!$H2:$H501,"Pell Grants",'Federal Data'!$D2:$D501,"Nongrant")</f>
        <v>23124000</v>
      </c>
      <c r="AF91">
        <f>SUMIFS('Federal Data'!AQ2:AQ501,'Federal Data'!$H2:$H501,"Pell Grants",'Federal Data'!$D2:$D501,"Nongrant")</f>
        <v>33891000</v>
      </c>
      <c r="AG91">
        <f>SUMIFS('Federal Data'!AR2:AR501,'Federal Data'!$H2:$H501,"Pell Grants",'Federal Data'!$D2:$D501,"Nongrant")</f>
        <v>37847000</v>
      </c>
      <c r="AH91">
        <f>SUMIFS('Federal Data'!AS2:AS501,'Federal Data'!$H2:$H501,"Pell Grants",'Federal Data'!$D2:$D501,"Nongrant")</f>
        <v>34974000</v>
      </c>
      <c r="AI91">
        <f>SUMIFS('Federal Data'!AT2:AT501,'Federal Data'!$H2:$H501,"Pell Grants",'Federal Data'!$D2:$D501,"Nongrant")</f>
        <v>34037000</v>
      </c>
      <c r="AJ91">
        <f>SUMIFS('Federal Data'!AU2:AU501,'Federal Data'!$H2:$H501,"Pell Grants",'Federal Data'!$D2:$D501,"Nongrant")</f>
        <v>33176000</v>
      </c>
      <c r="AK91">
        <f>SUMIFS('Federal Data'!AV2:AV501,'Federal Data'!$H2:$H501,"Pell Grants",'Federal Data'!$D2:$D501,"Nongrant")</f>
        <v>31588000</v>
      </c>
    </row>
    <row r="92" spans="1:37">
      <c r="A92" s="6" t="s">
        <v>114</v>
      </c>
      <c r="B92">
        <f>SUMIFS('Federal Data'!M2:M501,'Federal Data'!$H2:$H501,"SNAP (and other nutritional programs)",'Federal Data'!$D2:$D501,"Nongrant")</f>
        <v>8942004</v>
      </c>
      <c r="C92">
        <f>SUMIFS('Federal Data'!N2:N501,'Federal Data'!$H2:$H501,"SNAP (and other nutritional programs)",'Federal Data'!$D2:$D501,"Nongrant")</f>
        <v>11039193</v>
      </c>
      <c r="D92">
        <f>SUMIFS('Federal Data'!O2:O501,'Federal Data'!$H2:$H501,"SNAP (and other nutritional programs)",'Federal Data'!$D2:$D501,"Nongrant")</f>
        <v>10524444</v>
      </c>
      <c r="E92">
        <f>SUMIFS('Federal Data'!P2:P501,'Federal Data'!$H2:$H501,"SNAP (and other nutritional programs)",'Federal Data'!$D2:$D501,"Nongrant")</f>
        <v>11478759</v>
      </c>
      <c r="F92">
        <f>SUMIFS('Federal Data'!Q2:Q501,'Federal Data'!$H2:$H501,"SNAP (and other nutritional programs)",'Federal Data'!$D2:$D501,"Nongrant")</f>
        <v>11113932</v>
      </c>
      <c r="G92">
        <f>SUMIFS('Federal Data'!R2:R501,'Federal Data'!$H2:$H501,"SNAP (and other nutritional programs)",'Federal Data'!$D2:$D501,"Nongrant")</f>
        <v>11108630</v>
      </c>
      <c r="H92">
        <f>SUMIFS('Federal Data'!S2:S501,'Federal Data'!$H2:$H501,"SNAP (and other nutritional programs)",'Federal Data'!$D2:$D501,"Nongrant")</f>
        <v>10895071</v>
      </c>
      <c r="I92">
        <f>SUMIFS('Federal Data'!T2:T501,'Federal Data'!$H2:$H501,"SNAP (and other nutritional programs)",'Federal Data'!$D2:$D501,"Nongrant")</f>
        <v>10673718</v>
      </c>
      <c r="J92">
        <f>SUMIFS('Federal Data'!U2:U501,'Federal Data'!$H2:$H501,"SNAP (and other nutritional programs)",'Federal Data'!$D2:$D501,"Nongrant")</f>
        <v>11394882</v>
      </c>
      <c r="K92">
        <f>SUMIFS('Federal Data'!V2:V501,'Federal Data'!$H2:$H501,"SNAP (and other nutritional programs)",'Federal Data'!$D2:$D501,"Nongrant")</f>
        <v>11869554</v>
      </c>
      <c r="L92">
        <f>SUMIFS('Federal Data'!W2:W501,'Federal Data'!$H2:$H501,"SNAP (and other nutritional programs)",'Federal Data'!$D2:$D501,"Nongrant")</f>
        <v>14024265</v>
      </c>
      <c r="M92">
        <f>SUMIFS('Federal Data'!X2:X501,'Federal Data'!$H2:$H501,"SNAP (and other nutritional programs)",'Federal Data'!$D2:$D501,"Nongrant")</f>
        <v>17528209</v>
      </c>
      <c r="N92">
        <f>SUMIFS('Federal Data'!Y2:Y501,'Federal Data'!$H2:$H501,"SNAP (and other nutritional programs)",'Federal Data'!$D2:$D501,"Nongrant")</f>
        <v>20463697</v>
      </c>
      <c r="O92">
        <f>SUMIFS('Federal Data'!Z2:Z501,'Federal Data'!$H2:$H501,"SNAP (and other nutritional programs)",'Federal Data'!$D2:$D501,"Nongrant")</f>
        <v>22250853</v>
      </c>
      <c r="P92">
        <f>SUMIFS('Federal Data'!AA2:AA501,'Federal Data'!$H2:$H501,"SNAP (and other nutritional programs)",'Federal Data'!$D2:$D501,"Nongrant")</f>
        <v>23076121</v>
      </c>
      <c r="Q92">
        <f>SUMIFS('Federal Data'!AB2:AB501,'Federal Data'!$H2:$H501,"SNAP (and other nutritional programs)",'Federal Data'!$D2:$D501,"Nongrant")</f>
        <v>23053000</v>
      </c>
      <c r="R92">
        <f>SUMIFS('Federal Data'!AC2:AC501,'Federal Data'!$H2:$H501,"SNAP (and other nutritional programs)",'Federal Data'!$D2:$D501,"Nongrant")</f>
        <v>22634000</v>
      </c>
      <c r="S92">
        <f>SUMIFS('Federal Data'!AD2:AD501,'Federal Data'!$H2:$H501,"SNAP (and other nutritional programs)",'Federal Data'!$D2:$D501,"Nongrant")</f>
        <v>19982000</v>
      </c>
      <c r="T92">
        <f>SUMIFS('Federal Data'!AE2:AE501,'Federal Data'!$H2:$H501,"SNAP (and other nutritional programs)",'Federal Data'!$D2:$D501,"Nongrant")</f>
        <v>16714000</v>
      </c>
      <c r="U92">
        <f>SUMIFS('Federal Data'!AF2:AF501,'Federal Data'!$H2:$H501,"SNAP (and other nutritional programs)",'Federal Data'!$D2:$D501,"Nongrant")</f>
        <v>15907000</v>
      </c>
      <c r="V92">
        <f>SUMIFS('Federal Data'!AG2:AG501,'Federal Data'!$H2:$H501,"SNAP (and other nutritional programs)",'Federal Data'!$D2:$D501,"Nongrant")</f>
        <v>15063000</v>
      </c>
      <c r="W92">
        <f>SUMIFS('Federal Data'!AH2:AH501,'Federal Data'!$H2:$H501,"SNAP (and other nutritional programs)",'Federal Data'!$D2:$D501,"Nongrant")</f>
        <v>15702000</v>
      </c>
      <c r="X92">
        <f>SUMIFS('Federal Data'!AI2:AI501,'Federal Data'!$H2:$H501,"SNAP (and other nutritional programs)",'Federal Data'!$D2:$D501,"Nongrant")</f>
        <v>18399000</v>
      </c>
      <c r="Y92">
        <f>SUMIFS('Federal Data'!AJ2:AJ501,'Federal Data'!$H2:$H501,"SNAP (and other nutritional programs)",'Federal Data'!$D2:$D501,"Nongrant")</f>
        <v>21484000</v>
      </c>
      <c r="Z92">
        <f>SUMIFS('Federal Data'!AK2:AK501,'Federal Data'!$H2:$H501,"SNAP (and other nutritional programs)",'Federal Data'!$D2:$D501,"Nongrant")</f>
        <v>24742000</v>
      </c>
      <c r="AA92">
        <f>SUMIFS('Federal Data'!AL2:AL501,'Federal Data'!$H2:$H501,"SNAP (and other nutritional programs)",'Federal Data'!$D2:$D501,"Nongrant")</f>
        <v>28566000</v>
      </c>
      <c r="AB92">
        <f>SUMIFS('Federal Data'!AM2:AM501,'Federal Data'!$H2:$H501,"SNAP (and other nutritional programs)",'Federal Data'!$D2:$D501,"Nongrant")</f>
        <v>30372000</v>
      </c>
      <c r="AC92">
        <f>SUMIFS('Federal Data'!AN2:AN501,'Federal Data'!$H2:$H501,"SNAP (and other nutritional programs)",'Federal Data'!$D2:$D501,"Nongrant")</f>
        <v>30641000</v>
      </c>
      <c r="AD92">
        <f>SUMIFS('Federal Data'!AO2:AO501,'Federal Data'!$H2:$H501,"SNAP (and other nutritional programs)",'Federal Data'!$D2:$D501,"Nongrant")</f>
        <v>34743000</v>
      </c>
      <c r="AE92">
        <f>SUMIFS('Federal Data'!AP2:AP501,'Federal Data'!$H2:$H501,"SNAP (and other nutritional programs)",'Federal Data'!$D2:$D501,"Nongrant")</f>
        <v>50311000</v>
      </c>
      <c r="AF92">
        <f>SUMIFS('Federal Data'!AQ2:AQ501,'Federal Data'!$H2:$H501,"SNAP (and other nutritional programs)",'Federal Data'!$D2:$D501,"Nongrant")</f>
        <v>65116000</v>
      </c>
      <c r="AG92">
        <f>SUMIFS('Federal Data'!AR2:AR501,'Federal Data'!$H2:$H501,"SNAP (and other nutritional programs)",'Federal Data'!$D2:$D501,"Nongrant")</f>
        <v>72025000</v>
      </c>
      <c r="AH92">
        <f>SUMIFS('Federal Data'!AS2:AS501,'Federal Data'!$H2:$H501,"SNAP (and other nutritional programs)",'Federal Data'!$D2:$D501,"Nongrant")</f>
        <v>73775000</v>
      </c>
      <c r="AI92">
        <f>SUMIFS('Federal Data'!AT2:AT501,'Federal Data'!$H2:$H501,"SNAP (and other nutritional programs)",'Federal Data'!$D2:$D501,"Nongrant")</f>
        <v>76689000</v>
      </c>
      <c r="AJ92">
        <f>SUMIFS('Federal Data'!AU2:AU501,'Federal Data'!$H2:$H501,"SNAP (and other nutritional programs)",'Federal Data'!$D2:$D501,"Nongrant")</f>
        <v>70640000</v>
      </c>
      <c r="AK92">
        <f>SUMIFS('Federal Data'!AV2:AV501,'Federal Data'!$H2:$H501,"SNAP (and other nutritional programs)",'Federal Data'!$D2:$D501,"Nongrant")</f>
        <v>71262000</v>
      </c>
    </row>
    <row r="93" spans="1:37">
      <c r="A93" s="6" t="s">
        <v>115</v>
      </c>
      <c r="B93">
        <f>SUMIFS('Federal Data'!M2:M501,'Federal Data'!$H2:$H501,"Other",'Federal Data'!$D2:$D501,"Nongrant",'Federal Data'!$G2:$G501,"Non-Cash Programs")</f>
        <v>620412</v>
      </c>
      <c r="C93">
        <f>SUMIFS('Federal Data'!N2:N501,'Federal Data'!$H2:$H501,"Other",'Federal Data'!$D2:$D501,"Nongrant",'Federal Data'!$G2:$G501,"Non-Cash Programs")</f>
        <v>329282</v>
      </c>
      <c r="D93">
        <f>SUMIFS('Federal Data'!O2:O501,'Federal Data'!$H2:$H501,"Other",'Federal Data'!$D2:$D501,"Nongrant",'Federal Data'!$G2:$G501,"Non-Cash Programs")</f>
        <v>210027</v>
      </c>
      <c r="E93">
        <f>SUMIFS('Federal Data'!P2:P501,'Federal Data'!$H2:$H501,"Other",'Federal Data'!$D2:$D501,"Nongrant",'Federal Data'!$G2:$G501,"Non-Cash Programs")</f>
        <v>252457</v>
      </c>
      <c r="F93">
        <f>SUMIFS('Federal Data'!Q2:Q501,'Federal Data'!$H2:$H501,"Other",'Federal Data'!$D2:$D501,"Nongrant",'Federal Data'!$G2:$G501,"Non-Cash Programs")</f>
        <v>256287</v>
      </c>
      <c r="G93">
        <f>SUMIFS('Federal Data'!R2:R501,'Federal Data'!$H2:$H501,"Other",'Federal Data'!$D2:$D501,"Nongrant",'Federal Data'!$G2:$G501,"Non-Cash Programs")</f>
        <v>203314</v>
      </c>
      <c r="H93">
        <f>SUMIFS('Federal Data'!S2:S501,'Federal Data'!$H2:$H501,"Other",'Federal Data'!$D2:$D501,"Nongrant",'Federal Data'!$G2:$G501,"Non-Cash Programs")</f>
        <v>241015</v>
      </c>
      <c r="I93">
        <f>SUMIFS('Federal Data'!T2:T501,'Federal Data'!$H2:$H501,"Other",'Federal Data'!$D2:$D501,"Nongrant",'Federal Data'!$G2:$G501,"Non-Cash Programs")</f>
        <v>185330</v>
      </c>
      <c r="J93">
        <f>SUMIFS('Federal Data'!U2:U501,'Federal Data'!$H2:$H501,"Other",'Federal Data'!$D2:$D501,"Nongrant",'Federal Data'!$G2:$G501,"Non-Cash Programs")</f>
        <v>176242</v>
      </c>
      <c r="K93">
        <f>SUMIFS('Federal Data'!V2:V501,'Federal Data'!$H2:$H501,"Other",'Federal Data'!$D2:$D501,"Nongrant",'Federal Data'!$G2:$G501,"Non-Cash Programs")</f>
        <v>197810</v>
      </c>
      <c r="L93">
        <f>SUMIFS('Federal Data'!W2:W501,'Federal Data'!$H2:$H501,"Other",'Federal Data'!$D2:$D501,"Nongrant",'Federal Data'!$G2:$G501,"Non-Cash Programs")</f>
        <v>218305</v>
      </c>
      <c r="M93">
        <f>SUMIFS('Federal Data'!X2:X501,'Federal Data'!$H2:$H501,"Other",'Federal Data'!$D2:$D501,"Nongrant",'Federal Data'!$G2:$G501,"Non-Cash Programs")</f>
        <v>142811</v>
      </c>
      <c r="N93">
        <f>SUMIFS('Federal Data'!Y2:Y501,'Federal Data'!$H2:$H501,"Other",'Federal Data'!$D2:$D501,"Nongrant",'Federal Data'!$G2:$G501,"Non-Cash Programs")</f>
        <v>152409</v>
      </c>
      <c r="O93">
        <f>SUMIFS('Federal Data'!Z2:Z501,'Federal Data'!$H2:$H501,"Other",'Federal Data'!$D2:$D501,"Nongrant",'Federal Data'!$G2:$G501,"Non-Cash Programs")</f>
        <v>211658</v>
      </c>
      <c r="P93">
        <f>SUMIFS('Federal Data'!AA2:AA501,'Federal Data'!$H2:$H501,"Other",'Federal Data'!$D2:$D501,"Nongrant",'Federal Data'!$G2:$G501,"Non-Cash Programs")</f>
        <v>210693</v>
      </c>
      <c r="Q93">
        <f>SUMIFS('Federal Data'!AB2:AB501,'Federal Data'!$H2:$H501,"Other",'Federal Data'!$D2:$D501,"Nongrant",'Federal Data'!$G2:$G501,"Non-Cash Programs")</f>
        <v>70000</v>
      </c>
      <c r="R93">
        <f>SUMIFS('Federal Data'!AC2:AC501,'Federal Data'!$H2:$H501,"Other",'Federal Data'!$D2:$D501,"Nongrant",'Federal Data'!$G2:$G501,"Non-Cash Programs")</f>
        <v>0</v>
      </c>
      <c r="S93">
        <f>SUMIFS('Federal Data'!AD2:AD501,'Federal Data'!$H2:$H501,"Other",'Federal Data'!$D2:$D501,"Nongrant",'Federal Data'!$G2:$G501,"Non-Cash Programs")</f>
        <v>0</v>
      </c>
      <c r="T93">
        <f>SUMIFS('Federal Data'!AE2:AE501,'Federal Data'!$H2:$H501,"Other",'Federal Data'!$D2:$D501,"Nongrant",'Federal Data'!$G2:$G501,"Non-Cash Programs")</f>
        <v>0</v>
      </c>
      <c r="U93">
        <f>SUMIFS('Federal Data'!AF2:AF501,'Federal Data'!$H2:$H501,"Other",'Federal Data'!$D2:$D501,"Nongrant",'Federal Data'!$G2:$G501,"Non-Cash Programs")</f>
        <v>0</v>
      </c>
      <c r="V93">
        <f>SUMIFS('Federal Data'!AG2:AG501,'Federal Data'!$H2:$H501,"Other",'Federal Data'!$D2:$D501,"Nongrant",'Federal Data'!$G2:$G501,"Non-Cash Programs")</f>
        <v>0</v>
      </c>
      <c r="W93">
        <f>SUMIFS('Federal Data'!AH2:AH501,'Federal Data'!$H2:$H501,"Other",'Federal Data'!$D2:$D501,"Nongrant",'Federal Data'!$G2:$G501,"Non-Cash Programs")</f>
        <v>0</v>
      </c>
      <c r="X93">
        <f>SUMIFS('Federal Data'!AI2:AI501,'Federal Data'!$H2:$H501,"Other",'Federal Data'!$D2:$D501,"Nongrant",'Federal Data'!$G2:$G501,"Non-Cash Programs")</f>
        <v>0</v>
      </c>
      <c r="Y93">
        <f>SUMIFS('Federal Data'!AJ2:AJ501,'Federal Data'!$H2:$H501,"Other",'Federal Data'!$D2:$D501,"Nongrant",'Federal Data'!$G2:$G501,"Non-Cash Programs")</f>
        <v>0</v>
      </c>
      <c r="Z93">
        <f>SUMIFS('Federal Data'!AK2:AK501,'Federal Data'!$H2:$H501,"Other",'Federal Data'!$D2:$D501,"Nongrant",'Federal Data'!$G2:$G501,"Non-Cash Programs")</f>
        <v>0</v>
      </c>
      <c r="AA93">
        <f>SUMIFS('Federal Data'!AL2:AL501,'Federal Data'!$H2:$H501,"Other",'Federal Data'!$D2:$D501,"Nongrant",'Federal Data'!$G2:$G501,"Non-Cash Programs")</f>
        <v>0</v>
      </c>
      <c r="AB93">
        <f>SUMIFS('Federal Data'!AM2:AM501,'Federal Data'!$H2:$H501,"Other",'Federal Data'!$D2:$D501,"Nongrant",'Federal Data'!$G2:$G501,"Non-Cash Programs")</f>
        <v>0</v>
      </c>
      <c r="AC93">
        <f>SUMIFS('Federal Data'!AN2:AN501,'Federal Data'!$H2:$H501,"Other",'Federal Data'!$D2:$D501,"Nongrant",'Federal Data'!$G2:$G501,"Non-Cash Programs")</f>
        <v>0</v>
      </c>
      <c r="AD93">
        <f>SUMIFS('Federal Data'!AO2:AO501,'Federal Data'!$H2:$H501,"Other",'Federal Data'!$D2:$D501,"Nongrant",'Federal Data'!$G2:$G501,"Non-Cash Programs")</f>
        <v>0</v>
      </c>
      <c r="AE93">
        <f>SUMIFS('Federal Data'!AP2:AP501,'Federal Data'!$H2:$H501,"Other",'Federal Data'!$D2:$D501,"Nongrant",'Federal Data'!$G2:$G501,"Non-Cash Programs")</f>
        <v>0</v>
      </c>
      <c r="AF93">
        <f>SUMIFS('Federal Data'!AQ2:AQ501,'Federal Data'!$H2:$H501,"Other",'Federal Data'!$D2:$D501,"Nongrant",'Federal Data'!$G2:$G501,"Non-Cash Programs")</f>
        <v>0</v>
      </c>
      <c r="AG93">
        <f>SUMIFS('Federal Data'!AR2:AR501,'Federal Data'!$H2:$H501,"Other",'Federal Data'!$D2:$D501,"Nongrant",'Federal Data'!$G2:$G501,"Non-Cash Programs")</f>
        <v>0</v>
      </c>
      <c r="AH93">
        <f>SUMIFS('Federal Data'!AS2:AS501,'Federal Data'!$H2:$H501,"Other",'Federal Data'!$D2:$D501,"Nongrant",'Federal Data'!$G2:$G501,"Non-Cash Programs")</f>
        <v>0</v>
      </c>
      <c r="AI93">
        <f>SUMIFS('Federal Data'!AT2:AT501,'Federal Data'!$H2:$H501,"Other",'Federal Data'!$D2:$D501,"Nongrant",'Federal Data'!$G2:$G501,"Non-Cash Programs")</f>
        <v>0</v>
      </c>
      <c r="AJ93">
        <f>SUMIFS('Federal Data'!AU2:AU501,'Federal Data'!$H2:$H501,"Other",'Federal Data'!$D2:$D501,"Nongrant",'Federal Data'!$G2:$G501,"Non-Cash Programs")</f>
        <v>0</v>
      </c>
      <c r="AK93">
        <f>SUMIFS('Federal Data'!AV2:AV501,'Federal Data'!$H2:$H501,"Other",'Federal Data'!$D2:$D501,"Nongrant",'Federal Data'!$G2:$G501,"Non-Cash Programs")</f>
        <v>0</v>
      </c>
    </row>
    <row r="94" spans="1:37">
      <c r="A94" s="5" t="s">
        <v>315</v>
      </c>
      <c r="B94">
        <f>SUMIFS('Federal Data'!M2:M501,'Federal Data'!$G2:$G501,"Unemployment Insurance",'Federal Data'!$D2:$D501,"Nongrant")</f>
        <v>16913119</v>
      </c>
      <c r="C94">
        <f>SUMIFS('Federal Data'!N2:N501,'Federal Data'!$G2:$G501,"Unemployment Insurance",'Federal Data'!$D2:$D501,"Nongrant")</f>
        <v>18340985</v>
      </c>
      <c r="D94">
        <f>SUMIFS('Federal Data'!O2:O501,'Federal Data'!$G2:$G501,"Unemployment Insurance",'Federal Data'!$D2:$D501,"Nongrant")</f>
        <v>22341745</v>
      </c>
      <c r="E94">
        <f>SUMIFS('Federal Data'!P2:P501,'Federal Data'!$G2:$G501,"Unemployment Insurance",'Federal Data'!$D2:$D501,"Nongrant")</f>
        <v>29993662</v>
      </c>
      <c r="F94">
        <f>SUMIFS('Federal Data'!Q2:Q501,'Federal Data'!$G2:$G501,"Unemployment Insurance",'Federal Data'!$D2:$D501,"Nongrant")</f>
        <v>17038028</v>
      </c>
      <c r="G94">
        <f>SUMIFS('Federal Data'!R2:R501,'Federal Data'!$G2:$G501,"Unemployment Insurance",'Federal Data'!$D2:$D501,"Nongrant")</f>
        <v>16240750</v>
      </c>
      <c r="H94">
        <f>SUMIFS('Federal Data'!S2:S501,'Federal Data'!$G2:$G501,"Unemployment Insurance",'Federal Data'!$D2:$D501,"Nongrant")</f>
        <v>16475820</v>
      </c>
      <c r="I94">
        <f>SUMIFS('Federal Data'!T2:T501,'Federal Data'!$G2:$G501,"Unemployment Insurance",'Federal Data'!$D2:$D501,"Nongrant")</f>
        <v>15806021</v>
      </c>
      <c r="J94">
        <f>SUMIFS('Federal Data'!U2:U501,'Federal Data'!$G2:$G501,"Unemployment Insurance",'Federal Data'!$D2:$D501,"Nongrant")</f>
        <v>13876964</v>
      </c>
      <c r="K94">
        <f>SUMIFS('Federal Data'!V2:V501,'Federal Data'!$G2:$G501,"Unemployment Insurance",'Federal Data'!$D2:$D501,"Nongrant")</f>
        <v>14145291</v>
      </c>
      <c r="L94">
        <f>SUMIFS('Federal Data'!W2:W501,'Federal Data'!$G2:$G501,"Unemployment Insurance",'Federal Data'!$D2:$D501,"Nongrant")</f>
        <v>17464552</v>
      </c>
      <c r="M94">
        <f>SUMIFS('Federal Data'!X2:X501,'Federal Data'!$G2:$G501,"Unemployment Insurance",'Federal Data'!$D2:$D501,"Nongrant")</f>
        <v>25469338</v>
      </c>
      <c r="N94">
        <f>SUMIFS('Federal Data'!Y2:Y501,'Federal Data'!$G2:$G501,"Unemployment Insurance",'Federal Data'!$D2:$D501,"Nongrant")</f>
        <v>37722499</v>
      </c>
      <c r="O94">
        <f>SUMIFS('Federal Data'!Z2:Z501,'Federal Data'!$G2:$G501,"Unemployment Insurance",'Federal Data'!$D2:$D501,"Nongrant")</f>
        <v>36230267</v>
      </c>
      <c r="P94">
        <f>SUMIFS('Federal Data'!AA2:AA501,'Federal Data'!$G2:$G501,"Unemployment Insurance",'Federal Data'!$D2:$D501,"Nongrant")</f>
        <v>27222191</v>
      </c>
      <c r="Q94">
        <f>SUMIFS('Federal Data'!AB2:AB501,'Federal Data'!$G2:$G501,"Unemployment Insurance",'Federal Data'!$D2:$D501,"Nongrant")</f>
        <v>21982000</v>
      </c>
      <c r="R94">
        <f>SUMIFS('Federal Data'!AC2:AC501,'Federal Data'!$G2:$G501,"Unemployment Insurance",'Federal Data'!$D2:$D501,"Nongrant")</f>
        <v>23199000</v>
      </c>
      <c r="S94">
        <f>SUMIFS('Federal Data'!AD2:AD501,'Federal Data'!$G2:$G501,"Unemployment Insurance",'Federal Data'!$D2:$D501,"Nongrant")</f>
        <v>21197000</v>
      </c>
      <c r="T94">
        <f>SUMIFS('Federal Data'!AE2:AE501,'Federal Data'!$G2:$G501,"Unemployment Insurance",'Federal Data'!$D2:$D501,"Nongrant")</f>
        <v>20251000</v>
      </c>
      <c r="U94">
        <f>SUMIFS('Federal Data'!AF2:AF501,'Federal Data'!$G2:$G501,"Unemployment Insurance",'Federal Data'!$D2:$D501,"Nongrant")</f>
        <v>21538000</v>
      </c>
      <c r="V94">
        <f>SUMIFS('Federal Data'!AG2:AG501,'Federal Data'!$G2:$G501,"Unemployment Insurance",'Federal Data'!$D2:$D501,"Nongrant")</f>
        <v>21050000</v>
      </c>
      <c r="W94">
        <f>SUMIFS('Federal Data'!AH2:AH501,'Federal Data'!$G2:$G501,"Unemployment Insurance",'Federal Data'!$D2:$D501,"Nongrant")</f>
        <v>28310000</v>
      </c>
      <c r="X94">
        <f>SUMIFS('Federal Data'!AI2:AI501,'Federal Data'!$G2:$G501,"Unemployment Insurance",'Federal Data'!$D2:$D501,"Nongrant")</f>
        <v>50913000</v>
      </c>
      <c r="Y94">
        <f>SUMIFS('Federal Data'!AJ2:AJ501,'Federal Data'!$G2:$G501,"Unemployment Insurance",'Federal Data'!$D2:$D501,"Nongrant")</f>
        <v>55056000</v>
      </c>
      <c r="Z94">
        <f>SUMIFS('Federal Data'!AK2:AK501,'Federal Data'!$G2:$G501,"Unemployment Insurance",'Federal Data'!$D2:$D501,"Nongrant")</f>
        <v>43088000</v>
      </c>
      <c r="AA94">
        <f>SUMIFS('Federal Data'!AL2:AL501,'Federal Data'!$G2:$G501,"Unemployment Insurance",'Federal Data'!$D2:$D501,"Nongrant")</f>
        <v>33010000</v>
      </c>
      <c r="AB94">
        <f>SUMIFS('Federal Data'!AM2:AM501,'Federal Data'!$G2:$G501,"Unemployment Insurance",'Federal Data'!$D2:$D501,"Nongrant")</f>
        <v>31974000</v>
      </c>
      <c r="AC94">
        <f>SUMIFS('Federal Data'!AN2:AN501,'Federal Data'!$G2:$G501,"Unemployment Insurance",'Federal Data'!$D2:$D501,"Nongrant")</f>
        <v>33334000</v>
      </c>
      <c r="AD94">
        <f>SUMIFS('Federal Data'!AO2:AO501,'Federal Data'!$G2:$G501,"Unemployment Insurance",'Federal Data'!$D2:$D501,"Nongrant")</f>
        <v>43511000</v>
      </c>
      <c r="AE94">
        <f>SUMIFS('Federal Data'!AP2:AP501,'Federal Data'!$G2:$G501,"Unemployment Insurance",'Federal Data'!$D2:$D501,"Nongrant")</f>
        <v>119690000</v>
      </c>
      <c r="AF94">
        <f>SUMIFS('Federal Data'!AQ2:AQ501,'Federal Data'!$G2:$G501,"Unemployment Insurance",'Federal Data'!$D2:$D501,"Nongrant")</f>
        <v>156550000</v>
      </c>
      <c r="AG94">
        <f>SUMIFS('Federal Data'!AR2:AR501,'Federal Data'!$G2:$G501,"Unemployment Insurance",'Federal Data'!$D2:$D501,"Nongrant")</f>
        <v>116603000</v>
      </c>
      <c r="AH94">
        <f>SUMIFS('Federal Data'!AS2:AS501,'Federal Data'!$G2:$G501,"Unemployment Insurance",'Federal Data'!$D2:$D501,"Nongrant")</f>
        <v>92641000</v>
      </c>
      <c r="AI94">
        <f>SUMIFS('Federal Data'!AT2:AT501,'Federal Data'!$G2:$G501,"Unemployment Insurance",'Federal Data'!$D2:$D501,"Nongrant")</f>
        <v>68152000</v>
      </c>
      <c r="AJ94">
        <f>SUMIFS('Federal Data'!AU2:AU501,'Federal Data'!$G2:$G501,"Unemployment Insurance",'Federal Data'!$D2:$D501,"Nongrant")</f>
        <v>43746000</v>
      </c>
      <c r="AK94">
        <f>SUMIFS('Federal Data'!AV2:AV501,'Federal Data'!$G2:$G501,"Unemployment Insurance",'Federal Data'!$D2:$D501,"Nongrant")</f>
        <v>34162000</v>
      </c>
    </row>
    <row r="95" spans="1:37">
      <c r="A95" s="5" t="s">
        <v>62</v>
      </c>
      <c r="B95">
        <f>SUMIFS('Federal Data'!M2:M501,'Federal Data'!$G2:$G501,"Employment and Training",'Federal Data'!$D2:$D501,"Nongrant")</f>
        <v>1190738</v>
      </c>
      <c r="C95">
        <f>SUMIFS('Federal Data'!N2:N501,'Federal Data'!$G2:$G501,"Employment and Training",'Federal Data'!$D2:$D501,"Nongrant")</f>
        <v>1261621</v>
      </c>
      <c r="D95">
        <f>SUMIFS('Federal Data'!O2:O501,'Federal Data'!$G2:$G501,"Employment and Training",'Federal Data'!$D2:$D501,"Nongrant")</f>
        <v>1142790</v>
      </c>
      <c r="E95">
        <f>SUMIFS('Federal Data'!P2:P501,'Federal Data'!$G2:$G501,"Employment and Training",'Federal Data'!$D2:$D501,"Nongrant")</f>
        <v>1010169</v>
      </c>
      <c r="F95">
        <f>SUMIFS('Federal Data'!Q2:Q501,'Federal Data'!$G2:$G501,"Employment and Training",'Federal Data'!$D2:$D501,"Nongrant")</f>
        <v>1006297</v>
      </c>
      <c r="G95">
        <f>SUMIFS('Federal Data'!R2:R501,'Federal Data'!$G2:$G501,"Employment and Training",'Federal Data'!$D2:$D501,"Nongrant")</f>
        <v>978474</v>
      </c>
      <c r="H95">
        <f>SUMIFS('Federal Data'!S2:S501,'Federal Data'!$G2:$G501,"Employment and Training",'Federal Data'!$D2:$D501,"Nongrant")</f>
        <v>983455</v>
      </c>
      <c r="I95">
        <f>SUMIFS('Federal Data'!T2:T501,'Federal Data'!$G2:$G501,"Employment and Training",'Federal Data'!$D2:$D501,"Nongrant")</f>
        <v>1010929</v>
      </c>
      <c r="J95">
        <f>SUMIFS('Federal Data'!U2:U501,'Federal Data'!$G2:$G501,"Employment and Training",'Federal Data'!$D2:$D501,"Nongrant")</f>
        <v>1127538</v>
      </c>
      <c r="K95">
        <f>SUMIFS('Federal Data'!V2:V501,'Federal Data'!$G2:$G501,"Employment and Training",'Federal Data'!$D2:$D501,"Nongrant")</f>
        <v>1127840</v>
      </c>
      <c r="L95">
        <f>SUMIFS('Federal Data'!W2:W501,'Federal Data'!$G2:$G501,"Employment and Training",'Federal Data'!$D2:$D501,"Nongrant")</f>
        <v>1202853</v>
      </c>
      <c r="M95">
        <f>SUMIFS('Federal Data'!X2:X501,'Federal Data'!$G2:$G501,"Employment and Training",'Federal Data'!$D2:$D501,"Nongrant")</f>
        <v>1252689</v>
      </c>
      <c r="N95">
        <f>SUMIFS('Federal Data'!Y2:Y501,'Federal Data'!$G2:$G501,"Employment and Training",'Federal Data'!$D2:$D501,"Nongrant")</f>
        <v>1358778</v>
      </c>
      <c r="O95">
        <f>SUMIFS('Federal Data'!Z2:Z501,'Federal Data'!$G2:$G501,"Employment and Training",'Federal Data'!$D2:$D501,"Nongrant")</f>
        <v>1456548</v>
      </c>
      <c r="P95">
        <f>SUMIFS('Federal Data'!AA2:AA501,'Federal Data'!$G2:$G501,"Employment and Training",'Federal Data'!$D2:$D501,"Nongrant")</f>
        <v>1507144</v>
      </c>
      <c r="Q95">
        <f>SUMIFS('Federal Data'!AB2:AB501,'Federal Data'!$G2:$G501,"Employment and Training",'Federal Data'!$D2:$D501,"Nongrant")</f>
        <v>1563000</v>
      </c>
      <c r="R95">
        <f>SUMIFS('Federal Data'!AC2:AC501,'Federal Data'!$G2:$G501,"Employment and Training",'Federal Data'!$D2:$D501,"Nongrant")</f>
        <v>1490000</v>
      </c>
      <c r="S95">
        <f>SUMIFS('Federal Data'!AD2:AD501,'Federal Data'!$G2:$G501,"Employment and Training",'Federal Data'!$D2:$D501,"Nongrant")</f>
        <v>1567000</v>
      </c>
      <c r="T95">
        <f>SUMIFS('Federal Data'!AE2:AE501,'Federal Data'!$G2:$G501,"Employment and Training",'Federal Data'!$D2:$D501,"Nongrant")</f>
        <v>1800000</v>
      </c>
      <c r="U95">
        <f>SUMIFS('Federal Data'!AF2:AF501,'Federal Data'!$G2:$G501,"Employment and Training",'Federal Data'!$D2:$D501,"Nongrant")</f>
        <v>1803000</v>
      </c>
      <c r="V95">
        <f>SUMIFS('Federal Data'!AG2:AG501,'Federal Data'!$G2:$G501,"Employment and Training",'Federal Data'!$D2:$D501,"Nongrant")</f>
        <v>1860000</v>
      </c>
      <c r="W95">
        <f>SUMIFS('Federal Data'!AH2:AH501,'Federal Data'!$G2:$G501,"Employment and Training",'Federal Data'!$D2:$D501,"Nongrant")</f>
        <v>1935000</v>
      </c>
      <c r="X95">
        <f>SUMIFS('Federal Data'!AI2:AI501,'Federal Data'!$G2:$G501,"Employment and Training",'Federal Data'!$D2:$D501,"Nongrant")</f>
        <v>2187000</v>
      </c>
      <c r="Y95">
        <f>SUMIFS('Federal Data'!AJ2:AJ501,'Federal Data'!$G2:$G501,"Employment and Training",'Federal Data'!$D2:$D501,"Nongrant")</f>
        <v>2228000</v>
      </c>
      <c r="Z95">
        <f>SUMIFS('Federal Data'!AK2:AK501,'Federal Data'!$G2:$G501,"Employment and Training",'Federal Data'!$D2:$D501,"Nongrant")</f>
        <v>2304000</v>
      </c>
      <c r="AA95">
        <f>SUMIFS('Federal Data'!AL2:AL501,'Federal Data'!$G2:$G501,"Employment and Training",'Federal Data'!$D2:$D501,"Nongrant")</f>
        <v>2527000</v>
      </c>
      <c r="AB95">
        <f>SUMIFS('Federal Data'!AM2:AM501,'Federal Data'!$G2:$G501,"Employment and Training",'Federal Data'!$D2:$D501,"Nongrant")</f>
        <v>1352000</v>
      </c>
      <c r="AC95">
        <f>SUMIFS('Federal Data'!AN2:AN501,'Federal Data'!$G2:$G501,"Employment and Training",'Federal Data'!$D2:$D501,"Nongrant")</f>
        <v>2739000</v>
      </c>
      <c r="AD95">
        <f>SUMIFS('Federal Data'!AO2:AO501,'Federal Data'!$G2:$G501,"Employment and Training",'Federal Data'!$D2:$D501,"Nongrant")</f>
        <v>2660000</v>
      </c>
      <c r="AE95">
        <f>SUMIFS('Federal Data'!AP2:AP501,'Federal Data'!$G2:$G501,"Employment and Training",'Federal Data'!$D2:$D501,"Nongrant")</f>
        <v>2452000</v>
      </c>
      <c r="AF95">
        <f>SUMIFS('Federal Data'!AQ2:AQ501,'Federal Data'!$G2:$G501,"Employment and Training",'Federal Data'!$D2:$D501,"Nongrant")</f>
        <v>3206000</v>
      </c>
      <c r="AG95">
        <f>SUMIFS('Federal Data'!AR2:AR501,'Federal Data'!$G2:$G501,"Employment and Training",'Federal Data'!$D2:$D501,"Nongrant")</f>
        <v>3342000</v>
      </c>
      <c r="AH95">
        <f>SUMIFS('Federal Data'!AS2:AS501,'Federal Data'!$G2:$G501,"Employment and Training",'Federal Data'!$D2:$D501,"Nongrant")</f>
        <v>3016000</v>
      </c>
      <c r="AI95">
        <f>SUMIFS('Federal Data'!AT2:AT501,'Federal Data'!$G2:$G501,"Employment and Training",'Federal Data'!$D2:$D501,"Nongrant")</f>
        <v>2915000</v>
      </c>
      <c r="AJ95">
        <f>SUMIFS('Federal Data'!AU2:AU501,'Federal Data'!$G2:$G501,"Employment and Training",'Federal Data'!$D2:$D501,"Nongrant")</f>
        <v>2642000</v>
      </c>
      <c r="AK95">
        <f>SUMIFS('Federal Data'!AV2:AV501,'Federal Data'!$G2:$G501,"Employment and Training",'Federal Data'!$D2:$D501,"Nongrant")</f>
        <v>2786000</v>
      </c>
    </row>
    <row r="96" spans="1:37">
      <c r="A96" s="5" t="s">
        <v>63</v>
      </c>
      <c r="B96">
        <f>SUMIFS('Federal Data'!M2:M501,'Federal Data'!$G2:$G501,"Other Tax Credits",'Federal Data'!$D2:$D501,"Nongrant")</f>
        <v>0</v>
      </c>
      <c r="C96">
        <f>SUMIFS('Federal Data'!N2:N501,'Federal Data'!$G2:$G501,"Other Tax Credits",'Federal Data'!$D2:$D501,"Nongrant")</f>
        <v>0</v>
      </c>
      <c r="D96">
        <f>SUMIFS('Federal Data'!O2:O501,'Federal Data'!$G2:$G501,"Other Tax Credits",'Federal Data'!$D2:$D501,"Nongrant")</f>
        <v>0</v>
      </c>
      <c r="E96">
        <f>SUMIFS('Federal Data'!P2:P501,'Federal Data'!$G2:$G501,"Other Tax Credits",'Federal Data'!$D2:$D501,"Nongrant")</f>
        <v>0</v>
      </c>
      <c r="F96">
        <f>SUMIFS('Federal Data'!Q2:Q501,'Federal Data'!$G2:$G501,"Other Tax Credits",'Federal Data'!$D2:$D501,"Nongrant")</f>
        <v>0</v>
      </c>
      <c r="G96">
        <f>SUMIFS('Federal Data'!R2:R501,'Federal Data'!$G2:$G501,"Other Tax Credits",'Federal Data'!$D2:$D501,"Nongrant")</f>
        <v>0</v>
      </c>
      <c r="H96">
        <f>SUMIFS('Federal Data'!S2:S501,'Federal Data'!$G2:$G501,"Other Tax Credits",'Federal Data'!$D2:$D501,"Nongrant")</f>
        <v>0</v>
      </c>
      <c r="I96">
        <f>SUMIFS('Federal Data'!T2:T501,'Federal Data'!$G2:$G501,"Other Tax Credits",'Federal Data'!$D2:$D501,"Nongrant")</f>
        <v>0</v>
      </c>
      <c r="J96">
        <f>SUMIFS('Federal Data'!U2:U501,'Federal Data'!$G2:$G501,"Other Tax Credits",'Federal Data'!$D2:$D501,"Nongrant")</f>
        <v>0</v>
      </c>
      <c r="K96">
        <f>SUMIFS('Federal Data'!V2:V501,'Federal Data'!$G2:$G501,"Other Tax Credits",'Federal Data'!$D2:$D501,"Nongrant")</f>
        <v>0</v>
      </c>
      <c r="L96">
        <f>SUMIFS('Federal Data'!W2:W501,'Federal Data'!$G2:$G501,"Other Tax Credits",'Federal Data'!$D2:$D501,"Nongrant")</f>
        <v>0</v>
      </c>
      <c r="M96">
        <f>SUMIFS('Federal Data'!X2:X501,'Federal Data'!$G2:$G501,"Other Tax Credits",'Federal Data'!$D2:$D501,"Nongrant")</f>
        <v>0</v>
      </c>
      <c r="N96">
        <f>SUMIFS('Federal Data'!Y2:Y501,'Federal Data'!$G2:$G501,"Other Tax Credits",'Federal Data'!$D2:$D501,"Nongrant")</f>
        <v>0</v>
      </c>
      <c r="O96">
        <f>SUMIFS('Federal Data'!Z2:Z501,'Federal Data'!$G2:$G501,"Other Tax Credits",'Federal Data'!$D2:$D501,"Nongrant")</f>
        <v>0</v>
      </c>
      <c r="P96">
        <f>SUMIFS('Federal Data'!AA2:AA501,'Federal Data'!$G2:$G501,"Other Tax Credits",'Federal Data'!$D2:$D501,"Nongrant")</f>
        <v>0</v>
      </c>
      <c r="Q96">
        <f>SUMIFS('Federal Data'!AB2:AB501,'Federal Data'!$G2:$G501,"Other Tax Credits",'Federal Data'!$D2:$D501,"Nongrant")</f>
        <v>0</v>
      </c>
      <c r="R96">
        <f>SUMIFS('Federal Data'!AC2:AC501,'Federal Data'!$G2:$G501,"Other Tax Credits",'Federal Data'!$D2:$D501,"Nongrant")</f>
        <v>0</v>
      </c>
      <c r="S96">
        <f>SUMIFS('Federal Data'!AD2:AD501,'Federal Data'!$G2:$G501,"Other Tax Credits",'Federal Data'!$D2:$D501,"Nongrant")</f>
        <v>0</v>
      </c>
      <c r="T96">
        <f>SUMIFS('Federal Data'!AE2:AE501,'Federal Data'!$G2:$G501,"Other Tax Credits",'Federal Data'!$D2:$D501,"Nongrant")</f>
        <v>0</v>
      </c>
      <c r="U96">
        <f>SUMIFS('Federal Data'!AF2:AF501,'Federal Data'!$G2:$G501,"Other Tax Credits",'Federal Data'!$D2:$D501,"Nongrant")</f>
        <v>0</v>
      </c>
      <c r="V96">
        <f>SUMIFS('Federal Data'!AG2:AG501,'Federal Data'!$G2:$G501,"Other Tax Credits",'Federal Data'!$D2:$D501,"Nongrant")</f>
        <v>0</v>
      </c>
      <c r="W96">
        <f>SUMIFS('Federal Data'!AH2:AH501,'Federal Data'!$G2:$G501,"Other Tax Credits",'Federal Data'!$D2:$D501,"Nongrant")</f>
        <v>0</v>
      </c>
      <c r="X96">
        <f>SUMIFS('Federal Data'!AI2:AI501,'Federal Data'!$G2:$G501,"Other Tax Credits",'Federal Data'!$D2:$D501,"Nongrant")</f>
        <v>0</v>
      </c>
      <c r="Y96">
        <f>SUMIFS('Federal Data'!AJ2:AJ501,'Federal Data'!$G2:$G501,"Other Tax Credits",'Federal Data'!$D2:$D501,"Nongrant")</f>
        <v>0</v>
      </c>
      <c r="Z96">
        <f>SUMIFS('Federal Data'!AK2:AK501,'Federal Data'!$G2:$G501,"Other Tax Credits",'Federal Data'!$D2:$D501,"Nongrant")</f>
        <v>0</v>
      </c>
      <c r="AA96">
        <f>SUMIFS('Federal Data'!AL2:AL501,'Federal Data'!$G2:$G501,"Other Tax Credits",'Federal Data'!$D2:$D501,"Nongrant")</f>
        <v>0</v>
      </c>
      <c r="AB96">
        <f>SUMIFS('Federal Data'!AM2:AM501,'Federal Data'!$G2:$G501,"Other Tax Credits",'Federal Data'!$D2:$D501,"Nongrant")</f>
        <v>0</v>
      </c>
      <c r="AC96">
        <f>SUMIFS('Federal Data'!AN2:AN501,'Federal Data'!$G2:$G501,"Other Tax Credits",'Federal Data'!$D2:$D501,"Nongrant")</f>
        <v>0</v>
      </c>
      <c r="AD96">
        <f>SUMIFS('Federal Data'!AO2:AO501,'Federal Data'!$G2:$G501,"Other Tax Credits",'Federal Data'!$D2:$D501,"Nongrant")</f>
        <v>0</v>
      </c>
      <c r="AE96">
        <f>SUMIFS('Federal Data'!AP2:AP501,'Federal Data'!$G2:$G501,"Other Tax Credits",'Federal Data'!$D2:$D501,"Nongrant")</f>
        <v>711000</v>
      </c>
      <c r="AF96">
        <f>SUMIFS('Federal Data'!AQ2:AQ501,'Federal Data'!$G2:$G501,"Other Tax Credits",'Federal Data'!$D2:$D501,"Nongrant")</f>
        <v>1080000</v>
      </c>
      <c r="AG96">
        <f>SUMIFS('Federal Data'!AR2:AR501,'Federal Data'!$G2:$G501,"Other Tax Credits",'Federal Data'!$D2:$D501,"Nongrant")</f>
        <v>1178000</v>
      </c>
      <c r="AH96">
        <f>SUMIFS('Federal Data'!AS2:AS501,'Federal Data'!$G2:$G501,"Other Tax Credits",'Federal Data'!$D2:$D501,"Nongrant")</f>
        <v>981000</v>
      </c>
      <c r="AI96">
        <f>SUMIFS('Federal Data'!AT2:AT501,'Federal Data'!$G2:$G501,"Other Tax Credits",'Federal Data'!$D2:$D501,"Nongrant")</f>
        <v>312000</v>
      </c>
      <c r="AJ96">
        <f>SUMIFS('Federal Data'!AU2:AU501,'Federal Data'!$G2:$G501,"Other Tax Credits",'Federal Data'!$D2:$D501,"Nongrant")</f>
        <v>125000</v>
      </c>
      <c r="AK96">
        <f>SUMIFS('Federal Data'!AV2:AV501,'Federal Data'!$G2:$G501,"Other Tax Credits",'Federal Data'!$D2:$D501,"Nongrant")</f>
        <v>23000</v>
      </c>
    </row>
    <row r="97" spans="1:37">
      <c r="A97" s="3" t="s">
        <v>263</v>
      </c>
      <c r="B97">
        <f>SUMIFS('Federal Data'!M2:M501,'Federal Data'!$E2:$E501,"Secure the Blessings",'Federal Data'!$D2:$D501,"Nongrant")+SUMIFS('Federal Data'!M2:M501,'Federal Data'!$E2:$E501,"Obligations",'Federal Data'!$D2:$D501,"Nongrant")</f>
        <v>257805088</v>
      </c>
      <c r="C97">
        <f>SUMIFS('Federal Data'!N2:N501,'Federal Data'!$E2:$E501,"Secure the Blessings",'Federal Data'!$D2:$D501,"Nongrant")+SUMIFS('Federal Data'!N2:N501,'Federal Data'!$E2:$E501,"Obligations",'Federal Data'!$D2:$D501,"Nongrant")</f>
        <v>314893530</v>
      </c>
      <c r="D97">
        <f>SUMIFS('Federal Data'!O2:O501,'Federal Data'!$E2:$E501,"Secure the Blessings",'Federal Data'!$D2:$D501,"Nongrant")+SUMIFS('Federal Data'!O2:O501,'Federal Data'!$E2:$E501,"Obligations",'Federal Data'!$D2:$D501,"Nongrant")</f>
        <v>358584135</v>
      </c>
      <c r="E97">
        <f>SUMIFS('Federal Data'!P2:P501,'Federal Data'!$E2:$E501,"Secure the Blessings",'Federal Data'!$D2:$D501,"Nongrant")+SUMIFS('Federal Data'!P2:P501,'Federal Data'!$E2:$E501,"Obligations",'Federal Data'!$D2:$D501,"Nongrant")</f>
        <v>383811624</v>
      </c>
      <c r="F97">
        <f>SUMIFS('Federal Data'!Q2:Q501,'Federal Data'!$E2:$E501,"Secure the Blessings",'Federal Data'!$D2:$D501,"Nongrant")+SUMIFS('Federal Data'!Q2:Q501,'Federal Data'!$E2:$E501,"Obligations",'Federal Data'!$D2:$D501,"Nongrant")</f>
        <v>406443222</v>
      </c>
      <c r="G97">
        <f>SUMIFS('Federal Data'!R2:R501,'Federal Data'!$E2:$E501,"Secure the Blessings",'Federal Data'!$D2:$D501,"Nongrant")+SUMIFS('Federal Data'!R2:R501,'Federal Data'!$E2:$E501,"Obligations",'Federal Data'!$D2:$D501,"Nongrant")</f>
        <v>452003696</v>
      </c>
      <c r="H97">
        <f>SUMIFS('Federal Data'!S2:S501,'Federal Data'!$E2:$E501,"Secure the Blessings",'Federal Data'!$D2:$D501,"Nongrant")+SUMIFS('Federal Data'!S2:S501,'Federal Data'!$E2:$E501,"Obligations",'Federal Data'!$D2:$D501,"Nongrant")</f>
        <v>477330977</v>
      </c>
      <c r="I97">
        <f>SUMIFS('Federal Data'!T2:T501,'Federal Data'!$E2:$E501,"Secure the Blessings",'Federal Data'!$D2:$D501,"Nongrant")+SUMIFS('Federal Data'!T2:T501,'Federal Data'!$E2:$E501,"Obligations",'Federal Data'!$D2:$D501,"Nongrant")</f>
        <v>487884600</v>
      </c>
      <c r="J97">
        <f>SUMIFS('Federal Data'!U2:U501,'Federal Data'!$E2:$E501,"Secure the Blessings",'Federal Data'!$D2:$D501,"Nongrant")+SUMIFS('Federal Data'!U2:U501,'Federal Data'!$E2:$E501,"Obligations",'Federal Data'!$D2:$D501,"Nongrant")</f>
        <v>513741484</v>
      </c>
      <c r="K97">
        <f>SUMIFS('Federal Data'!V2:V501,'Federal Data'!$E2:$E501,"Secure the Blessings",'Federal Data'!$D2:$D501,"Nongrant")+SUMIFS('Federal Data'!V2:V501,'Federal Data'!$E2:$E501,"Obligations",'Federal Data'!$D2:$D501,"Nongrant")</f>
        <v>556344815</v>
      </c>
      <c r="L97">
        <f>SUMIFS('Federal Data'!W2:W501,'Federal Data'!$E2:$E501,"Secure the Blessings",'Federal Data'!$D2:$D501,"Nongrant")+SUMIFS('Federal Data'!W2:W501,'Federal Data'!$E2:$E501,"Obligations",'Federal Data'!$D2:$D501,"Nongrant")</f>
        <v>601145617</v>
      </c>
      <c r="M97">
        <f>SUMIFS('Federal Data'!X2:X501,'Federal Data'!$E2:$E501,"Secure the Blessings",'Federal Data'!$D2:$D501,"Nongrant")+SUMIFS('Federal Data'!X2:X501,'Federal Data'!$E2:$E501,"Obligations",'Federal Data'!$D2:$D501,"Nongrant")</f>
        <v>646407379</v>
      </c>
      <c r="N97">
        <f>SUMIFS('Federal Data'!Y2:Y501,'Federal Data'!$E2:$E501,"Secure the Blessings",'Federal Data'!$D2:$D501,"Nongrant")+SUMIFS('Federal Data'!Y2:Y501,'Federal Data'!$E2:$E501,"Obligations",'Federal Data'!$D2:$D501,"Nongrant")</f>
        <v>688460616</v>
      </c>
      <c r="O97">
        <f>SUMIFS('Federal Data'!Z2:Z501,'Federal Data'!$E2:$E501,"Secure the Blessings",'Federal Data'!$D2:$D501,"Nongrant")+SUMIFS('Federal Data'!Z2:Z501,'Federal Data'!$E2:$E501,"Obligations",'Federal Data'!$D2:$D501,"Nongrant")</f>
        <v>725483116</v>
      </c>
      <c r="P97">
        <f>SUMIFS('Federal Data'!AA2:AA501,'Federal Data'!$E2:$E501,"Secure the Blessings",'Federal Data'!$D2:$D501,"Nongrant")+SUMIFS('Federal Data'!AA2:AA501,'Federal Data'!$E2:$E501,"Obligations",'Federal Data'!$D2:$D501,"Nongrant")</f>
        <v>751675390</v>
      </c>
      <c r="Q97">
        <f>SUMIFS('Federal Data'!AB2:AB501,'Federal Data'!$E2:$E501,"Secure the Blessings",'Federal Data'!$D2:$D501,"Nongrant")+SUMIFS('Federal Data'!AB2:AB501,'Federal Data'!$E2:$E501,"Obligations",'Federal Data'!$D2:$D501,"Nongrant")</f>
        <v>817206000</v>
      </c>
      <c r="R97">
        <f>SUMIFS('Federal Data'!AC2:AC501,'Federal Data'!$E2:$E501,"Secure the Blessings",'Federal Data'!$D2:$D501,"Nongrant")+SUMIFS('Federal Data'!AC2:AC501,'Federal Data'!$E2:$E501,"Obligations",'Federal Data'!$D2:$D501,"Nongrant")</f>
        <v>848952000</v>
      </c>
      <c r="S97">
        <f>SUMIFS('Federal Data'!AD2:AD501,'Federal Data'!$E2:$E501,"Secure the Blessings",'Federal Data'!$D2:$D501,"Nongrant")+SUMIFS('Federal Data'!AD2:AD501,'Federal Data'!$E2:$E501,"Obligations",'Federal Data'!$D2:$D501,"Nongrant")</f>
        <v>884970000</v>
      </c>
      <c r="T97">
        <f>SUMIFS('Federal Data'!AE2:AE501,'Federal Data'!$E2:$E501,"Secure the Blessings",'Federal Data'!$D2:$D501,"Nongrant")+SUMIFS('Federal Data'!AE2:AE501,'Federal Data'!$E2:$E501,"Obligations",'Federal Data'!$D2:$D501,"Nongrant")</f>
        <v>908208000</v>
      </c>
      <c r="U97">
        <f>SUMIFS('Federal Data'!AF2:AF501,'Federal Data'!$E2:$E501,"Secure the Blessings",'Federal Data'!$D2:$D501,"Nongrant")+SUMIFS('Federal Data'!AF2:AF501,'Federal Data'!$E2:$E501,"Obligations",'Federal Data'!$D2:$D501,"Nongrant")</f>
        <v>914862000</v>
      </c>
      <c r="V97">
        <f>SUMIFS('Federal Data'!AG2:AG501,'Federal Data'!$E2:$E501,"Secure the Blessings",'Federal Data'!$D2:$D501,"Nongrant")+SUMIFS('Federal Data'!AG2:AG501,'Federal Data'!$E2:$E501,"Obligations",'Federal Data'!$D2:$D501,"Nongrant")</f>
        <v>945161000</v>
      </c>
      <c r="W97">
        <f>SUMIFS('Federal Data'!AH2:AH501,'Federal Data'!$E2:$E501,"Secure the Blessings",'Federal Data'!$D2:$D501,"Nongrant")+SUMIFS('Federal Data'!AH2:AH501,'Federal Data'!$E2:$E501,"Obligations",'Federal Data'!$D2:$D501,"Nongrant")</f>
        <v>967391000</v>
      </c>
      <c r="X97">
        <f>SUMIFS('Federal Data'!AI2:AI501,'Federal Data'!$E2:$E501,"Secure the Blessings",'Federal Data'!$D2:$D501,"Nongrant")+SUMIFS('Federal Data'!AI2:AI501,'Federal Data'!$E2:$E501,"Obligations",'Federal Data'!$D2:$D501,"Nongrant")</f>
        <v>969048000</v>
      </c>
      <c r="Y97">
        <f>SUMIFS('Federal Data'!AJ2:AJ501,'Federal Data'!$E2:$E501,"Secure the Blessings",'Federal Data'!$D2:$D501,"Nongrant")+SUMIFS('Federal Data'!AJ2:AJ501,'Federal Data'!$E2:$E501,"Obligations",'Federal Data'!$D2:$D501,"Nongrant")</f>
        <v>995916000</v>
      </c>
      <c r="Z97">
        <f>SUMIFS('Federal Data'!AK2:AK501,'Federal Data'!$E2:$E501,"Secure the Blessings",'Federal Data'!$D2:$D501,"Nongrant")+SUMIFS('Federal Data'!AK2:AK501,'Federal Data'!$E2:$E501,"Obligations",'Federal Data'!$D2:$D501,"Nongrant")</f>
        <v>1045904000</v>
      </c>
      <c r="AA97">
        <f>SUMIFS('Federal Data'!AL2:AL501,'Federal Data'!$E2:$E501,"Secure the Blessings",'Federal Data'!$D2:$D501,"Nongrant")+SUMIFS('Federal Data'!AL2:AL501,'Federal Data'!$E2:$E501,"Obligations",'Federal Data'!$D2:$D501,"Nongrant")</f>
        <v>1140192000</v>
      </c>
      <c r="AB97">
        <f>SUMIFS('Federal Data'!AM2:AM501,'Federal Data'!$E2:$E501,"Secure the Blessings",'Federal Data'!$D2:$D501,"Nongrant")+SUMIFS('Federal Data'!AM2:AM501,'Federal Data'!$E2:$E501,"Obligations",'Federal Data'!$D2:$D501,"Nongrant")</f>
        <v>1266042000</v>
      </c>
      <c r="AC97">
        <f>SUMIFS('Federal Data'!AN2:AN501,'Federal Data'!$E2:$E501,"Secure the Blessings",'Federal Data'!$D2:$D501,"Nongrant")+SUMIFS('Federal Data'!AN2:AN501,'Federal Data'!$E2:$E501,"Obligations",'Federal Data'!$D2:$D501,"Nongrant")</f>
        <v>1320334000</v>
      </c>
      <c r="AD97">
        <f>SUMIFS('Federal Data'!AO2:AO501,'Federal Data'!$E2:$E501,"Secure the Blessings",'Federal Data'!$D2:$D501,"Nongrant")+SUMIFS('Federal Data'!AO2:AO501,'Federal Data'!$E2:$E501,"Obligations",'Federal Data'!$D2:$D501,"Nongrant")</f>
        <v>1393798000</v>
      </c>
      <c r="AE97">
        <f>SUMIFS('Federal Data'!AP2:AP501,'Federal Data'!$E2:$E501,"Secure the Blessings",'Federal Data'!$D2:$D501,"Nongrant")+SUMIFS('Federal Data'!AP2:AP501,'Federal Data'!$E2:$E501,"Obligations",'Federal Data'!$D2:$D501,"Nongrant")</f>
        <v>1524222000</v>
      </c>
      <c r="AF97">
        <f>SUMIFS('Federal Data'!AQ2:AQ501,'Federal Data'!$E2:$E501,"Secure the Blessings",'Federal Data'!$D2:$D501,"Nongrant")+SUMIFS('Federal Data'!AQ2:AQ501,'Federal Data'!$E2:$E501,"Obligations",'Federal Data'!$D2:$D501,"Nongrant")</f>
        <v>1525077000</v>
      </c>
      <c r="AG97">
        <f>SUMIFS('Federal Data'!AR2:AR501,'Federal Data'!$E2:$E501,"Secure the Blessings",'Federal Data'!$D2:$D501,"Nongrant")+SUMIFS('Federal Data'!AR2:AR501,'Federal Data'!$E2:$E501,"Obligations",'Federal Data'!$D2:$D501,"Nongrant")</f>
        <v>1578939000</v>
      </c>
      <c r="AH97">
        <f>SUMIFS('Federal Data'!AS2:AS501,'Federal Data'!$E2:$E501,"Secure the Blessings",'Federal Data'!$D2:$D501,"Nongrant")+SUMIFS('Federal Data'!AS2:AS501,'Federal Data'!$E2:$E501,"Obligations",'Federal Data'!$D2:$D501,"Nongrant")</f>
        <v>1584667000</v>
      </c>
      <c r="AI97">
        <f>SUMIFS('Federal Data'!AT2:AT501,'Federal Data'!$E2:$E501,"Secure the Blessings",'Federal Data'!$D2:$D501,"Nongrant")+SUMIFS('Federal Data'!AT2:AT501,'Federal Data'!$E2:$E501,"Obligations",'Federal Data'!$D2:$D501,"Nongrant")</f>
        <v>1579291000</v>
      </c>
      <c r="AJ97">
        <f>SUMIFS('Federal Data'!AU2:AU501,'Federal Data'!$E2:$E501,"Secure the Blessings",'Federal Data'!$D2:$D501,"Nongrant")+SUMIFS('Federal Data'!AU2:AU501,'Federal Data'!$E2:$E501,"Obligations",'Federal Data'!$D2:$D501,"Nongrant")</f>
        <v>1660369000</v>
      </c>
      <c r="AK97">
        <f>SUMIFS('Federal Data'!AV2:AV501,'Federal Data'!$E2:$E501,"Secure the Blessings",'Federal Data'!$D2:$D501,"Nongrant")+SUMIFS('Federal Data'!AV2:AV501,'Federal Data'!$E2:$E501,"Obligations",'Federal Data'!$D2:$D501,"Nongrant")</f>
        <v>1806970000</v>
      </c>
    </row>
    <row r="98" spans="1:37">
      <c r="A98" s="4" t="s">
        <v>158</v>
      </c>
      <c r="B98">
        <f>B99+B103</f>
        <v>4329717</v>
      </c>
      <c r="C98">
        <f t="shared" ref="C98:AJ98" si="0">C99+C103</f>
        <v>6205890</v>
      </c>
      <c r="D98">
        <f t="shared" si="0"/>
        <v>5755774</v>
      </c>
      <c r="E98">
        <f t="shared" si="0"/>
        <v>4536536</v>
      </c>
      <c r="F98">
        <f t="shared" si="0"/>
        <v>5222365</v>
      </c>
      <c r="G98">
        <f t="shared" si="0"/>
        <v>5462535</v>
      </c>
      <c r="H98">
        <f t="shared" si="0"/>
        <v>5084967</v>
      </c>
      <c r="I98">
        <f t="shared" si="0"/>
        <v>4171338</v>
      </c>
      <c r="J98">
        <f t="shared" si="0"/>
        <v>4521222</v>
      </c>
      <c r="K98">
        <f t="shared" si="0"/>
        <v>6397898</v>
      </c>
      <c r="L98">
        <f t="shared" si="0"/>
        <v>6918833</v>
      </c>
      <c r="M98">
        <f t="shared" si="0"/>
        <v>7808689</v>
      </c>
      <c r="N98">
        <f t="shared" si="0"/>
        <v>6603804</v>
      </c>
      <c r="O98">
        <f t="shared" si="0"/>
        <v>9267421</v>
      </c>
      <c r="P98">
        <f t="shared" si="0"/>
        <v>3404279</v>
      </c>
      <c r="Q98">
        <f t="shared" si="0"/>
        <v>9927000</v>
      </c>
      <c r="R98">
        <f t="shared" si="0"/>
        <v>8038000</v>
      </c>
      <c r="S98">
        <f t="shared" si="0"/>
        <v>7679000</v>
      </c>
      <c r="T98">
        <f t="shared" si="0"/>
        <v>6846000</v>
      </c>
      <c r="U98">
        <f t="shared" si="0"/>
        <v>4330000</v>
      </c>
      <c r="V98">
        <f t="shared" si="0"/>
        <v>4082000</v>
      </c>
      <c r="W98">
        <f t="shared" si="0"/>
        <v>2651000</v>
      </c>
      <c r="X98">
        <f t="shared" si="0"/>
        <v>8723000</v>
      </c>
      <c r="Y98">
        <f t="shared" si="0"/>
        <v>12273000</v>
      </c>
      <c r="Z98">
        <f t="shared" si="0"/>
        <v>13998000</v>
      </c>
      <c r="AA98">
        <f t="shared" si="0"/>
        <v>19988000</v>
      </c>
      <c r="AB98">
        <f t="shared" si="0"/>
        <v>39202000</v>
      </c>
      <c r="AC98">
        <f t="shared" si="0"/>
        <v>13115000</v>
      </c>
      <c r="AD98">
        <f t="shared" si="0"/>
        <v>9901000</v>
      </c>
      <c r="AE98">
        <f t="shared" si="0"/>
        <v>-22669000</v>
      </c>
      <c r="AF98">
        <f t="shared" si="0"/>
        <v>-9196000</v>
      </c>
      <c r="AG98">
        <f t="shared" si="0"/>
        <v>-32491000</v>
      </c>
      <c r="AH98">
        <f t="shared" si="0"/>
        <v>-18444000</v>
      </c>
      <c r="AI98">
        <f t="shared" si="0"/>
        <v>-30002000</v>
      </c>
      <c r="AJ98">
        <f t="shared" si="0"/>
        <v>-8832000</v>
      </c>
      <c r="AK98">
        <f t="shared" ref="AK98" si="1">AK99+AK103</f>
        <v>24122000</v>
      </c>
    </row>
    <row r="99" spans="1:37">
      <c r="A99" s="5" t="s">
        <v>44</v>
      </c>
      <c r="B99">
        <f>SUMIFS('Federal Data'!M2:M501,'Federal Data'!$F2:$F501,"Education Inside the Classroom",'Federal Data'!$D2:$D501,"Nongrant")</f>
        <v>3467879</v>
      </c>
      <c r="C99">
        <f>SUMIFS('Federal Data'!N2:N501,'Federal Data'!$F2:$F501,"Education Inside the Classroom",'Federal Data'!$D2:$D501,"Nongrant")</f>
        <v>5316868</v>
      </c>
      <c r="D99">
        <f>SUMIFS('Federal Data'!O2:O501,'Federal Data'!$F2:$F501,"Education Inside the Classroom",'Federal Data'!$D2:$D501,"Nongrant")</f>
        <v>4853160</v>
      </c>
      <c r="E99">
        <f>SUMIFS('Federal Data'!P2:P501,'Federal Data'!$F2:$F501,"Education Inside the Classroom",'Federal Data'!$D2:$D501,"Nongrant")</f>
        <v>3694881</v>
      </c>
      <c r="F99">
        <f>SUMIFS('Federal Data'!Q2:Q501,'Federal Data'!$F2:$F501,"Education Inside the Classroom",'Federal Data'!$D2:$D501,"Nongrant")</f>
        <v>4156273</v>
      </c>
      <c r="G99">
        <f>SUMIFS('Federal Data'!R2:R501,'Federal Data'!$F2:$F501,"Education Inside the Classroom",'Federal Data'!$D2:$D501,"Nongrant")</f>
        <v>4516832</v>
      </c>
      <c r="H99">
        <f>SUMIFS('Federal Data'!S2:S501,'Federal Data'!$F2:$F501,"Education Inside the Classroom",'Federal Data'!$D2:$D501,"Nongrant")</f>
        <v>4137618</v>
      </c>
      <c r="I99">
        <f>SUMIFS('Federal Data'!T2:T501,'Federal Data'!$F2:$F501,"Education Inside the Classroom",'Federal Data'!$D2:$D501,"Nongrant")</f>
        <v>3192882</v>
      </c>
      <c r="J99">
        <f>SUMIFS('Federal Data'!U2:U501,'Federal Data'!$F2:$F501,"Education Inside the Classroom",'Federal Data'!$D2:$D501,"Nongrant")</f>
        <v>3518858</v>
      </c>
      <c r="K99">
        <f>SUMIFS('Federal Data'!V2:V501,'Federal Data'!$F2:$F501,"Education Inside the Classroom",'Federal Data'!$D2:$D501,"Nongrant")</f>
        <v>5306274</v>
      </c>
      <c r="L99">
        <f>SUMIFS('Federal Data'!W2:W501,'Federal Data'!$F2:$F501,"Education Inside the Classroom",'Federal Data'!$D2:$D501,"Nongrant")</f>
        <v>5761688</v>
      </c>
      <c r="M99">
        <f>SUMIFS('Federal Data'!X2:X501,'Federal Data'!$F2:$F501,"Education Inside the Classroom",'Federal Data'!$D2:$D501,"Nongrant")</f>
        <v>6528093</v>
      </c>
      <c r="N99">
        <f>SUMIFS('Federal Data'!Y2:Y501,'Federal Data'!$F2:$F501,"Education Inside the Classroom",'Federal Data'!$D2:$D501,"Nongrant")</f>
        <v>4931398</v>
      </c>
      <c r="O99">
        <f>SUMIFS('Federal Data'!Z2:Z501,'Federal Data'!$F2:$F501,"Education Inside the Classroom",'Federal Data'!$D2:$D501,"Nongrant")</f>
        <v>7546504</v>
      </c>
      <c r="P99">
        <f>SUMIFS('Federal Data'!AA2:AA501,'Federal Data'!$F2:$F501,"Education Inside the Classroom",'Federal Data'!$D2:$D501,"Nongrant")</f>
        <v>1618291</v>
      </c>
      <c r="Q99">
        <f>SUMIFS('Federal Data'!AB2:AB501,'Federal Data'!$F2:$F501,"Education Inside the Classroom",'Federal Data'!$D2:$D501,"Nongrant")</f>
        <v>8102000</v>
      </c>
      <c r="R99">
        <f>SUMIFS('Federal Data'!AC2:AC501,'Federal Data'!$F2:$F501,"Education Inside the Classroom",'Federal Data'!$D2:$D501,"Nongrant")</f>
        <v>6164000</v>
      </c>
      <c r="S99">
        <f>SUMIFS('Federal Data'!AD2:AD501,'Federal Data'!$F2:$F501,"Education Inside the Classroom",'Federal Data'!$D2:$D501,"Nongrant")</f>
        <v>5871000</v>
      </c>
      <c r="T99">
        <f>SUMIFS('Federal Data'!AE2:AE501,'Federal Data'!$F2:$F501,"Education Inside the Classroom",'Federal Data'!$D2:$D501,"Nongrant")</f>
        <v>4982000</v>
      </c>
      <c r="U99">
        <f>SUMIFS('Federal Data'!AF2:AF501,'Federal Data'!$F2:$F501,"Education Inside the Classroom",'Federal Data'!$D2:$D501,"Nongrant")</f>
        <v>2406000</v>
      </c>
      <c r="V99">
        <f>SUMIFS('Federal Data'!AG2:AG501,'Federal Data'!$F2:$F501,"Education Inside the Classroom",'Federal Data'!$D2:$D501,"Nongrant")</f>
        <v>2104000</v>
      </c>
      <c r="W99">
        <f>SUMIFS('Federal Data'!AH2:AH501,'Federal Data'!$F2:$F501,"Education Inside the Classroom",'Federal Data'!$D2:$D501,"Nongrant")</f>
        <v>615000</v>
      </c>
      <c r="X99">
        <f>SUMIFS('Federal Data'!AI2:AI501,'Federal Data'!$F2:$F501,"Education Inside the Classroom",'Federal Data'!$D2:$D501,"Nongrant")</f>
        <v>6500000</v>
      </c>
      <c r="Y99">
        <f>SUMIFS('Federal Data'!AJ2:AJ501,'Federal Data'!$F2:$F501,"Education Inside the Classroom",'Federal Data'!$D2:$D501,"Nongrant")</f>
        <v>10122000</v>
      </c>
      <c r="Z99">
        <f>SUMIFS('Federal Data'!AK2:AK501,'Federal Data'!$F2:$F501,"Education Inside the Classroom",'Federal Data'!$D2:$D501,"Nongrant")</f>
        <v>11736000</v>
      </c>
      <c r="AA99">
        <f>SUMIFS('Federal Data'!AL2:AL501,'Federal Data'!$F2:$F501,"Education Inside the Classroom",'Federal Data'!$D2:$D501,"Nongrant")</f>
        <v>17662000</v>
      </c>
      <c r="AB99">
        <f>SUMIFS('Federal Data'!AM2:AM501,'Federal Data'!$F2:$F501,"Education Inside the Classroom",'Federal Data'!$D2:$D501,"Nongrant")</f>
        <v>36966000</v>
      </c>
      <c r="AC99">
        <f>SUMIFS('Federal Data'!AN2:AN501,'Federal Data'!$F2:$F501,"Education Inside the Classroom",'Federal Data'!$D2:$D501,"Nongrant")</f>
        <v>10750000</v>
      </c>
      <c r="AD99">
        <f>SUMIFS('Federal Data'!AO2:AO501,'Federal Data'!$F2:$F501,"Education Inside the Classroom",'Federal Data'!$D2:$D501,"Nongrant")</f>
        <v>7490000</v>
      </c>
      <c r="AE99">
        <f>SUMIFS('Federal Data'!AP2:AP501,'Federal Data'!$F2:$F501,"Education Inside the Classroom",'Federal Data'!$D2:$D501,"Nongrant")</f>
        <v>-25309000</v>
      </c>
      <c r="AF99">
        <f>SUMIFS('Federal Data'!AQ2:AQ501,'Federal Data'!$F2:$F501,"Education Inside the Classroom",'Federal Data'!$D2:$D501,"Nongrant")</f>
        <v>-11967000</v>
      </c>
      <c r="AG99">
        <f>SUMIFS('Federal Data'!AR2:AR501,'Federal Data'!$F2:$F501,"Education Inside the Classroom",'Federal Data'!$D2:$D501,"Nongrant")</f>
        <v>-35347000</v>
      </c>
      <c r="AH99">
        <f>SUMIFS('Federal Data'!AS2:AS501,'Federal Data'!$F2:$F501,"Education Inside the Classroom",'Federal Data'!$D2:$D501,"Nongrant")</f>
        <v>-21308000</v>
      </c>
      <c r="AI99">
        <f>SUMIFS('Federal Data'!AT2:AT501,'Federal Data'!$F2:$F501,"Education Inside the Classroom",'Federal Data'!$D2:$D501,"Nongrant")</f>
        <v>-32869000</v>
      </c>
      <c r="AJ99">
        <f>SUMIFS('Federal Data'!AU2:AU501,'Federal Data'!$F2:$F501,"Education Inside the Classroom",'Federal Data'!$D2:$D501,"Nongrant")</f>
        <v>-11587000</v>
      </c>
      <c r="AK99">
        <f>SUMIFS('Federal Data'!AV2:AV501,'Federal Data'!$F2:$F501,"Education Inside the Classroom",'Federal Data'!$D2:$D501,"Nongrant")</f>
        <v>21370000</v>
      </c>
    </row>
    <row r="100" spans="1:37">
      <c r="A100" s="6" t="s">
        <v>45</v>
      </c>
      <c r="B100">
        <f>SUMIFS('Federal Data'!M2:M501,'Federal Data'!$G2:$G501,"Elementary and Secondary Education",'Federal Data'!$D2:$D501,"Nongrant")</f>
        <v>436966</v>
      </c>
      <c r="C100">
        <f>SUMIFS('Federal Data'!N2:N501,'Federal Data'!$G2:$G501,"Elementary and Secondary Education",'Federal Data'!$D2:$D501,"Nongrant")</f>
        <v>461003</v>
      </c>
      <c r="D100">
        <f>SUMIFS('Federal Data'!O2:O501,'Federal Data'!$G2:$G501,"Elementary and Secondary Education",'Federal Data'!$D2:$D501,"Nongrant")</f>
        <v>456932</v>
      </c>
      <c r="E100">
        <f>SUMIFS('Federal Data'!P2:P501,'Federal Data'!$G2:$G501,"Elementary and Secondary Education",'Federal Data'!$D2:$D501,"Nongrant")</f>
        <v>545400</v>
      </c>
      <c r="F100">
        <f>SUMIFS('Federal Data'!Q2:Q501,'Federal Data'!$G2:$G501,"Elementary and Secondary Education",'Federal Data'!$D2:$D501,"Nongrant")</f>
        <v>557669</v>
      </c>
      <c r="G100">
        <f>SUMIFS('Federal Data'!R2:R501,'Federal Data'!$G2:$G501,"Elementary and Secondary Education",'Federal Data'!$D2:$D501,"Nongrant")</f>
        <v>512673</v>
      </c>
      <c r="H100">
        <f>SUMIFS('Federal Data'!S2:S501,'Federal Data'!$G2:$G501,"Elementary and Secondary Education",'Federal Data'!$D2:$D501,"Nongrant")</f>
        <v>343175</v>
      </c>
      <c r="I100">
        <f>SUMIFS('Federal Data'!T2:T501,'Federal Data'!$G2:$G501,"Elementary and Secondary Education",'Federal Data'!$D2:$D501,"Nongrant")</f>
        <v>631277</v>
      </c>
      <c r="J100">
        <f>SUMIFS('Federal Data'!U2:U501,'Federal Data'!$G2:$G501,"Elementary and Secondary Education",'Federal Data'!$D2:$D501,"Nongrant")</f>
        <v>500772</v>
      </c>
      <c r="K100">
        <f>SUMIFS('Federal Data'!V2:V501,'Federal Data'!$G2:$G501,"Elementary and Secondary Education",'Federal Data'!$D2:$D501,"Nongrant")</f>
        <v>585090</v>
      </c>
      <c r="L100">
        <f>SUMIFS('Federal Data'!W2:W501,'Federal Data'!$G2:$G501,"Elementary and Secondary Education",'Federal Data'!$D2:$D501,"Nongrant")</f>
        <v>579728</v>
      </c>
      <c r="M100">
        <f>SUMIFS('Federal Data'!X2:X501,'Federal Data'!$G2:$G501,"Elementary and Secondary Education",'Federal Data'!$D2:$D501,"Nongrant")</f>
        <v>866231</v>
      </c>
      <c r="N100">
        <f>SUMIFS('Federal Data'!Y2:Y501,'Federal Data'!$G2:$G501,"Elementary and Secondary Education",'Federal Data'!$D2:$D501,"Nongrant")</f>
        <v>698081</v>
      </c>
      <c r="O100">
        <f>SUMIFS('Federal Data'!Z2:Z501,'Federal Data'!$G2:$G501,"Elementary and Secondary Education",'Federal Data'!$D2:$D501,"Nongrant")</f>
        <v>722884</v>
      </c>
      <c r="P100">
        <f>SUMIFS('Federal Data'!AA2:AA501,'Federal Data'!$G2:$G501,"Elementary and Secondary Education",'Federal Data'!$D2:$D501,"Nongrant")</f>
        <v>842917</v>
      </c>
      <c r="Q100">
        <f>SUMIFS('Federal Data'!AB2:AB501,'Federal Data'!$G2:$G501,"Elementary and Secondary Education",'Federal Data'!$D2:$D501,"Nongrant")</f>
        <v>979000</v>
      </c>
      <c r="R100">
        <f>SUMIFS('Federal Data'!AC2:AC501,'Federal Data'!$G2:$G501,"Elementary and Secondary Education",'Federal Data'!$D2:$D501,"Nongrant")</f>
        <v>839000</v>
      </c>
      <c r="S100">
        <f>SUMIFS('Federal Data'!AD2:AD501,'Federal Data'!$G2:$G501,"Elementary and Secondary Education",'Federal Data'!$D2:$D501,"Nongrant")</f>
        <v>833000</v>
      </c>
      <c r="T100">
        <f>SUMIFS('Federal Data'!AE2:AE501,'Federal Data'!$G2:$G501,"Elementary and Secondary Education",'Federal Data'!$D2:$D501,"Nongrant")</f>
        <v>859000</v>
      </c>
      <c r="U100">
        <f>SUMIFS('Federal Data'!AF2:AF501,'Federal Data'!$G2:$G501,"Elementary and Secondary Education",'Federal Data'!$D2:$D501,"Nongrant")</f>
        <v>875000</v>
      </c>
      <c r="V100">
        <f>SUMIFS('Federal Data'!AG2:AG501,'Federal Data'!$G2:$G501,"Elementary and Secondary Education",'Federal Data'!$D2:$D501,"Nongrant")</f>
        <v>1204000</v>
      </c>
      <c r="W100">
        <f>SUMIFS('Federal Data'!AH2:AH501,'Federal Data'!$G2:$G501,"Elementary and Secondary Education",'Federal Data'!$D2:$D501,"Nongrant")</f>
        <v>1497000</v>
      </c>
      <c r="X100">
        <f>SUMIFS('Federal Data'!AI2:AI501,'Federal Data'!$G2:$G501,"Elementary and Secondary Education",'Federal Data'!$D2:$D501,"Nongrant")</f>
        <v>2166000</v>
      </c>
      <c r="Y100">
        <f>SUMIFS('Federal Data'!AJ2:AJ501,'Federal Data'!$G2:$G501,"Elementary and Secondary Education",'Federal Data'!$D2:$D501,"Nongrant")</f>
        <v>1861000</v>
      </c>
      <c r="Z100">
        <f>SUMIFS('Federal Data'!AK2:AK501,'Federal Data'!$G2:$G501,"Elementary and Secondary Education",'Federal Data'!$D2:$D501,"Nongrant")</f>
        <v>1724000</v>
      </c>
      <c r="AA100">
        <f>SUMIFS('Federal Data'!AL2:AL501,'Federal Data'!$G2:$G501,"Elementary and Secondary Education",'Federal Data'!$D2:$D501,"Nongrant")</f>
        <v>1747000</v>
      </c>
      <c r="AB100">
        <f>SUMIFS('Federal Data'!AM2:AM501,'Federal Data'!$G2:$G501,"Elementary and Secondary Education",'Federal Data'!$D2:$D501,"Nongrant")</f>
        <v>1648000</v>
      </c>
      <c r="AC100">
        <f>SUMIFS('Federal Data'!AN2:AN501,'Federal Data'!$G2:$G501,"Elementary and Secondary Education",'Federal Data'!$D2:$D501,"Nongrant")</f>
        <v>1455000</v>
      </c>
      <c r="AD100">
        <f>SUMIFS('Federal Data'!AO2:AO501,'Federal Data'!$G2:$G501,"Elementary and Secondary Education",'Federal Data'!$D2:$D501,"Nongrant")</f>
        <v>1432000</v>
      </c>
      <c r="AE100">
        <f>SUMIFS('Federal Data'!AP2:AP501,'Federal Data'!$G2:$G501,"Elementary and Secondary Education",'Federal Data'!$D2:$D501,"Nongrant")</f>
        <v>1527000</v>
      </c>
      <c r="AF100">
        <f>SUMIFS('Federal Data'!AQ2:AQ501,'Federal Data'!$G2:$G501,"Elementary and Secondary Education",'Federal Data'!$D2:$D501,"Nongrant")</f>
        <v>1504000</v>
      </c>
      <c r="AG100">
        <f>SUMIFS('Federal Data'!AR2:AR501,'Federal Data'!$G2:$G501,"Elementary and Secondary Education",'Federal Data'!$D2:$D501,"Nongrant")</f>
        <v>1890000</v>
      </c>
      <c r="AH100">
        <f>SUMIFS('Federal Data'!AS2:AS501,'Federal Data'!$G2:$G501,"Elementary and Secondary Education",'Federal Data'!$D2:$D501,"Nongrant")</f>
        <v>1965000</v>
      </c>
      <c r="AI100">
        <f>SUMIFS('Federal Data'!AT2:AT501,'Federal Data'!$G2:$G501,"Elementary and Secondary Education",'Federal Data'!$D2:$D501,"Nongrant")</f>
        <v>2124000</v>
      </c>
      <c r="AJ100">
        <f>SUMIFS('Federal Data'!AU2:AU501,'Federal Data'!$G2:$G501,"Elementary and Secondary Education",'Federal Data'!$D2:$D501,"Nongrant")</f>
        <v>1871000</v>
      </c>
      <c r="AK100">
        <f>SUMIFS('Federal Data'!AV2:AV501,'Federal Data'!$G2:$G501,"Elementary and Secondary Education",'Federal Data'!$D2:$D501,"Nongrant")</f>
        <v>1972000</v>
      </c>
    </row>
    <row r="101" spans="1:37">
      <c r="A101" s="6" t="s">
        <v>276</v>
      </c>
      <c r="B101">
        <f>SUMIFS('Federal Data'!M2:M501,'Federal Data'!$G2:$G501,"Higher Education",'Federal Data'!$D2:$D501,"Nongrant")</f>
        <v>3020625</v>
      </c>
      <c r="C101">
        <f>SUMIFS('Federal Data'!N2:N501,'Federal Data'!$G2:$G501,"Higher Education",'Federal Data'!$D2:$D501,"Nongrant")</f>
        <v>4850345</v>
      </c>
      <c r="D101">
        <f>SUMIFS('Federal Data'!O2:O501,'Federal Data'!$G2:$G501,"Higher Education",'Federal Data'!$D2:$D501,"Nongrant")</f>
        <v>4380589</v>
      </c>
      <c r="E101">
        <f>SUMIFS('Federal Data'!P2:P501,'Federal Data'!$G2:$G501,"Higher Education",'Federal Data'!$D2:$D501,"Nongrant")</f>
        <v>3136930</v>
      </c>
      <c r="F101">
        <f>SUMIFS('Federal Data'!Q2:Q501,'Federal Data'!$G2:$G501,"Higher Education",'Federal Data'!$D2:$D501,"Nongrant")</f>
        <v>3574763</v>
      </c>
      <c r="G101">
        <f>SUMIFS('Federal Data'!R2:R501,'Federal Data'!$G2:$G501,"Higher Education",'Federal Data'!$D2:$D501,"Nongrant")</f>
        <v>3978989</v>
      </c>
      <c r="H101">
        <f>SUMIFS('Federal Data'!S2:S501,'Federal Data'!$G2:$G501,"Higher Education",'Federal Data'!$D2:$D501,"Nongrant")</f>
        <v>3767651</v>
      </c>
      <c r="I101">
        <f>SUMIFS('Federal Data'!T2:T501,'Federal Data'!$G2:$G501,"Higher Education",'Federal Data'!$D2:$D501,"Nongrant")</f>
        <v>2556044</v>
      </c>
      <c r="J101">
        <f>SUMIFS('Federal Data'!U2:U501,'Federal Data'!$G2:$G501,"Higher Education",'Federal Data'!$D2:$D501,"Nongrant")</f>
        <v>3003362</v>
      </c>
      <c r="K101">
        <f>SUMIFS('Federal Data'!V2:V501,'Federal Data'!$G2:$G501,"Higher Education",'Federal Data'!$D2:$D501,"Nongrant")</f>
        <v>4703231</v>
      </c>
      <c r="L101">
        <f>SUMIFS('Federal Data'!W2:W501,'Federal Data'!$G2:$G501,"Higher Education",'Federal Data'!$D2:$D501,"Nongrant")</f>
        <v>5162364</v>
      </c>
      <c r="M101">
        <f>SUMIFS('Federal Data'!X2:X501,'Federal Data'!$G2:$G501,"Higher Education",'Federal Data'!$D2:$D501,"Nongrant")</f>
        <v>5608966</v>
      </c>
      <c r="N101">
        <f>SUMIFS('Federal Data'!Y2:Y501,'Federal Data'!$G2:$G501,"Higher Education",'Federal Data'!$D2:$D501,"Nongrant")</f>
        <v>4174078</v>
      </c>
      <c r="O101">
        <f>SUMIFS('Federal Data'!Z2:Z501,'Federal Data'!$G2:$G501,"Higher Education",'Federal Data'!$D2:$D501,"Nongrant")</f>
        <v>6766291</v>
      </c>
      <c r="P101">
        <f>SUMIFS('Federal Data'!AA2:AA501,'Federal Data'!$G2:$G501,"Higher Education",'Federal Data'!$D2:$D501,"Nongrant")</f>
        <v>726823</v>
      </c>
      <c r="Q101">
        <f>SUMIFS('Federal Data'!AB2:AB501,'Federal Data'!$G2:$G501,"Higher Education",'Federal Data'!$D2:$D501,"Nongrant")</f>
        <v>7090000</v>
      </c>
      <c r="R101">
        <f>SUMIFS('Federal Data'!AC2:AC501,'Federal Data'!$G2:$G501,"Higher Education",'Federal Data'!$D2:$D501,"Nongrant")</f>
        <v>5300000</v>
      </c>
      <c r="S101">
        <f>SUMIFS('Federal Data'!AD2:AD501,'Federal Data'!$G2:$G501,"Higher Education",'Federal Data'!$D2:$D501,"Nongrant")</f>
        <v>5018000</v>
      </c>
      <c r="T101">
        <f>SUMIFS('Federal Data'!AE2:AE501,'Federal Data'!$G2:$G501,"Higher Education",'Federal Data'!$D2:$D501,"Nongrant")</f>
        <v>4097000</v>
      </c>
      <c r="U101">
        <f>SUMIFS('Federal Data'!AF2:AF501,'Federal Data'!$G2:$G501,"Higher Education",'Federal Data'!$D2:$D501,"Nongrant")</f>
        <v>1505000</v>
      </c>
      <c r="V101">
        <f>SUMIFS('Federal Data'!AG2:AG501,'Federal Data'!$G2:$G501,"Higher Education",'Federal Data'!$D2:$D501,"Nongrant")</f>
        <v>886000</v>
      </c>
      <c r="W101">
        <f>SUMIFS('Federal Data'!AH2:AH501,'Federal Data'!$G2:$G501,"Higher Education",'Federal Data'!$D2:$D501,"Nongrant")</f>
        <v>-910000</v>
      </c>
      <c r="X101">
        <f>SUMIFS('Federal Data'!AI2:AI501,'Federal Data'!$G2:$G501,"Higher Education",'Federal Data'!$D2:$D501,"Nongrant")</f>
        <v>4298000</v>
      </c>
      <c r="Y101">
        <f>SUMIFS('Federal Data'!AJ2:AJ501,'Federal Data'!$G2:$G501,"Higher Education",'Federal Data'!$D2:$D501,"Nongrant")</f>
        <v>8226000</v>
      </c>
      <c r="Z101">
        <f>SUMIFS('Federal Data'!AK2:AK501,'Federal Data'!$G2:$G501,"Higher Education",'Federal Data'!$D2:$D501,"Nongrant")</f>
        <v>9976000</v>
      </c>
      <c r="AA101">
        <f>SUMIFS('Federal Data'!AL2:AL501,'Federal Data'!$G2:$G501,"Higher Education",'Federal Data'!$D2:$D501,"Nongrant")</f>
        <v>15878000</v>
      </c>
      <c r="AB101">
        <f>SUMIFS('Federal Data'!AM2:AM501,'Federal Data'!$G2:$G501,"Higher Education",'Federal Data'!$D2:$D501,"Nongrant")</f>
        <v>35289000</v>
      </c>
      <c r="AC101">
        <f>SUMIFS('Federal Data'!AN2:AN501,'Federal Data'!$G2:$G501,"Higher Education",'Federal Data'!$D2:$D501,"Nongrant")</f>
        <v>9266000</v>
      </c>
      <c r="AD101">
        <f>SUMIFS('Federal Data'!AO2:AO501,'Federal Data'!$G2:$G501,"Higher Education",'Federal Data'!$D2:$D501,"Nongrant")</f>
        <v>6034000</v>
      </c>
      <c r="AE101">
        <f>SUMIFS('Federal Data'!AP2:AP501,'Federal Data'!$G2:$G501,"Higher Education",'Federal Data'!$D2:$D501,"Nongrant")</f>
        <v>-26865000</v>
      </c>
      <c r="AF101">
        <f>SUMIFS('Federal Data'!AQ2:AQ501,'Federal Data'!$G2:$G501,"Higher Education",'Federal Data'!$D2:$D501,"Nongrant")</f>
        <v>-13493000</v>
      </c>
      <c r="AG101">
        <f>SUMIFS('Federal Data'!AR2:AR501,'Federal Data'!$G2:$G501,"Higher Education",'Federal Data'!$D2:$D501,"Nongrant")</f>
        <v>-37259000</v>
      </c>
      <c r="AH101">
        <f>SUMIFS('Federal Data'!AS2:AS501,'Federal Data'!$G2:$G501,"Higher Education",'Federal Data'!$D2:$D501,"Nongrant")</f>
        <v>-23293000</v>
      </c>
      <c r="AI101">
        <f>SUMIFS('Federal Data'!AT2:AT501,'Federal Data'!$G2:$G501,"Higher Education",'Federal Data'!$D2:$D501,"Nongrant")</f>
        <v>-35010000</v>
      </c>
      <c r="AJ101">
        <f>SUMIFS('Federal Data'!AU2:AU501,'Federal Data'!$G2:$G501,"Higher Education",'Federal Data'!$D2:$D501,"Nongrant")</f>
        <v>-13474000</v>
      </c>
      <c r="AK101">
        <f>SUMIFS('Federal Data'!AV2:AV501,'Federal Data'!$G2:$G501,"Higher Education",'Federal Data'!$D2:$D501,"Nongrant")</f>
        <v>19380000</v>
      </c>
    </row>
    <row r="102" spans="1:37">
      <c r="A102" s="6" t="s">
        <v>47</v>
      </c>
      <c r="B102">
        <f>SUMIFS('Federal Data'!M2:M501,'Federal Data'!$G2:$G501,"Vocational Education",'Federal Data'!$D2:$D501,"Nongrant")</f>
        <v>10288</v>
      </c>
      <c r="C102">
        <f>SUMIFS('Federal Data'!N2:N501,'Federal Data'!$G2:$G501,"Vocational Education",'Federal Data'!$D2:$D501,"Nongrant")</f>
        <v>5520</v>
      </c>
      <c r="D102">
        <f>SUMIFS('Federal Data'!O2:O501,'Federal Data'!$G2:$G501,"Vocational Education",'Federal Data'!$D2:$D501,"Nongrant")</f>
        <v>15639</v>
      </c>
      <c r="E102">
        <f>SUMIFS('Federal Data'!P2:P501,'Federal Data'!$G2:$G501,"Vocational Education",'Federal Data'!$D2:$D501,"Nongrant")</f>
        <v>12551</v>
      </c>
      <c r="F102">
        <f>SUMIFS('Federal Data'!Q2:Q501,'Federal Data'!$G2:$G501,"Vocational Education",'Federal Data'!$D2:$D501,"Nongrant")</f>
        <v>23841</v>
      </c>
      <c r="G102">
        <f>SUMIFS('Federal Data'!R2:R501,'Federal Data'!$G2:$G501,"Vocational Education",'Federal Data'!$D2:$D501,"Nongrant")</f>
        <v>25170</v>
      </c>
      <c r="H102">
        <f>SUMIFS('Federal Data'!S2:S501,'Federal Data'!$G2:$G501,"Vocational Education",'Federal Data'!$D2:$D501,"Nongrant")</f>
        <v>26792</v>
      </c>
      <c r="I102">
        <f>SUMIFS('Federal Data'!T2:T501,'Federal Data'!$G2:$G501,"Vocational Education",'Federal Data'!$D2:$D501,"Nongrant")</f>
        <v>5561</v>
      </c>
      <c r="J102">
        <f>SUMIFS('Federal Data'!U2:U501,'Federal Data'!$G2:$G501,"Vocational Education",'Federal Data'!$D2:$D501,"Nongrant")</f>
        <v>14724</v>
      </c>
      <c r="K102">
        <f>SUMIFS('Federal Data'!V2:V501,'Federal Data'!$G2:$G501,"Vocational Education",'Federal Data'!$D2:$D501,"Nongrant")</f>
        <v>17953</v>
      </c>
      <c r="L102">
        <f>SUMIFS('Federal Data'!W2:W501,'Federal Data'!$G2:$G501,"Vocational Education",'Federal Data'!$D2:$D501,"Nongrant")</f>
        <v>19596</v>
      </c>
      <c r="M102">
        <f>SUMIFS('Federal Data'!X2:X501,'Federal Data'!$G2:$G501,"Vocational Education",'Federal Data'!$D2:$D501,"Nongrant")</f>
        <v>52896</v>
      </c>
      <c r="N102">
        <f>SUMIFS('Federal Data'!Y2:Y501,'Federal Data'!$G2:$G501,"Vocational Education",'Federal Data'!$D2:$D501,"Nongrant")</f>
        <v>59239</v>
      </c>
      <c r="O102">
        <f>SUMIFS('Federal Data'!Z2:Z501,'Federal Data'!$G2:$G501,"Vocational Education",'Federal Data'!$D2:$D501,"Nongrant")</f>
        <v>57329</v>
      </c>
      <c r="P102">
        <f>SUMIFS('Federal Data'!AA2:AA501,'Federal Data'!$G2:$G501,"Vocational Education",'Federal Data'!$D2:$D501,"Nongrant")</f>
        <v>48551</v>
      </c>
      <c r="Q102">
        <f>SUMIFS('Federal Data'!AB2:AB501,'Federal Data'!$G2:$G501,"Vocational Education",'Federal Data'!$D2:$D501,"Nongrant")</f>
        <v>33000</v>
      </c>
      <c r="R102">
        <f>SUMIFS('Federal Data'!AC2:AC501,'Federal Data'!$G2:$G501,"Vocational Education",'Federal Data'!$D2:$D501,"Nongrant")</f>
        <v>25000</v>
      </c>
      <c r="S102">
        <f>SUMIFS('Federal Data'!AD2:AD501,'Federal Data'!$G2:$G501,"Vocational Education",'Federal Data'!$D2:$D501,"Nongrant")</f>
        <v>20000</v>
      </c>
      <c r="T102">
        <f>SUMIFS('Federal Data'!AE2:AE501,'Federal Data'!$G2:$G501,"Vocational Education",'Federal Data'!$D2:$D501,"Nongrant")</f>
        <v>26000</v>
      </c>
      <c r="U102">
        <f>SUMIFS('Federal Data'!AF2:AF501,'Federal Data'!$G2:$G501,"Vocational Education",'Federal Data'!$D2:$D501,"Nongrant")</f>
        <v>26000</v>
      </c>
      <c r="V102">
        <f>SUMIFS('Federal Data'!AG2:AG501,'Federal Data'!$G2:$G501,"Vocational Education",'Federal Data'!$D2:$D501,"Nongrant")</f>
        <v>14000</v>
      </c>
      <c r="W102">
        <f>SUMIFS('Federal Data'!AH2:AH501,'Federal Data'!$G2:$G501,"Vocational Education",'Federal Data'!$D2:$D501,"Nongrant")</f>
        <v>28000</v>
      </c>
      <c r="X102">
        <f>SUMIFS('Federal Data'!AI2:AI501,'Federal Data'!$G2:$G501,"Vocational Education",'Federal Data'!$D2:$D501,"Nongrant")</f>
        <v>36000</v>
      </c>
      <c r="Y102">
        <f>SUMIFS('Federal Data'!AJ2:AJ501,'Federal Data'!$G2:$G501,"Vocational Education",'Federal Data'!$D2:$D501,"Nongrant")</f>
        <v>35000</v>
      </c>
      <c r="Z102">
        <f>SUMIFS('Federal Data'!AK2:AK501,'Federal Data'!$G2:$G501,"Vocational Education",'Federal Data'!$D2:$D501,"Nongrant")</f>
        <v>36000</v>
      </c>
      <c r="AA102">
        <f>SUMIFS('Federal Data'!AL2:AL501,'Federal Data'!$G2:$G501,"Vocational Education",'Federal Data'!$D2:$D501,"Nongrant")</f>
        <v>37000</v>
      </c>
      <c r="AB102">
        <f>SUMIFS('Federal Data'!AM2:AM501,'Federal Data'!$G2:$G501,"Vocational Education",'Federal Data'!$D2:$D501,"Nongrant")</f>
        <v>29000</v>
      </c>
      <c r="AC102">
        <f>SUMIFS('Federal Data'!AN2:AN501,'Federal Data'!$G2:$G501,"Vocational Education",'Federal Data'!$D2:$D501,"Nongrant")</f>
        <v>29000</v>
      </c>
      <c r="AD102">
        <f>SUMIFS('Federal Data'!AO2:AO501,'Federal Data'!$G2:$G501,"Vocational Education",'Federal Data'!$D2:$D501,"Nongrant")</f>
        <v>24000</v>
      </c>
      <c r="AE102">
        <f>SUMIFS('Federal Data'!AP2:AP501,'Federal Data'!$G2:$G501,"Vocational Education",'Federal Data'!$D2:$D501,"Nongrant")</f>
        <v>29000</v>
      </c>
      <c r="AF102">
        <f>SUMIFS('Federal Data'!AQ2:AQ501,'Federal Data'!$G2:$G501,"Vocational Education",'Federal Data'!$D2:$D501,"Nongrant")</f>
        <v>22000</v>
      </c>
      <c r="AG102">
        <f>SUMIFS('Federal Data'!AR2:AR501,'Federal Data'!$G2:$G501,"Vocational Education",'Federal Data'!$D2:$D501,"Nongrant")</f>
        <v>22000</v>
      </c>
      <c r="AH102">
        <f>SUMIFS('Federal Data'!AS2:AS501,'Federal Data'!$G2:$G501,"Vocational Education",'Federal Data'!$D2:$D501,"Nongrant")</f>
        <v>20000</v>
      </c>
      <c r="AI102">
        <f>SUMIFS('Federal Data'!AT2:AT501,'Federal Data'!$G2:$G501,"Vocational Education",'Federal Data'!$D2:$D501,"Nongrant")</f>
        <v>17000</v>
      </c>
      <c r="AJ102">
        <f>SUMIFS('Federal Data'!AU2:AU501,'Federal Data'!$G2:$G501,"Vocational Education",'Federal Data'!$D2:$D501,"Nongrant")</f>
        <v>16000</v>
      </c>
      <c r="AK102">
        <f>SUMIFS('Federal Data'!AV2:AV501,'Federal Data'!$G2:$G501,"Vocational Education",'Federal Data'!$D2:$D501,"Nongrant")</f>
        <v>18000</v>
      </c>
    </row>
    <row r="103" spans="1:37">
      <c r="A103" s="5" t="s">
        <v>307</v>
      </c>
      <c r="B103">
        <f>SUMIFS('Federal Data'!M2:M501,'Federal Data'!$F2:$F501,"Education Outside the Classroom",'Federal Data'!$D2:$D501,"Nongrant")</f>
        <v>861838</v>
      </c>
      <c r="C103">
        <f>SUMIFS('Federal Data'!N2:N501,'Federal Data'!$F2:$F501,"Education Outside the Classroom",'Federal Data'!$D2:$D501,"Nongrant")</f>
        <v>889022</v>
      </c>
      <c r="D103">
        <f>SUMIFS('Federal Data'!O2:O501,'Federal Data'!$F2:$F501,"Education Outside the Classroom",'Federal Data'!$D2:$D501,"Nongrant")</f>
        <v>902614</v>
      </c>
      <c r="E103">
        <f>SUMIFS('Federal Data'!P2:P501,'Federal Data'!$F2:$F501,"Education Outside the Classroom",'Federal Data'!$D2:$D501,"Nongrant")</f>
        <v>841655</v>
      </c>
      <c r="F103">
        <f>SUMIFS('Federal Data'!Q2:Q501,'Federal Data'!$F2:$F501,"Education Outside the Classroom",'Federal Data'!$D2:$D501,"Nongrant")</f>
        <v>1066092</v>
      </c>
      <c r="G103">
        <f>SUMIFS('Federal Data'!R2:R501,'Federal Data'!$F2:$F501,"Education Outside the Classroom",'Federal Data'!$D2:$D501,"Nongrant")</f>
        <v>945703</v>
      </c>
      <c r="H103">
        <f>SUMIFS('Federal Data'!S2:S501,'Federal Data'!$F2:$F501,"Education Outside the Classroom",'Federal Data'!$D2:$D501,"Nongrant")</f>
        <v>947349</v>
      </c>
      <c r="I103">
        <f>SUMIFS('Federal Data'!T2:T501,'Federal Data'!$F2:$F501,"Education Outside the Classroom",'Federal Data'!$D2:$D501,"Nongrant")</f>
        <v>978456</v>
      </c>
      <c r="J103">
        <f>SUMIFS('Federal Data'!U2:U501,'Federal Data'!$F2:$F501,"Education Outside the Classroom",'Federal Data'!$D2:$D501,"Nongrant")</f>
        <v>1002364</v>
      </c>
      <c r="K103">
        <f>SUMIFS('Federal Data'!V2:V501,'Federal Data'!$F2:$F501,"Education Outside the Classroom",'Federal Data'!$D2:$D501,"Nongrant")</f>
        <v>1091624</v>
      </c>
      <c r="L103">
        <f>SUMIFS('Federal Data'!W2:W501,'Federal Data'!$F2:$F501,"Education Outside the Classroom",'Federal Data'!$D2:$D501,"Nongrant")</f>
        <v>1157145</v>
      </c>
      <c r="M103">
        <f>SUMIFS('Federal Data'!X2:X501,'Federal Data'!$F2:$F501,"Education Outside the Classroom",'Federal Data'!$D2:$D501,"Nongrant")</f>
        <v>1280596</v>
      </c>
      <c r="N103">
        <f>SUMIFS('Federal Data'!Y2:Y501,'Federal Data'!$F2:$F501,"Education Outside the Classroom",'Federal Data'!$D2:$D501,"Nongrant")</f>
        <v>1672406</v>
      </c>
      <c r="O103">
        <f>SUMIFS('Federal Data'!Z2:Z501,'Federal Data'!$F2:$F501,"Education Outside the Classroom",'Federal Data'!$D2:$D501,"Nongrant")</f>
        <v>1720917</v>
      </c>
      <c r="P103">
        <f>SUMIFS('Federal Data'!AA2:AA501,'Federal Data'!$F2:$F501,"Education Outside the Classroom",'Federal Data'!$D2:$D501,"Nongrant")</f>
        <v>1785988</v>
      </c>
      <c r="Q103">
        <f>SUMIFS('Federal Data'!AB2:AB501,'Federal Data'!$F2:$F501,"Education Outside the Classroom",'Federal Data'!$D2:$D501,"Nongrant")</f>
        <v>1825000</v>
      </c>
      <c r="R103">
        <f>SUMIFS('Federal Data'!AC2:AC501,'Federal Data'!$F2:$F501,"Education Outside the Classroom",'Federal Data'!$D2:$D501,"Nongrant")</f>
        <v>1874000</v>
      </c>
      <c r="S103">
        <f>SUMIFS('Federal Data'!AD2:AD501,'Federal Data'!$F2:$F501,"Education Outside the Classroom",'Federal Data'!$D2:$D501,"Nongrant")</f>
        <v>1808000</v>
      </c>
      <c r="T103">
        <f>SUMIFS('Federal Data'!AE2:AE501,'Federal Data'!$F2:$F501,"Education Outside the Classroom",'Federal Data'!$D2:$D501,"Nongrant")</f>
        <v>1864000</v>
      </c>
      <c r="U103">
        <f>SUMIFS('Federal Data'!AF2:AF501,'Federal Data'!$F2:$F501,"Education Outside the Classroom",'Federal Data'!$D2:$D501,"Nongrant")</f>
        <v>1924000</v>
      </c>
      <c r="V103">
        <f>SUMIFS('Federal Data'!AG2:AG501,'Federal Data'!$F2:$F501,"Education Outside the Classroom",'Federal Data'!$D2:$D501,"Nongrant")</f>
        <v>1978000</v>
      </c>
      <c r="W103">
        <f>SUMIFS('Federal Data'!AH2:AH501,'Federal Data'!$F2:$F501,"Education Outside the Classroom",'Federal Data'!$D2:$D501,"Nongrant")</f>
        <v>2036000</v>
      </c>
      <c r="X103">
        <f>SUMIFS('Federal Data'!AI2:AI501,'Federal Data'!$F2:$F501,"Education Outside the Classroom",'Federal Data'!$D2:$D501,"Nongrant")</f>
        <v>2223000</v>
      </c>
      <c r="Y103">
        <f>SUMIFS('Federal Data'!AJ2:AJ501,'Federal Data'!$F2:$F501,"Education Outside the Classroom",'Federal Data'!$D2:$D501,"Nongrant")</f>
        <v>2151000</v>
      </c>
      <c r="Z103">
        <f>SUMIFS('Federal Data'!AK2:AK501,'Federal Data'!$F2:$F501,"Education Outside the Classroom",'Federal Data'!$D2:$D501,"Nongrant")</f>
        <v>2262000</v>
      </c>
      <c r="AA103">
        <f>SUMIFS('Federal Data'!AL2:AL501,'Federal Data'!$F2:$F501,"Education Outside the Classroom",'Federal Data'!$D2:$D501,"Nongrant")</f>
        <v>2326000</v>
      </c>
      <c r="AB103">
        <f>SUMIFS('Federal Data'!AM2:AM501,'Federal Data'!$F2:$F501,"Education Outside the Classroom",'Federal Data'!$D2:$D501,"Nongrant")</f>
        <v>2236000</v>
      </c>
      <c r="AC103">
        <f>SUMIFS('Federal Data'!AN2:AN501,'Federal Data'!$F2:$F501,"Education Outside the Classroom",'Federal Data'!$D2:$D501,"Nongrant")</f>
        <v>2365000</v>
      </c>
      <c r="AD103">
        <f>SUMIFS('Federal Data'!AO2:AO501,'Federal Data'!$F2:$F501,"Education Outside the Classroom",'Federal Data'!$D2:$D501,"Nongrant")</f>
        <v>2411000</v>
      </c>
      <c r="AE103">
        <f>SUMIFS('Federal Data'!AP2:AP501,'Federal Data'!$F2:$F501,"Education Outside the Classroom",'Federal Data'!$D2:$D501,"Nongrant")</f>
        <v>2640000</v>
      </c>
      <c r="AF103">
        <f>SUMIFS('Federal Data'!AQ2:AQ501,'Federal Data'!$F2:$F501,"Education Outside the Classroom",'Federal Data'!$D2:$D501,"Nongrant")</f>
        <v>2771000</v>
      </c>
      <c r="AG103">
        <f>SUMIFS('Federal Data'!AR2:AR501,'Federal Data'!$F2:$F501,"Education Outside the Classroom",'Federal Data'!$D2:$D501,"Nongrant")</f>
        <v>2856000</v>
      </c>
      <c r="AH103">
        <f>SUMIFS('Federal Data'!AS2:AS501,'Federal Data'!$F2:$F501,"Education Outside the Classroom",'Federal Data'!$D2:$D501,"Nongrant")</f>
        <v>2864000</v>
      </c>
      <c r="AI103">
        <f>SUMIFS('Federal Data'!AT2:AT501,'Federal Data'!$F2:$F501,"Education Outside the Classroom",'Federal Data'!$D2:$D501,"Nongrant")</f>
        <v>2867000</v>
      </c>
      <c r="AJ103">
        <f>SUMIFS('Federal Data'!AU2:AU501,'Federal Data'!$F2:$F501,"Education Outside the Classroom",'Federal Data'!$D2:$D501,"Nongrant")</f>
        <v>2755000</v>
      </c>
      <c r="AK103">
        <f>SUMIFS('Federal Data'!AV2:AV501,'Federal Data'!$F2:$F501,"Education Outside the Classroom",'Federal Data'!$D2:$D501,"Nongrant")</f>
        <v>2752000</v>
      </c>
    </row>
    <row r="104" spans="1:37">
      <c r="A104" s="4" t="s">
        <v>159</v>
      </c>
      <c r="B104">
        <f>SUMIFS('Federal Data'!M2:M501,'Federal Data'!$F2:$F501,"Sustainability and Self-Sufficiency",'Federal Data'!$D2:$D501,"Nongrant")</f>
        <v>26534765</v>
      </c>
      <c r="C104">
        <f>SUMIFS('Federal Data'!N2:N501,'Federal Data'!$F2:$F501,"Sustainability and Self-Sufficiency",'Federal Data'!$D2:$D501,"Nongrant")</f>
        <v>33783762</v>
      </c>
      <c r="D104">
        <f>SUMIFS('Federal Data'!O2:O501,'Federal Data'!$F2:$F501,"Sustainability and Self-Sufficiency",'Federal Data'!$D2:$D501,"Nongrant")</f>
        <v>36243830</v>
      </c>
      <c r="E104">
        <f>SUMIFS('Federal Data'!P2:P501,'Federal Data'!$F2:$F501,"Sustainability and Self-Sufficiency",'Federal Data'!$D2:$D501,"Nongrant")</f>
        <v>38637104</v>
      </c>
      <c r="F104">
        <f>SUMIFS('Federal Data'!Q2:Q501,'Federal Data'!$F2:$F501,"Sustainability and Self-Sufficiency",'Federal Data'!$D2:$D501,"Nongrant")</f>
        <v>27200363</v>
      </c>
      <c r="G104">
        <f>SUMIFS('Federal Data'!R2:R501,'Federal Data'!$F2:$F501,"Sustainability and Self-Sufficiency",'Federal Data'!$D2:$D501,"Nongrant")</f>
        <v>37539320</v>
      </c>
      <c r="H104">
        <f>SUMIFS('Federal Data'!S2:S501,'Federal Data'!$F2:$F501,"Sustainability and Self-Sufficiency",'Federal Data'!$D2:$D501,"Nongrant")</f>
        <v>43055724</v>
      </c>
      <c r="I104">
        <f>SUMIFS('Federal Data'!T2:T501,'Federal Data'!$F2:$F501,"Sustainability and Self-Sufficiency",'Federal Data'!$D2:$D501,"Nongrant")</f>
        <v>37411597</v>
      </c>
      <c r="J104">
        <f>SUMIFS('Federal Data'!U2:U501,'Federal Data'!$F2:$F501,"Sustainability and Self-Sufficiency",'Federal Data'!$D2:$D501,"Nongrant")</f>
        <v>27867076</v>
      </c>
      <c r="K104">
        <f>SUMIFS('Federal Data'!V2:V501,'Federal Data'!$F2:$F501,"Sustainability and Self-Sufficiency",'Federal Data'!$D2:$D501,"Nongrant")</f>
        <v>30452425</v>
      </c>
      <c r="L104">
        <f>SUMIFS('Federal Data'!W2:W501,'Federal Data'!$F2:$F501,"Sustainability and Self-Sufficiency",'Federal Data'!$D2:$D501,"Nongrant")</f>
        <v>26834035</v>
      </c>
      <c r="M104">
        <f>SUMIFS('Federal Data'!X2:X501,'Federal Data'!$F2:$F501,"Sustainability and Self-Sufficiency",'Federal Data'!$D2:$D501,"Nongrant")</f>
        <v>30433451</v>
      </c>
      <c r="N104">
        <f>SUMIFS('Federal Data'!Y2:Y501,'Federal Data'!$F2:$F501,"Sustainability and Self-Sufficiency",'Federal Data'!$D2:$D501,"Nongrant")</f>
        <v>34172039</v>
      </c>
      <c r="O104">
        <f>SUMIFS('Federal Data'!Z2:Z501,'Federal Data'!$F2:$F501,"Sustainability and Self-Sufficiency",'Federal Data'!$D2:$D501,"Nongrant")</f>
        <v>39583301</v>
      </c>
      <c r="P104">
        <f>SUMIFS('Federal Data'!AA2:AA501,'Federal Data'!$F2:$F501,"Sustainability and Self-Sufficiency",'Federal Data'!$D2:$D501,"Nongrant")</f>
        <v>36195828</v>
      </c>
      <c r="Q104">
        <f>SUMIFS('Federal Data'!AB2:AB501,'Federal Data'!$F2:$F501,"Sustainability and Self-Sufficiency",'Federal Data'!$D2:$D501,"Nongrant")</f>
        <v>31501000</v>
      </c>
      <c r="R104">
        <f>SUMIFS('Federal Data'!AC2:AC501,'Federal Data'!$F2:$F501,"Sustainability and Self-Sufficiency",'Federal Data'!$D2:$D501,"Nongrant")</f>
        <v>28561000</v>
      </c>
      <c r="S104">
        <f>SUMIFS('Federal Data'!AD2:AD501,'Federal Data'!$F2:$F501,"Sustainability and Self-Sufficiency",'Federal Data'!$D2:$D501,"Nongrant")</f>
        <v>26600000</v>
      </c>
      <c r="T104">
        <f>SUMIFS('Federal Data'!AE2:AE501,'Federal Data'!$F2:$F501,"Sustainability and Self-Sufficiency",'Federal Data'!$D2:$D501,"Nongrant")</f>
        <v>30856000</v>
      </c>
      <c r="U104">
        <f>SUMIFS('Federal Data'!AF2:AF501,'Federal Data'!$F2:$F501,"Sustainability and Self-Sufficiency",'Federal Data'!$D2:$D501,"Nongrant")</f>
        <v>42577000</v>
      </c>
      <c r="V104">
        <f>SUMIFS('Federal Data'!AG2:AG501,'Federal Data'!$F2:$F501,"Sustainability and Self-Sufficiency",'Federal Data'!$D2:$D501,"Nongrant")</f>
        <v>54977000</v>
      </c>
      <c r="W104">
        <f>SUMIFS('Federal Data'!AH2:AH501,'Federal Data'!$F2:$F501,"Sustainability and Self-Sufficiency",'Federal Data'!$D2:$D501,"Nongrant")</f>
        <v>45644000</v>
      </c>
      <c r="X104">
        <f>SUMIFS('Federal Data'!AI2:AI501,'Federal Data'!$F2:$F501,"Sustainability and Self-Sufficiency",'Federal Data'!$D2:$D501,"Nongrant")</f>
        <v>45500000</v>
      </c>
      <c r="Y104">
        <f>SUMIFS('Federal Data'!AJ2:AJ501,'Federal Data'!$F2:$F501,"Sustainability and Self-Sufficiency",'Federal Data'!$D2:$D501,"Nongrant")</f>
        <v>44454000</v>
      </c>
      <c r="Z104">
        <f>SUMIFS('Federal Data'!AK2:AK501,'Federal Data'!$F2:$F501,"Sustainability and Self-Sufficiency",'Federal Data'!$D2:$D501,"Nongrant")</f>
        <v>38365000</v>
      </c>
      <c r="AA104">
        <f>SUMIFS('Federal Data'!AL2:AL501,'Federal Data'!$F2:$F501,"Sustainability and Self-Sufficiency",'Federal Data'!$D2:$D501,"Nongrant")</f>
        <v>47551000</v>
      </c>
      <c r="AB104">
        <f>SUMIFS('Federal Data'!AM2:AM501,'Federal Data'!$F2:$F501,"Sustainability and Self-Sufficiency",'Federal Data'!$D2:$D501,"Nongrant")</f>
        <v>52295000</v>
      </c>
      <c r="AC104">
        <f>SUMIFS('Federal Data'!AN2:AN501,'Federal Data'!$F2:$F501,"Sustainability and Self-Sufficiency",'Federal Data'!$D2:$D501,"Nongrant")</f>
        <v>41000000</v>
      </c>
      <c r="AD104">
        <f>SUMIFS('Federal Data'!AO2:AO501,'Federal Data'!$F2:$F501,"Sustainability and Self-Sufficiency",'Federal Data'!$D2:$D501,"Nongrant")</f>
        <v>43553000</v>
      </c>
      <c r="AE104">
        <f>SUMIFS('Federal Data'!AP2:AP501,'Federal Data'!$F2:$F501,"Sustainability and Self-Sufficiency",'Federal Data'!$D2:$D501,"Nongrant")</f>
        <v>57152000</v>
      </c>
      <c r="AF104">
        <f>SUMIFS('Federal Data'!AQ2:AQ501,'Federal Data'!$F2:$F501,"Sustainability and Self-Sufficiency",'Federal Data'!$D2:$D501,"Nongrant")</f>
        <v>64039000</v>
      </c>
      <c r="AG104">
        <f>SUMIFS('Federal Data'!AR2:AR501,'Federal Data'!$F2:$F501,"Sustainability and Self-Sufficiency",'Federal Data'!$D2:$D501,"Nongrant")</f>
        <v>63981000</v>
      </c>
      <c r="AH104">
        <f>SUMIFS('Federal Data'!AS2:AS501,'Federal Data'!$F2:$F501,"Sustainability and Self-Sufficiency",'Federal Data'!$D2:$D501,"Nongrant")</f>
        <v>61631000</v>
      </c>
      <c r="AI104">
        <f>SUMIFS('Federal Data'!AT2:AT501,'Federal Data'!$F2:$F501,"Sustainability and Self-Sufficiency",'Federal Data'!$D2:$D501,"Nongrant")</f>
        <v>69952000</v>
      </c>
      <c r="AJ104">
        <f>SUMIFS('Federal Data'!AU2:AU501,'Federal Data'!$F2:$F501,"Sustainability and Self-Sufficiency",'Federal Data'!$D2:$D501,"Nongrant")</f>
        <v>57673000</v>
      </c>
      <c r="AK104">
        <f>SUMIFS('Federal Data'!AV2:AV501,'Federal Data'!$F2:$F501,"Sustainability and Self-Sufficiency",'Federal Data'!$D2:$D501,"Nongrant")</f>
        <v>53053000</v>
      </c>
    </row>
    <row r="105" spans="1:37">
      <c r="A105" s="5" t="s">
        <v>297</v>
      </c>
      <c r="B105">
        <f>SUMIFS('Federal Data'!M2:M501,'Federal Data'!$G2:$G501,"Energy",'Federal Data'!$D2:$D501,"Nongrant")</f>
        <v>9815301</v>
      </c>
      <c r="C105">
        <f>SUMIFS('Federal Data'!N2:N501,'Federal Data'!$G2:$G501,"Energy",'Federal Data'!$D2:$D501,"Nongrant")</f>
        <v>14710647</v>
      </c>
      <c r="D105">
        <f>SUMIFS('Federal Data'!O2:O501,'Federal Data'!$G2:$G501,"Energy",'Federal Data'!$D2:$D501,"Nongrant")</f>
        <v>13209335</v>
      </c>
      <c r="E105">
        <f>SUMIFS('Federal Data'!P2:P501,'Federal Data'!$G2:$G501,"Energy",'Federal Data'!$D2:$D501,"Nongrant")</f>
        <v>9031019</v>
      </c>
      <c r="F105">
        <f>SUMIFS('Federal Data'!Q2:Q501,'Federal Data'!$G2:$G501,"Energy",'Federal Data'!$D2:$D501,"Nongrant")</f>
        <v>6705508</v>
      </c>
      <c r="G105">
        <f>SUMIFS('Federal Data'!R2:R501,'Federal Data'!$G2:$G501,"Energy",'Federal Data'!$D2:$D501,"Nongrant")</f>
        <v>5219980</v>
      </c>
      <c r="H105">
        <f>SUMIFS('Federal Data'!S2:S501,'Federal Data'!$G2:$G501,"Energy",'Federal Data'!$D2:$D501,"Nongrant")</f>
        <v>4273601</v>
      </c>
      <c r="I105">
        <f>SUMIFS('Federal Data'!T2:T501,'Federal Data'!$G2:$G501,"Energy",'Federal Data'!$D2:$D501,"Nongrant")</f>
        <v>3729181</v>
      </c>
      <c r="J105">
        <f>SUMIFS('Federal Data'!U2:U501,'Federal Data'!$G2:$G501,"Energy",'Federal Data'!$D2:$D501,"Nongrant")</f>
        <v>1936031</v>
      </c>
      <c r="K105">
        <f>SUMIFS('Federal Data'!V2:V501,'Federal Data'!$G2:$G501,"Energy",'Federal Data'!$D2:$D501,"Nongrant")</f>
        <v>2379775</v>
      </c>
      <c r="L105">
        <f>SUMIFS('Federal Data'!W2:W501,'Federal Data'!$G2:$G501,"Energy",'Federal Data'!$D2:$D501,"Nongrant")</f>
        <v>2977794</v>
      </c>
      <c r="M105">
        <f>SUMIFS('Federal Data'!X2:X501,'Federal Data'!$G2:$G501,"Energy",'Federal Data'!$D2:$D501,"Nongrant")</f>
        <v>2085801</v>
      </c>
      <c r="N105">
        <f>SUMIFS('Federal Data'!Y2:Y501,'Federal Data'!$G2:$G501,"Energy",'Federal Data'!$D2:$D501,"Nongrant")</f>
        <v>4146112</v>
      </c>
      <c r="O105">
        <f>SUMIFS('Federal Data'!Z2:Z501,'Federal Data'!$G2:$G501,"Energy",'Federal Data'!$D2:$D501,"Nongrant")</f>
        <v>4002648</v>
      </c>
      <c r="P105">
        <f>SUMIFS('Federal Data'!AA2:AA501,'Federal Data'!$G2:$G501,"Energy",'Federal Data'!$D2:$D501,"Nongrant")</f>
        <v>4921531</v>
      </c>
      <c r="Q105">
        <f>SUMIFS('Federal Data'!AB2:AB501,'Federal Data'!$G2:$G501,"Energy",'Federal Data'!$D2:$D501,"Nongrant")</f>
        <v>4654000</v>
      </c>
      <c r="R105">
        <f>SUMIFS('Federal Data'!AC2:AC501,'Federal Data'!$G2:$G501,"Energy",'Federal Data'!$D2:$D501,"Nongrant")</f>
        <v>2465000</v>
      </c>
      <c r="S105">
        <f>SUMIFS('Federal Data'!AD2:AD501,'Federal Data'!$G2:$G501,"Energy",'Federal Data'!$D2:$D501,"Nongrant")</f>
        <v>1147000</v>
      </c>
      <c r="T105">
        <f>SUMIFS('Federal Data'!AE2:AE501,'Federal Data'!$G2:$G501,"Energy",'Federal Data'!$D2:$D501,"Nongrant")</f>
        <v>931000</v>
      </c>
      <c r="U105">
        <f>SUMIFS('Federal Data'!AF2:AF501,'Federal Data'!$G2:$G501,"Energy",'Federal Data'!$D2:$D501,"Nongrant")</f>
        <v>500000</v>
      </c>
      <c r="V105">
        <f>SUMIFS('Federal Data'!AG2:AG501,'Federal Data'!$G2:$G501,"Energy",'Federal Data'!$D2:$D501,"Nongrant")</f>
        <v>-1154000</v>
      </c>
      <c r="W105">
        <f>SUMIFS('Federal Data'!AH2:AH501,'Federal Data'!$G2:$G501,"Energy",'Federal Data'!$D2:$D501,"Nongrant")</f>
        <v>-475000</v>
      </c>
      <c r="X105">
        <f>SUMIFS('Federal Data'!AI2:AI501,'Federal Data'!$G2:$G501,"Energy",'Federal Data'!$D2:$D501,"Nongrant")</f>
        <v>-50000</v>
      </c>
      <c r="Y105">
        <f>SUMIFS('Federal Data'!AJ2:AJ501,'Federal Data'!$G2:$G501,"Energy",'Federal Data'!$D2:$D501,"Nongrant")</f>
        <v>-1312000</v>
      </c>
      <c r="Z105">
        <f>SUMIFS('Federal Data'!AK2:AK501,'Federal Data'!$G2:$G501,"Energy",'Federal Data'!$D2:$D501,"Nongrant")</f>
        <v>-755000</v>
      </c>
      <c r="AA105">
        <f>SUMIFS('Federal Data'!AL2:AL501,'Federal Data'!$G2:$G501,"Energy",'Federal Data'!$D2:$D501,"Nongrant")</f>
        <v>-196000</v>
      </c>
      <c r="AB105">
        <f>SUMIFS('Federal Data'!AM2:AM501,'Federal Data'!$G2:$G501,"Energy",'Federal Data'!$D2:$D501,"Nongrant")</f>
        <v>134000</v>
      </c>
      <c r="AC105">
        <f>SUMIFS('Federal Data'!AN2:AN501,'Federal Data'!$G2:$G501,"Energy",'Federal Data'!$D2:$D501,"Nongrant")</f>
        <v>-1519000</v>
      </c>
      <c r="AD105">
        <f>SUMIFS('Federal Data'!AO2:AO501,'Federal Data'!$G2:$G501,"Energy",'Federal Data'!$D2:$D501,"Nongrant")</f>
        <v>107000</v>
      </c>
      <c r="AE105">
        <f>SUMIFS('Federal Data'!AP2:AP501,'Federal Data'!$G2:$G501,"Energy",'Federal Data'!$D2:$D501,"Nongrant")</f>
        <v>3756000</v>
      </c>
      <c r="AF105">
        <f>SUMIFS('Federal Data'!AQ2:AQ501,'Federal Data'!$G2:$G501,"Energy",'Federal Data'!$D2:$D501,"Nongrant")</f>
        <v>8962000</v>
      </c>
      <c r="AG105">
        <f>SUMIFS('Federal Data'!AR2:AR501,'Federal Data'!$G2:$G501,"Energy",'Federal Data'!$D2:$D501,"Nongrant")</f>
        <v>7046000</v>
      </c>
      <c r="AH105">
        <f>SUMIFS('Federal Data'!AS2:AS501,'Federal Data'!$G2:$G501,"Energy",'Federal Data'!$D2:$D501,"Nongrant")</f>
        <v>10635000</v>
      </c>
      <c r="AI105">
        <f>SUMIFS('Federal Data'!AT2:AT501,'Federal Data'!$G2:$G501,"Energy",'Federal Data'!$D2:$D501,"Nongrant")</f>
        <v>10106000</v>
      </c>
      <c r="AJ105">
        <f>SUMIFS('Federal Data'!AU2:AU501,'Federal Data'!$G2:$G501,"Energy",'Federal Data'!$D2:$D501,"Nongrant")</f>
        <v>4511000</v>
      </c>
      <c r="AK105">
        <f>SUMIFS('Federal Data'!AV2:AV501,'Federal Data'!$G2:$G501,"Energy",'Federal Data'!$D2:$D501,"Nongrant")</f>
        <v>6261000</v>
      </c>
    </row>
    <row r="106" spans="1:37">
      <c r="A106" s="5" t="s">
        <v>51</v>
      </c>
      <c r="B106">
        <f>SUMIFS('Federal Data'!M2:M501,'Federal Data'!$G2:$G501,"Environment and Natural Resources",'Federal Data'!$D2:$D501,"Nongrant")</f>
        <v>8514902</v>
      </c>
      <c r="C106">
        <f>SUMIFS('Federal Data'!N2:N501,'Federal Data'!$G2:$G501,"Environment and Natural Resources",'Federal Data'!$D2:$D501,"Nongrant")</f>
        <v>8661681</v>
      </c>
      <c r="D106">
        <f>SUMIFS('Federal Data'!O2:O501,'Federal Data'!$G2:$G501,"Environment and Natural Resources",'Federal Data'!$D2:$D501,"Nongrant")</f>
        <v>8153892</v>
      </c>
      <c r="E106">
        <f>SUMIFS('Federal Data'!P2:P501,'Federal Data'!$G2:$G501,"Environment and Natural Resources",'Federal Data'!$D2:$D501,"Nongrant")</f>
        <v>8614662</v>
      </c>
      <c r="F106">
        <f>SUMIFS('Federal Data'!Q2:Q501,'Federal Data'!$G2:$G501,"Environment and Natural Resources",'Federal Data'!$D2:$D501,"Nongrant")</f>
        <v>8800674</v>
      </c>
      <c r="G106">
        <f>SUMIFS('Federal Data'!R2:R501,'Federal Data'!$G2:$G501,"Environment and Natural Resources",'Federal Data'!$D2:$D501,"Nongrant")</f>
        <v>9263122</v>
      </c>
      <c r="H106">
        <f>SUMIFS('Federal Data'!S2:S501,'Federal Data'!$G2:$G501,"Environment and Natural Resources",'Federal Data'!$D2:$D501,"Nongrant")</f>
        <v>9345325</v>
      </c>
      <c r="I106">
        <f>SUMIFS('Federal Data'!T2:T501,'Federal Data'!$G2:$G501,"Environment and Natural Resources",'Federal Data'!$D2:$D501,"Nongrant")</f>
        <v>9262032</v>
      </c>
      <c r="J106">
        <f>SUMIFS('Federal Data'!U2:U501,'Federal Data'!$G2:$G501,"Environment and Natural Resources",'Federal Data'!$D2:$D501,"Nongrant")</f>
        <v>10863132</v>
      </c>
      <c r="K106">
        <f>SUMIFS('Federal Data'!V2:V501,'Federal Data'!$G2:$G501,"Environment and Natural Resources",'Federal Data'!$D2:$D501,"Nongrant")</f>
        <v>12572700</v>
      </c>
      <c r="L106">
        <f>SUMIFS('Federal Data'!W2:W501,'Federal Data'!$G2:$G501,"Environment and Natural Resources",'Federal Data'!$D2:$D501,"Nongrant")</f>
        <v>13336949</v>
      </c>
      <c r="M106">
        <f>SUMIFS('Federal Data'!X2:X501,'Federal Data'!$G2:$G501,"Environment and Natural Resources",'Federal Data'!$D2:$D501,"Nongrant")</f>
        <v>14513410</v>
      </c>
      <c r="N106">
        <f>SUMIFS('Federal Data'!Y2:Y501,'Federal Data'!$G2:$G501,"Environment and Natural Resources",'Federal Data'!$D2:$D501,"Nongrant")</f>
        <v>16080864</v>
      </c>
      <c r="O106">
        <f>SUMIFS('Federal Data'!Z2:Z501,'Federal Data'!$G2:$G501,"Environment and Natural Resources",'Federal Data'!$D2:$D501,"Nongrant")</f>
        <v>16453007</v>
      </c>
      <c r="P106">
        <f>SUMIFS('Federal Data'!AA2:AA501,'Federal Data'!$G2:$G501,"Environment and Natural Resources",'Federal Data'!$D2:$D501,"Nongrant")</f>
        <v>17296943</v>
      </c>
      <c r="Q106">
        <f>SUMIFS('Federal Data'!AB2:AB501,'Federal Data'!$G2:$G501,"Environment and Natural Resources",'Federal Data'!$D2:$D501,"Nongrant")</f>
        <v>17956000</v>
      </c>
      <c r="R106">
        <f>SUMIFS('Federal Data'!AC2:AC501,'Federal Data'!$G2:$G501,"Environment and Natural Resources",'Federal Data'!$D2:$D501,"Nongrant")</f>
        <v>17693000</v>
      </c>
      <c r="S106">
        <f>SUMIFS('Federal Data'!AD2:AD501,'Federal Data'!$G2:$G501,"Environment and Natural Resources",'Federal Data'!$D2:$D501,"Nongrant")</f>
        <v>15422000</v>
      </c>
      <c r="T106">
        <f>SUMIFS('Federal Data'!AE2:AE501,'Federal Data'!$G2:$G501,"Environment and Natural Resources",'Federal Data'!$D2:$D501,"Nongrant")</f>
        <v>16626000</v>
      </c>
      <c r="U106">
        <f>SUMIFS('Federal Data'!AF2:AF501,'Federal Data'!$G2:$G501,"Environment and Natural Resources",'Federal Data'!$D2:$D501,"Nongrant")</f>
        <v>18101000</v>
      </c>
      <c r="V106">
        <f>SUMIFS('Federal Data'!AG2:AG501,'Federal Data'!$G2:$G501,"Environment and Natural Resources",'Federal Data'!$D2:$D501,"Nongrant")</f>
        <v>18623000</v>
      </c>
      <c r="W106">
        <f>SUMIFS('Federal Data'!AH2:AH501,'Federal Data'!$G2:$G501,"Environment and Natural Resources",'Federal Data'!$D2:$D501,"Nongrant")</f>
        <v>18676000</v>
      </c>
      <c r="X106">
        <f>SUMIFS('Federal Data'!AI2:AI501,'Federal Data'!$G2:$G501,"Environment and Natural Resources",'Federal Data'!$D2:$D501,"Nongrant")</f>
        <v>22262000</v>
      </c>
      <c r="Y106">
        <f>SUMIFS('Federal Data'!AJ2:AJ501,'Federal Data'!$G2:$G501,"Environment and Natural Resources",'Federal Data'!$D2:$D501,"Nongrant")</f>
        <v>22096000</v>
      </c>
      <c r="Z106">
        <f>SUMIFS('Federal Data'!AK2:AK501,'Federal Data'!$G2:$G501,"Environment and Natural Resources",'Federal Data'!$D2:$D501,"Nongrant")</f>
        <v>22777000</v>
      </c>
      <c r="AA106">
        <f>SUMIFS('Federal Data'!AL2:AL501,'Federal Data'!$G2:$G501,"Environment and Natural Resources",'Federal Data'!$D2:$D501,"Nongrant")</f>
        <v>20264000</v>
      </c>
      <c r="AB106">
        <f>SUMIFS('Federal Data'!AM2:AM501,'Federal Data'!$G2:$G501,"Environment and Natural Resources",'Federal Data'!$D2:$D501,"Nongrant")</f>
        <v>25033000</v>
      </c>
      <c r="AC106">
        <f>SUMIFS('Federal Data'!AN2:AN501,'Federal Data'!$G2:$G501,"Environment and Natural Resources",'Federal Data'!$D2:$D501,"Nongrant")</f>
        <v>23682000</v>
      </c>
      <c r="AD106">
        <f>SUMIFS('Federal Data'!AO2:AO501,'Federal Data'!$G2:$G501,"Environment and Natural Resources",'Federal Data'!$D2:$D501,"Nongrant")</f>
        <v>23916000</v>
      </c>
      <c r="AE106">
        <f>SUMIFS('Federal Data'!AP2:AP501,'Federal Data'!$G2:$G501,"Environment and Natural Resources",'Federal Data'!$D2:$D501,"Nongrant")</f>
        <v>30170000</v>
      </c>
      <c r="AF106">
        <f>SUMIFS('Federal Data'!AQ2:AQ501,'Federal Data'!$G2:$G501,"Environment and Natural Resources",'Federal Data'!$D2:$D501,"Nongrant")</f>
        <v>32705000</v>
      </c>
      <c r="AG106">
        <f>SUMIFS('Federal Data'!AR2:AR501,'Federal Data'!$G2:$G501,"Environment and Natural Resources",'Federal Data'!$D2:$D501,"Nongrant")</f>
        <v>35292000</v>
      </c>
      <c r="AH106">
        <f>SUMIFS('Federal Data'!AS2:AS501,'Federal Data'!$G2:$G501,"Environment and Natural Resources",'Federal Data'!$D2:$D501,"Nongrant")</f>
        <v>31915000</v>
      </c>
      <c r="AI106">
        <f>SUMIFS('Federal Data'!AT2:AT501,'Federal Data'!$G2:$G501,"Environment and Natural Resources",'Federal Data'!$D2:$D501,"Nongrant")</f>
        <v>28906000</v>
      </c>
      <c r="AJ106">
        <f>SUMIFS('Federal Data'!AU2:AU501,'Federal Data'!$G2:$G501,"Environment and Natural Resources",'Federal Data'!$D2:$D501,"Nongrant")</f>
        <v>27741000</v>
      </c>
      <c r="AK106">
        <f>SUMIFS('Federal Data'!AV2:AV501,'Federal Data'!$G2:$G501,"Environment and Natural Resources",'Federal Data'!$D2:$D501,"Nongrant")</f>
        <v>27269000</v>
      </c>
    </row>
    <row r="107" spans="1:37">
      <c r="A107" s="5" t="s">
        <v>50</v>
      </c>
      <c r="B107">
        <f>SUMIFS('Federal Data'!M2:M501,'Federal Data'!$G2:$G501,"Agriculture",'Federal Data'!$D2:$D501,"Nongrant")</f>
        <v>8204562</v>
      </c>
      <c r="C107">
        <f>SUMIFS('Federal Data'!N2:N501,'Federal Data'!$G2:$G501,"Agriculture",'Federal Data'!$D2:$D501,"Nongrant")</f>
        <v>10411434</v>
      </c>
      <c r="D107">
        <f>SUMIFS('Federal Data'!O2:O501,'Federal Data'!$G2:$G501,"Agriculture",'Federal Data'!$D2:$D501,"Nongrant")</f>
        <v>14880603</v>
      </c>
      <c r="E107">
        <f>SUMIFS('Federal Data'!P2:P501,'Federal Data'!$G2:$G501,"Agriculture",'Federal Data'!$D2:$D501,"Nongrant")</f>
        <v>20991423</v>
      </c>
      <c r="F107">
        <f>SUMIFS('Federal Data'!Q2:Q501,'Federal Data'!$G2:$G501,"Agriculture",'Federal Data'!$D2:$D501,"Nongrant")</f>
        <v>11694181</v>
      </c>
      <c r="G107">
        <f>SUMIFS('Federal Data'!R2:R501,'Federal Data'!$G2:$G501,"Agriculture",'Federal Data'!$D2:$D501,"Nongrant")</f>
        <v>23056218</v>
      </c>
      <c r="H107">
        <f>SUMIFS('Federal Data'!S2:S501,'Federal Data'!$G2:$G501,"Agriculture",'Federal Data'!$D2:$D501,"Nongrant")</f>
        <v>29436798</v>
      </c>
      <c r="I107">
        <f>SUMIFS('Federal Data'!T2:T501,'Federal Data'!$G2:$G501,"Agriculture",'Federal Data'!$D2:$D501,"Nongrant")</f>
        <v>24420384</v>
      </c>
      <c r="J107">
        <f>SUMIFS('Federal Data'!U2:U501,'Federal Data'!$G2:$G501,"Agriculture",'Federal Data'!$D2:$D501,"Nongrant")</f>
        <v>15067913</v>
      </c>
      <c r="K107">
        <f>SUMIFS('Federal Data'!V2:V501,'Federal Data'!$G2:$G501,"Agriculture",'Federal Data'!$D2:$D501,"Nongrant")</f>
        <v>15499950</v>
      </c>
      <c r="L107">
        <f>SUMIFS('Federal Data'!W2:W501,'Federal Data'!$G2:$G501,"Agriculture",'Federal Data'!$D2:$D501,"Nongrant")</f>
        <v>10519292</v>
      </c>
      <c r="M107">
        <f>SUMIFS('Federal Data'!X2:X501,'Federal Data'!$G2:$G501,"Agriculture",'Federal Data'!$D2:$D501,"Nongrant")</f>
        <v>13834240</v>
      </c>
      <c r="N107">
        <f>SUMIFS('Federal Data'!Y2:Y501,'Federal Data'!$G2:$G501,"Agriculture",'Federal Data'!$D2:$D501,"Nongrant")</f>
        <v>13945063</v>
      </c>
      <c r="O107">
        <f>SUMIFS('Federal Data'!Z2:Z501,'Federal Data'!$G2:$G501,"Agriculture",'Federal Data'!$D2:$D501,"Nongrant")</f>
        <v>19127646</v>
      </c>
      <c r="P107">
        <f>SUMIFS('Federal Data'!AA2:AA501,'Federal Data'!$G2:$G501,"Agriculture",'Federal Data'!$D2:$D501,"Nongrant")</f>
        <v>13977354</v>
      </c>
      <c r="Q107">
        <f>SUMIFS('Federal Data'!AB2:AB501,'Federal Data'!$G2:$G501,"Agriculture",'Federal Data'!$D2:$D501,"Nongrant")</f>
        <v>8891000</v>
      </c>
      <c r="R107">
        <f>SUMIFS('Federal Data'!AC2:AC501,'Federal Data'!$G2:$G501,"Agriculture",'Federal Data'!$D2:$D501,"Nongrant")</f>
        <v>8403000</v>
      </c>
      <c r="S107">
        <f>SUMIFS('Federal Data'!AD2:AD501,'Federal Data'!$G2:$G501,"Agriculture",'Federal Data'!$D2:$D501,"Nongrant")</f>
        <v>10031000</v>
      </c>
      <c r="T107">
        <f>SUMIFS('Federal Data'!AE2:AE501,'Federal Data'!$G2:$G501,"Agriculture",'Federal Data'!$D2:$D501,"Nongrant")</f>
        <v>13299000</v>
      </c>
      <c r="U107">
        <f>SUMIFS('Federal Data'!AF2:AF501,'Federal Data'!$G2:$G501,"Agriculture",'Federal Data'!$D2:$D501,"Nongrant")</f>
        <v>23976000</v>
      </c>
      <c r="V107">
        <f>SUMIFS('Federal Data'!AG2:AG501,'Federal Data'!$G2:$G501,"Agriculture",'Federal Data'!$D2:$D501,"Nongrant")</f>
        <v>37508000</v>
      </c>
      <c r="W107">
        <f>SUMIFS('Federal Data'!AH2:AH501,'Federal Data'!$G2:$G501,"Agriculture",'Federal Data'!$D2:$D501,"Nongrant")</f>
        <v>27443000</v>
      </c>
      <c r="X107">
        <f>SUMIFS('Federal Data'!AI2:AI501,'Federal Data'!$G2:$G501,"Agriculture",'Federal Data'!$D2:$D501,"Nongrant")</f>
        <v>23288000</v>
      </c>
      <c r="Y107">
        <f>SUMIFS('Federal Data'!AJ2:AJ501,'Federal Data'!$G2:$G501,"Agriculture",'Federal Data'!$D2:$D501,"Nongrant")</f>
        <v>23670000</v>
      </c>
      <c r="Z107">
        <f>SUMIFS('Federal Data'!AK2:AK501,'Federal Data'!$G2:$G501,"Agriculture",'Federal Data'!$D2:$D501,"Nongrant")</f>
        <v>16343000</v>
      </c>
      <c r="AA107">
        <f>SUMIFS('Federal Data'!AL2:AL501,'Federal Data'!$G2:$G501,"Agriculture",'Federal Data'!$D2:$D501,"Nongrant")</f>
        <v>27483000</v>
      </c>
      <c r="AB107">
        <f>SUMIFS('Federal Data'!AM2:AM501,'Federal Data'!$G2:$G501,"Agriculture",'Federal Data'!$D2:$D501,"Nongrant")</f>
        <v>27128000</v>
      </c>
      <c r="AC107">
        <f>SUMIFS('Federal Data'!AN2:AN501,'Federal Data'!$G2:$G501,"Agriculture",'Federal Data'!$D2:$D501,"Nongrant")</f>
        <v>18837000</v>
      </c>
      <c r="AD107">
        <f>SUMIFS('Federal Data'!AO2:AO501,'Federal Data'!$G2:$G501,"Agriculture",'Federal Data'!$D2:$D501,"Nongrant")</f>
        <v>19530000</v>
      </c>
      <c r="AE107">
        <f>SUMIFS('Federal Data'!AP2:AP501,'Federal Data'!$G2:$G501,"Agriculture",'Federal Data'!$D2:$D501,"Nongrant")</f>
        <v>23226000</v>
      </c>
      <c r="AF107">
        <f>SUMIFS('Federal Data'!AQ2:AQ501,'Federal Data'!$G2:$G501,"Agriculture",'Federal Data'!$D2:$D501,"Nongrant")</f>
        <v>22372000</v>
      </c>
      <c r="AG107">
        <f>SUMIFS('Federal Data'!AR2:AR501,'Federal Data'!$G2:$G501,"Agriculture",'Federal Data'!$D2:$D501,"Nongrant")</f>
        <v>21643000</v>
      </c>
      <c r="AH107">
        <f>SUMIFS('Federal Data'!AS2:AS501,'Federal Data'!$G2:$G501,"Agriculture",'Federal Data'!$D2:$D501,"Nongrant")</f>
        <v>19081000</v>
      </c>
      <c r="AI107">
        <f>SUMIFS('Federal Data'!AT2:AT501,'Federal Data'!$G2:$G501,"Agriculture",'Federal Data'!$D2:$D501,"Nongrant")</f>
        <v>30940000</v>
      </c>
      <c r="AJ107">
        <f>SUMIFS('Federal Data'!AU2:AU501,'Federal Data'!$G2:$G501,"Agriculture",'Federal Data'!$D2:$D501,"Nongrant")</f>
        <v>25421000</v>
      </c>
      <c r="AK107">
        <f>SUMIFS('Federal Data'!AV2:AV501,'Federal Data'!$G2:$G501,"Agriculture",'Federal Data'!$D2:$D501,"Nongrant")</f>
        <v>19523000</v>
      </c>
    </row>
    <row r="108" spans="1:37">
      <c r="A108" s="4" t="s">
        <v>157</v>
      </c>
      <c r="B108">
        <f>SUMIFS('Federal Data'!M2:M501,'Federal Data'!$F2:$F501,"Savings",'Federal Data'!$D2:$D501,"Nongrant")+SUMIFS('Federal Data'!M2:M501,'Federal Data'!$E2:$E501,"Obligations",'Federal Data'!$D2:$D501,"Nongrant")</f>
        <v>226940606</v>
      </c>
      <c r="C108">
        <f>SUMIFS('Federal Data'!N2:N501,'Federal Data'!$F2:$F501,"Savings",'Federal Data'!$D2:$D501,"Nongrant")+SUMIFS('Federal Data'!N2:N501,'Federal Data'!$E2:$E501,"Obligations",'Federal Data'!$D2:$D501,"Nongrant")</f>
        <v>274903878</v>
      </c>
      <c r="D108">
        <f>SUMIFS('Federal Data'!O2:O501,'Federal Data'!$F2:$F501,"Savings",'Federal Data'!$D2:$D501,"Nongrant")+SUMIFS('Federal Data'!O2:O501,'Federal Data'!$E2:$E501,"Obligations",'Federal Data'!$D2:$D501,"Nongrant")</f>
        <v>316584531</v>
      </c>
      <c r="E108">
        <f>SUMIFS('Federal Data'!P2:P501,'Federal Data'!$F2:$F501,"Savings",'Federal Data'!$D2:$D501,"Nongrant")+SUMIFS('Federal Data'!P2:P501,'Federal Data'!$E2:$E501,"Obligations",'Federal Data'!$D2:$D501,"Nongrant")</f>
        <v>340637984</v>
      </c>
      <c r="F108">
        <f>SUMIFS('Federal Data'!Q2:Q501,'Federal Data'!$F2:$F501,"Savings",'Federal Data'!$D2:$D501,"Nongrant")+SUMIFS('Federal Data'!Q2:Q501,'Federal Data'!$E2:$E501,"Obligations",'Federal Data'!$D2:$D501,"Nongrant")</f>
        <v>374020494</v>
      </c>
      <c r="G108">
        <f>SUMIFS('Federal Data'!R2:R501,'Federal Data'!$F2:$F501,"Savings",'Federal Data'!$D2:$D501,"Nongrant")+SUMIFS('Federal Data'!R2:R501,'Federal Data'!$E2:$E501,"Obligations",'Federal Data'!$D2:$D501,"Nongrant")</f>
        <v>409001841</v>
      </c>
      <c r="H108">
        <f>SUMIFS('Federal Data'!S2:S501,'Federal Data'!$F2:$F501,"Savings",'Federal Data'!$D2:$D501,"Nongrant")+SUMIFS('Federal Data'!S2:S501,'Federal Data'!$E2:$E501,"Obligations",'Federal Data'!$D2:$D501,"Nongrant")</f>
        <v>429190286</v>
      </c>
      <c r="I108">
        <f>SUMIFS('Federal Data'!T2:T501,'Federal Data'!$F2:$F501,"Savings",'Federal Data'!$D2:$D501,"Nongrant")+SUMIFS('Federal Data'!T2:T501,'Federal Data'!$E2:$E501,"Obligations",'Federal Data'!$D2:$D501,"Nongrant")</f>
        <v>446301665</v>
      </c>
      <c r="J108">
        <f>SUMIFS('Federal Data'!U2:U501,'Federal Data'!$F2:$F501,"Savings",'Federal Data'!$D2:$D501,"Nongrant")+SUMIFS('Federal Data'!U2:U501,'Federal Data'!$E2:$E501,"Obligations",'Federal Data'!$D2:$D501,"Nongrant")</f>
        <v>481353186</v>
      </c>
      <c r="K108">
        <f>SUMIFS('Federal Data'!V2:V501,'Federal Data'!$F2:$F501,"Savings",'Federal Data'!$D2:$D501,"Nongrant")+SUMIFS('Federal Data'!V2:V501,'Federal Data'!$E2:$E501,"Obligations",'Federal Data'!$D2:$D501,"Nongrant")</f>
        <v>519494492</v>
      </c>
      <c r="L108">
        <f>SUMIFS('Federal Data'!W2:W501,'Federal Data'!$F2:$F501,"Savings",'Federal Data'!$D2:$D501,"Nongrant")+SUMIFS('Federal Data'!W2:W501,'Federal Data'!$E2:$E501,"Obligations",'Federal Data'!$D2:$D501,"Nongrant")</f>
        <v>567392749</v>
      </c>
      <c r="M108">
        <f>SUMIFS('Federal Data'!X2:X501,'Federal Data'!$F2:$F501,"Savings",'Federal Data'!$D2:$D501,"Nongrant")+SUMIFS('Federal Data'!X2:X501,'Federal Data'!$E2:$E501,"Obligations",'Federal Data'!$D2:$D501,"Nongrant")</f>
        <v>608165239</v>
      </c>
      <c r="N108">
        <f>SUMIFS('Federal Data'!Y2:Y501,'Federal Data'!$F2:$F501,"Savings",'Federal Data'!$D2:$D501,"Nongrant")+SUMIFS('Federal Data'!Y2:Y501,'Federal Data'!$E2:$E501,"Obligations",'Federal Data'!$D2:$D501,"Nongrant")</f>
        <v>647684773</v>
      </c>
      <c r="O108">
        <f>SUMIFS('Federal Data'!Z2:Z501,'Federal Data'!$F2:$F501,"Savings",'Federal Data'!$D2:$D501,"Nongrant")+SUMIFS('Federal Data'!Z2:Z501,'Federal Data'!$E2:$E501,"Obligations",'Federal Data'!$D2:$D501,"Nongrant")</f>
        <v>676632394</v>
      </c>
      <c r="P108">
        <f>SUMIFS('Federal Data'!AA2:AA501,'Federal Data'!$F2:$F501,"Savings",'Federal Data'!$D2:$D501,"Nongrant")+SUMIFS('Federal Data'!AA2:AA501,'Federal Data'!$E2:$E501,"Obligations",'Federal Data'!$D2:$D501,"Nongrant")</f>
        <v>712075283</v>
      </c>
      <c r="Q108">
        <f>SUMIFS('Federal Data'!AB2:AB501,'Federal Data'!$F2:$F501,"Savings",'Federal Data'!$D2:$D501,"Nongrant")+SUMIFS('Federal Data'!AB2:AB501,'Federal Data'!$E2:$E501,"Obligations",'Federal Data'!$D2:$D501,"Nongrant")</f>
        <v>775778000</v>
      </c>
      <c r="R108">
        <f>SUMIFS('Federal Data'!AC2:AC501,'Federal Data'!$F2:$F501,"Savings",'Federal Data'!$D2:$D501,"Nongrant")+SUMIFS('Federal Data'!AC2:AC501,'Federal Data'!$E2:$E501,"Obligations",'Federal Data'!$D2:$D501,"Nongrant")</f>
        <v>812353000</v>
      </c>
      <c r="S108">
        <f>SUMIFS('Federal Data'!AD2:AD501,'Federal Data'!$F2:$F501,"Savings",'Federal Data'!$D2:$D501,"Nongrant")+SUMIFS('Federal Data'!AD2:AD501,'Federal Data'!$E2:$E501,"Obligations",'Federal Data'!$D2:$D501,"Nongrant")</f>
        <v>850691000</v>
      </c>
      <c r="T108">
        <f>SUMIFS('Federal Data'!AE2:AE501,'Federal Data'!$F2:$F501,"Savings",'Federal Data'!$D2:$D501,"Nongrant")+SUMIFS('Federal Data'!AE2:AE501,'Federal Data'!$E2:$E501,"Obligations",'Federal Data'!$D2:$D501,"Nongrant")</f>
        <v>870506000</v>
      </c>
      <c r="U108">
        <f>SUMIFS('Federal Data'!AF2:AF501,'Federal Data'!$F2:$F501,"Savings",'Federal Data'!$D2:$D501,"Nongrant")+SUMIFS('Federal Data'!AF2:AF501,'Federal Data'!$E2:$E501,"Obligations",'Federal Data'!$D2:$D501,"Nongrant")</f>
        <v>867955000</v>
      </c>
      <c r="V108">
        <f>SUMIFS('Federal Data'!AG2:AG501,'Federal Data'!$F2:$F501,"Savings",'Federal Data'!$D2:$D501,"Nongrant")+SUMIFS('Federal Data'!AG2:AG501,'Federal Data'!$E2:$E501,"Obligations",'Federal Data'!$D2:$D501,"Nongrant")</f>
        <v>886102000</v>
      </c>
      <c r="W108">
        <f>SUMIFS('Federal Data'!AH2:AH501,'Federal Data'!$F2:$F501,"Savings",'Federal Data'!$D2:$D501,"Nongrant")+SUMIFS('Federal Data'!AH2:AH501,'Federal Data'!$E2:$E501,"Obligations",'Federal Data'!$D2:$D501,"Nongrant")</f>
        <v>919096000</v>
      </c>
      <c r="X108">
        <f>SUMIFS('Federal Data'!AI2:AI501,'Federal Data'!$F2:$F501,"Savings",'Federal Data'!$D2:$D501,"Nongrant")+SUMIFS('Federal Data'!AI2:AI501,'Federal Data'!$E2:$E501,"Obligations",'Federal Data'!$D2:$D501,"Nongrant")</f>
        <v>914825000</v>
      </c>
      <c r="Y108">
        <f>SUMIFS('Federal Data'!AJ2:AJ501,'Federal Data'!$F2:$F501,"Savings",'Federal Data'!$D2:$D501,"Nongrant")+SUMIFS('Federal Data'!AJ2:AJ501,'Federal Data'!$E2:$E501,"Obligations",'Federal Data'!$D2:$D501,"Nongrant")</f>
        <v>939189000</v>
      </c>
      <c r="Z108">
        <f>SUMIFS('Federal Data'!AK2:AK501,'Federal Data'!$F2:$F501,"Savings",'Federal Data'!$D2:$D501,"Nongrant")+SUMIFS('Federal Data'!AK2:AK501,'Federal Data'!$E2:$E501,"Obligations",'Federal Data'!$D2:$D501,"Nongrant")</f>
        <v>993541000</v>
      </c>
      <c r="AA108">
        <f>SUMIFS('Federal Data'!AL2:AL501,'Federal Data'!$F2:$F501,"Savings",'Federal Data'!$D2:$D501,"Nongrant")+SUMIFS('Federal Data'!AL2:AL501,'Federal Data'!$E2:$E501,"Obligations",'Federal Data'!$D2:$D501,"Nongrant")</f>
        <v>1072653000</v>
      </c>
      <c r="AB108">
        <f>SUMIFS('Federal Data'!AM2:AM501,'Federal Data'!$F2:$F501,"Savings",'Federal Data'!$D2:$D501,"Nongrant")+SUMIFS('Federal Data'!AM2:AM501,'Federal Data'!$E2:$E501,"Obligations",'Federal Data'!$D2:$D501,"Nongrant")</f>
        <v>1174545000</v>
      </c>
      <c r="AC108">
        <f>SUMIFS('Federal Data'!AN2:AN501,'Federal Data'!$F2:$F501,"Savings",'Federal Data'!$D2:$D501,"Nongrant")+SUMIFS('Federal Data'!AN2:AN501,'Federal Data'!$E2:$E501,"Obligations",'Federal Data'!$D2:$D501,"Nongrant")</f>
        <v>1266219000</v>
      </c>
      <c r="AD108">
        <f>SUMIFS('Federal Data'!AO2:AO501,'Federal Data'!$F2:$F501,"Savings",'Federal Data'!$D2:$D501,"Nongrant")+SUMIFS('Federal Data'!AO2:AO501,'Federal Data'!$E2:$E501,"Obligations",'Federal Data'!$D2:$D501,"Nongrant")</f>
        <v>1340344000</v>
      </c>
      <c r="AE108">
        <f>SUMIFS('Federal Data'!AP2:AP501,'Federal Data'!$F2:$F501,"Savings",'Federal Data'!$D2:$D501,"Nongrant")+SUMIFS('Federal Data'!AP2:AP501,'Federal Data'!$E2:$E501,"Obligations",'Federal Data'!$D2:$D501,"Nongrant")</f>
        <v>1489739000</v>
      </c>
      <c r="AF108">
        <f>SUMIFS('Federal Data'!AQ2:AQ501,'Federal Data'!$F2:$F501,"Savings",'Federal Data'!$D2:$D501,"Nongrant")+SUMIFS('Federal Data'!AQ2:AQ501,'Federal Data'!$E2:$E501,"Obligations",'Federal Data'!$D2:$D501,"Nongrant")</f>
        <v>1470234000</v>
      </c>
      <c r="AG108">
        <f>SUMIFS('Federal Data'!AR2:AR501,'Federal Data'!$F2:$F501,"Savings",'Federal Data'!$D2:$D501,"Nongrant")+SUMIFS('Federal Data'!AR2:AR501,'Federal Data'!$E2:$E501,"Obligations",'Federal Data'!$D2:$D501,"Nongrant")</f>
        <v>1547449000</v>
      </c>
      <c r="AH108">
        <f>SUMIFS('Federal Data'!AS2:AS501,'Federal Data'!$F2:$F501,"Savings",'Federal Data'!$D2:$D501,"Nongrant")+SUMIFS('Federal Data'!AS2:AS501,'Federal Data'!$E2:$E501,"Obligations",'Federal Data'!$D2:$D501,"Nongrant")</f>
        <v>1541480000</v>
      </c>
      <c r="AI108">
        <f>SUMIFS('Federal Data'!AT2:AT501,'Federal Data'!$F2:$F501,"Savings",'Federal Data'!$D2:$D501,"Nongrant")+SUMIFS('Federal Data'!AT2:AT501,'Federal Data'!$E2:$E501,"Obligations",'Federal Data'!$D2:$D501,"Nongrant")</f>
        <v>1539341000</v>
      </c>
      <c r="AJ108">
        <f>SUMIFS('Federal Data'!AU2:AU501,'Federal Data'!$F2:$F501,"Savings",'Federal Data'!$D2:$D501,"Nongrant")+SUMIFS('Federal Data'!AU2:AU501,'Federal Data'!$E2:$E501,"Obligations",'Federal Data'!$D2:$D501,"Nongrant")</f>
        <v>1611528000</v>
      </c>
      <c r="AK108">
        <f>SUMIFS('Federal Data'!AV2:AV501,'Federal Data'!$F2:$F501,"Savings",'Federal Data'!$D2:$D501,"Nongrant")+SUMIFS('Federal Data'!AV2:AV501,'Federal Data'!$E2:$E501,"Obligations",'Federal Data'!$D2:$D501,"Nongrant")</f>
        <v>1729795000</v>
      </c>
    </row>
    <row r="109" spans="1:37">
      <c r="A109" s="5" t="s">
        <v>54</v>
      </c>
      <c r="B109">
        <f>SUMIFS('Federal Data'!M2:M501,'Federal Data'!$G2:$G501,"Social Security",'Federal Data'!$D2:$D501,"Nongrant")</f>
        <v>118546801</v>
      </c>
      <c r="C109">
        <f>SUMIFS('Federal Data'!N2:N501,'Federal Data'!$G2:$G501,"Social Security",'Federal Data'!$D2:$D501,"Nongrant")</f>
        <v>139584428</v>
      </c>
      <c r="D109">
        <f>SUMIFS('Federal Data'!O2:O501,'Federal Data'!$G2:$G501,"Social Security",'Federal Data'!$D2:$D501,"Nongrant")</f>
        <v>155963940</v>
      </c>
      <c r="E109">
        <f>SUMIFS('Federal Data'!P2:P501,'Federal Data'!$G2:$G501,"Social Security",'Federal Data'!$D2:$D501,"Nongrant")</f>
        <v>170723539</v>
      </c>
      <c r="F109">
        <f>SUMIFS('Federal Data'!Q2:Q501,'Federal Data'!$G2:$G501,"Social Security",'Federal Data'!$D2:$D501,"Nongrant")</f>
        <v>178222816</v>
      </c>
      <c r="G109">
        <f>SUMIFS('Federal Data'!R2:R501,'Federal Data'!$G2:$G501,"Social Security",'Federal Data'!$D2:$D501,"Nongrant")</f>
        <v>188623082</v>
      </c>
      <c r="H109">
        <f>SUMIFS('Federal Data'!S2:S501,'Federal Data'!$G2:$G501,"Social Security",'Federal Data'!$D2:$D501,"Nongrant")</f>
        <v>198756366</v>
      </c>
      <c r="I109">
        <f>SUMIFS('Federal Data'!T2:T501,'Federal Data'!$G2:$G501,"Social Security",'Federal Data'!$D2:$D501,"Nongrant")</f>
        <v>207351976</v>
      </c>
      <c r="J109">
        <f>SUMIFS('Federal Data'!U2:U501,'Federal Data'!$G2:$G501,"Social Security",'Federal Data'!$D2:$D501,"Nongrant")</f>
        <v>219340581</v>
      </c>
      <c r="K109">
        <f>SUMIFS('Federal Data'!V2:V501,'Federal Data'!$G2:$G501,"Social Security",'Federal Data'!$D2:$D501,"Nongrant")</f>
        <v>232542077</v>
      </c>
      <c r="L109">
        <f>SUMIFS('Federal Data'!W2:W501,'Federal Data'!$G2:$G501,"Social Security",'Federal Data'!$D2:$D501,"Nongrant")</f>
        <v>248622598</v>
      </c>
      <c r="M109">
        <f>SUMIFS('Federal Data'!X2:X501,'Federal Data'!$G2:$G501,"Social Security",'Federal Data'!$D2:$D501,"Nongrant")</f>
        <v>269014328</v>
      </c>
      <c r="N109">
        <f>SUMIFS('Federal Data'!Y2:Y501,'Federal Data'!$G2:$G501,"Social Security",'Federal Data'!$D2:$D501,"Nongrant")</f>
        <v>287584387</v>
      </c>
      <c r="O109">
        <f>SUMIFS('Federal Data'!Z2:Z501,'Federal Data'!$G2:$G501,"Social Security",'Federal Data'!$D2:$D501,"Nongrant")</f>
        <v>304584743</v>
      </c>
      <c r="P109">
        <f>SUMIFS('Federal Data'!AA2:AA501,'Federal Data'!$G2:$G501,"Social Security",'Federal Data'!$D2:$D501,"Nongrant")</f>
        <v>319564709</v>
      </c>
      <c r="Q109">
        <f>SUMIFS('Federal Data'!AB2:AB501,'Federal Data'!$G2:$G501,"Social Security",'Federal Data'!$D2:$D501,"Nongrant")</f>
        <v>335846000</v>
      </c>
      <c r="R109">
        <f>SUMIFS('Federal Data'!AC2:AC501,'Federal Data'!$G2:$G501,"Social Security",'Federal Data'!$D2:$D501,"Nongrant")</f>
        <v>349671000</v>
      </c>
      <c r="S109">
        <f>SUMIFS('Federal Data'!AD2:AD501,'Federal Data'!$G2:$G501,"Social Security",'Federal Data'!$D2:$D501,"Nongrant")</f>
        <v>365251000</v>
      </c>
      <c r="T109">
        <f>SUMIFS('Federal Data'!AE2:AE501,'Federal Data'!$G2:$G501,"Social Security",'Federal Data'!$D2:$D501,"Nongrant")</f>
        <v>379215000</v>
      </c>
      <c r="U109">
        <f>SUMIFS('Federal Data'!AF2:AF501,'Federal Data'!$G2:$G501,"Social Security",'Federal Data'!$D2:$D501,"Nongrant")</f>
        <v>390037000</v>
      </c>
      <c r="V109">
        <f>SUMIFS('Federal Data'!AG2:AG501,'Federal Data'!$G2:$G501,"Social Security",'Federal Data'!$D2:$D501,"Nongrant")</f>
        <v>409417000</v>
      </c>
      <c r="W109">
        <f>SUMIFS('Federal Data'!AH2:AH501,'Federal Data'!$G2:$G501,"Social Security",'Federal Data'!$D2:$D501,"Nongrant")</f>
        <v>432958000</v>
      </c>
      <c r="X109">
        <f>SUMIFS('Federal Data'!AI2:AI501,'Federal Data'!$G2:$G501,"Social Security",'Federal Data'!$D2:$D501,"Nongrant")</f>
        <v>455979000</v>
      </c>
      <c r="Y109">
        <f>SUMIFS('Federal Data'!AJ2:AJ501,'Federal Data'!$G2:$G501,"Social Security",'Federal Data'!$D2:$D501,"Nongrant")</f>
        <v>474678000</v>
      </c>
      <c r="Z109">
        <f>SUMIFS('Federal Data'!AK2:AK501,'Federal Data'!$G2:$G501,"Social Security",'Federal Data'!$D2:$D501,"Nongrant")</f>
        <v>495541000</v>
      </c>
      <c r="AA109">
        <f>SUMIFS('Federal Data'!AL2:AL501,'Federal Data'!$G2:$G501,"Social Security",'Federal Data'!$D2:$D501,"Nongrant")</f>
        <v>523303000</v>
      </c>
      <c r="AB109">
        <f>SUMIFS('Federal Data'!AM2:AM501,'Federal Data'!$G2:$G501,"Social Security",'Federal Data'!$D2:$D501,"Nongrant")</f>
        <v>548540000</v>
      </c>
      <c r="AC109">
        <f>SUMIFS('Federal Data'!AN2:AN501,'Federal Data'!$G2:$G501,"Social Security",'Federal Data'!$D2:$D501,"Nongrant")</f>
        <v>586137000</v>
      </c>
      <c r="AD109">
        <f>SUMIFS('Federal Data'!AO2:AO501,'Federal Data'!$G2:$G501,"Social Security",'Federal Data'!$D2:$D501,"Nongrant")</f>
        <v>617004000</v>
      </c>
      <c r="AE109">
        <f>SUMIFS('Federal Data'!AP2:AP501,'Federal Data'!$G2:$G501,"Social Security",'Federal Data'!$D2:$D501,"Nongrant")</f>
        <v>682918000</v>
      </c>
      <c r="AF109">
        <f>SUMIFS('Federal Data'!AQ2:AQ501,'Federal Data'!$G2:$G501,"Social Security",'Federal Data'!$D2:$D501,"Nongrant")</f>
        <v>706709000</v>
      </c>
      <c r="AG109">
        <f>SUMIFS('Federal Data'!AR2:AR501,'Federal Data'!$G2:$G501,"Social Security",'Federal Data'!$D2:$D501,"Nongrant")</f>
        <v>730784000</v>
      </c>
      <c r="AH109">
        <f>SUMIFS('Federal Data'!AS2:AS501,'Federal Data'!$G2:$G501,"Social Security",'Federal Data'!$D2:$D501,"Nongrant")</f>
        <v>773261000</v>
      </c>
      <c r="AI109">
        <f>SUMIFS('Federal Data'!AT2:AT501,'Federal Data'!$G2:$G501,"Social Security",'Federal Data'!$D2:$D501,"Nongrant")</f>
        <v>813529000</v>
      </c>
      <c r="AJ109">
        <f>SUMIFS('Federal Data'!AU2:AU501,'Federal Data'!$G2:$G501,"Social Security",'Federal Data'!$D2:$D501,"Nongrant")</f>
        <v>850517000</v>
      </c>
      <c r="AK109">
        <f>SUMIFS('Federal Data'!AV2:AV501,'Federal Data'!$G2:$G501,"Social Security",'Federal Data'!$D2:$D501,"Nongrant")</f>
        <v>887738000</v>
      </c>
    </row>
    <row r="110" spans="1:37">
      <c r="A110" s="6" t="s">
        <v>117</v>
      </c>
      <c r="B110">
        <f>SUMIFS('Federal Data'!M2:M501,'Federal Data'!$H2:$H501,"FOASI",'Federal Data'!$D2:$D501,"Nongrant")</f>
        <v>102669877</v>
      </c>
      <c r="C110">
        <f>SUMIFS('Federal Data'!N2:N501,'Federal Data'!$H2:$H501,"FOASI",'Federal Data'!$D2:$D501,"Nongrant")</f>
        <v>121764112</v>
      </c>
      <c r="D110">
        <f>SUMIFS('Federal Data'!O2:O501,'Federal Data'!$H2:$H501,"FOASI",'Federal Data'!$D2:$D501,"Nongrant")</f>
        <v>137253355</v>
      </c>
      <c r="E110">
        <f>SUMIFS('Federal Data'!P2:P501,'Federal Data'!$H2:$H501,"FOASI",'Federal Data'!$D2:$D501,"Nongrant")</f>
        <v>135209189</v>
      </c>
      <c r="F110">
        <f>SUMIFS('Federal Data'!Q2:Q501,'Federal Data'!$H2:$H501,"FOASI",'Federal Data'!$D2:$D501,"Nongrant")</f>
        <v>153323671</v>
      </c>
      <c r="G110">
        <f>SUMIFS('Federal Data'!R2:R501,'Federal Data'!$H2:$H501,"FOASI",'Federal Data'!$D2:$D501,"Nongrant")</f>
        <v>164252414</v>
      </c>
      <c r="H110">
        <f>SUMIFS('Federal Data'!S2:S501,'Federal Data'!$H2:$H501,"FOASI",'Federal Data'!$D2:$D501,"Nongrant")</f>
        <v>171556101</v>
      </c>
      <c r="I110">
        <f>SUMIFS('Federal Data'!T2:T501,'Federal Data'!$H2:$H501,"FOASI",'Federal Data'!$D2:$D501,"Nongrant")</f>
        <v>180676586</v>
      </c>
      <c r="J110">
        <f>SUMIFS('Federal Data'!U2:U501,'Federal Data'!$H2:$H501,"FOASI",'Federal Data'!$D2:$D501,"Nongrant")</f>
        <v>191559286</v>
      </c>
      <c r="K110">
        <f>SUMIFS('Federal Data'!V2:V501,'Federal Data'!$H2:$H501,"FOASI",'Federal Data'!$D2:$D501,"Nongrant")</f>
        <v>203332152</v>
      </c>
      <c r="L110">
        <f>SUMIFS('Federal Data'!W2:W501,'Federal Data'!$H2:$H501,"FOASI",'Federal Data'!$D2:$D501,"Nongrant")</f>
        <v>219087132</v>
      </c>
      <c r="M110">
        <f>SUMIFS('Federal Data'!X2:X501,'Federal Data'!$H2:$H501,"FOASI",'Federal Data'!$D2:$D501,"Nongrant")</f>
        <v>235403689</v>
      </c>
      <c r="N110">
        <f>SUMIFS('Federal Data'!Y2:Y501,'Federal Data'!$H2:$H501,"FOASI",'Federal Data'!$D2:$D501,"Nongrant")</f>
        <v>250339747</v>
      </c>
      <c r="O110">
        <f>SUMIFS('Federal Data'!Z2:Z501,'Federal Data'!$H2:$H501,"FOASI",'Federal Data'!$D2:$D501,"Nongrant")</f>
        <v>263988277</v>
      </c>
      <c r="P110">
        <f>SUMIFS('Federal Data'!AA2:AA501,'Federal Data'!$H2:$H501,"FOASI",'Federal Data'!$D2:$D501,"Nongrant")</f>
        <v>276207426</v>
      </c>
      <c r="Q110">
        <f>SUMIFS('Federal Data'!AB2:AB501,'Federal Data'!$H2:$H501,"FOASI",'Federal Data'!$D2:$D501,"Nongrant")</f>
        <v>289331000</v>
      </c>
      <c r="R110">
        <f>SUMIFS('Federal Data'!AC2:AC501,'Federal Data'!$H2:$H501,"FOASI",'Federal Data'!$D2:$D501,"Nongrant")</f>
        <v>299560000</v>
      </c>
      <c r="S110">
        <f>SUMIFS('Federal Data'!AD2:AD501,'Federal Data'!$H2:$H501,"FOASI",'Federal Data'!$D2:$D501,"Nongrant")</f>
        <v>312083000</v>
      </c>
      <c r="T110">
        <f>SUMIFS('Federal Data'!AE2:AE501,'Federal Data'!$H2:$H501,"FOASI",'Federal Data'!$D2:$D501,"Nongrant")</f>
        <v>321149000</v>
      </c>
      <c r="U110">
        <f>SUMIFS('Federal Data'!AF2:AF501,'Federal Data'!$H2:$H501,"FOASI",'Federal Data'!$D2:$D501,"Nongrant")</f>
        <v>327718000</v>
      </c>
      <c r="V110">
        <f>SUMIFS('Federal Data'!AG2:AG501,'Federal Data'!$H2:$H501,"FOASI",'Federal Data'!$D2:$D501,"Nongrant")</f>
        <v>340918000</v>
      </c>
      <c r="W110">
        <f>SUMIFS('Federal Data'!AH2:AH501,'Federal Data'!$H2:$H501,"FOASI",'Federal Data'!$D2:$D501,"Nongrant")</f>
        <v>361229000</v>
      </c>
      <c r="X110">
        <f>SUMIFS('Federal Data'!AI2:AI501,'Federal Data'!$H2:$H501,"FOASI",'Federal Data'!$D2:$D501,"Nongrant")</f>
        <v>376540000</v>
      </c>
      <c r="Y110">
        <f>SUMIFS('Federal Data'!AJ2:AJ501,'Federal Data'!$H2:$H501,"FOASI",'Federal Data'!$D2:$D501,"Nongrant")</f>
        <v>390330000</v>
      </c>
      <c r="Z110">
        <f>SUMIFS('Federal Data'!AK2:AK501,'Federal Data'!$H2:$H501,"FOASI",'Federal Data'!$D2:$D501,"Nongrant")</f>
        <v>404005000</v>
      </c>
      <c r="AA110">
        <f>SUMIFS('Federal Data'!AL2:AL501,'Federal Data'!$H2:$H501,"FOASI",'Federal Data'!$D2:$D501,"Nongrant")</f>
        <v>421467000</v>
      </c>
      <c r="AB110">
        <f>SUMIFS('Federal Data'!AM2:AM501,'Federal Data'!$H2:$H501,"FOASI",'Federal Data'!$D2:$D501,"Nongrant")</f>
        <v>440413000</v>
      </c>
      <c r="AC110">
        <f>SUMIFS('Federal Data'!AN2:AN501,'Federal Data'!$H2:$H501,"FOASI",'Federal Data'!$D2:$D501,"Nongrant")</f>
        <v>468456000</v>
      </c>
      <c r="AD110">
        <f>SUMIFS('Federal Data'!AO2:AO501,'Federal Data'!$H2:$H501,"FOASI",'Federal Data'!$D2:$D501,"Nongrant")</f>
        <v>493467000</v>
      </c>
      <c r="AE110">
        <f>SUMIFS('Federal Data'!AP2:AP501,'Federal Data'!$H2:$H501,"FOASI",'Federal Data'!$D2:$D501,"Nongrant")</f>
        <v>532671000</v>
      </c>
      <c r="AF110">
        <f>SUMIFS('Federal Data'!AQ2:AQ501,'Federal Data'!$H2:$H501,"FOASI",'Federal Data'!$D2:$D501,"Nongrant")</f>
        <v>558820000</v>
      </c>
      <c r="AG110">
        <f>SUMIFS('Federal Data'!AR2:AR501,'Federal Data'!$H2:$H501,"FOASI",'Federal Data'!$D2:$D501,"Nongrant")</f>
        <v>510613000</v>
      </c>
      <c r="AH110">
        <f>SUMIFS('Federal Data'!AS2:AS501,'Federal Data'!$H2:$H501,"FOASI",'Federal Data'!$D2:$D501,"Nongrant")</f>
        <v>511071000</v>
      </c>
      <c r="AI110">
        <f>SUMIFS('Federal Data'!AT2:AT501,'Federal Data'!$H2:$H501,"FOASI",'Federal Data'!$D2:$D501,"Nongrant")</f>
        <v>620374000</v>
      </c>
      <c r="AJ110">
        <f>SUMIFS('Federal Data'!AU2:AU501,'Federal Data'!$H2:$H501,"FOASI",'Federal Data'!$D2:$D501,"Nongrant")</f>
        <v>681134000</v>
      </c>
      <c r="AK110">
        <f>SUMIFS('Federal Data'!AV2:AV501,'Federal Data'!$H2:$H501,"FOASI",'Federal Data'!$D2:$D501,"Nongrant")</f>
        <v>711607000</v>
      </c>
    </row>
    <row r="111" spans="1:37">
      <c r="A111" s="6" t="s">
        <v>118</v>
      </c>
      <c r="B111">
        <f>SUMIFS('Federal Data'!M2:M501,'Federal Data'!$H2:$H501,"FDI",'Federal Data'!$D2:$D501,"Nongrant")</f>
        <v>15201844</v>
      </c>
      <c r="C111">
        <f>SUMIFS('Federal Data'!N2:N501,'Federal Data'!$H2:$H501,"FDI",'Federal Data'!$D2:$D501,"Nongrant")</f>
        <v>17149860</v>
      </c>
      <c r="D111">
        <f>SUMIFS('Federal Data'!O2:O501,'Federal Data'!$H2:$H501,"FDI",'Federal Data'!$D2:$D501,"Nongrant")</f>
        <v>17867070</v>
      </c>
      <c r="E111">
        <f>SUMIFS('Federal Data'!P2:P501,'Federal Data'!$H2:$H501,"FDI",'Federal Data'!$D2:$D501,"Nongrant")</f>
        <v>15412330</v>
      </c>
      <c r="F111">
        <f>SUMIFS('Federal Data'!Q2:Q501,'Federal Data'!$H2:$H501,"FDI",'Federal Data'!$D2:$D501,"Nongrant")</f>
        <v>17082978</v>
      </c>
      <c r="G111">
        <f>SUMIFS('Federal Data'!R2:R501,'Federal Data'!$H2:$H501,"FDI",'Federal Data'!$D2:$D501,"Nongrant")</f>
        <v>18390511</v>
      </c>
      <c r="H111">
        <f>SUMIFS('Federal Data'!S2:S501,'Federal Data'!$H2:$H501,"FDI",'Federal Data'!$D2:$D501,"Nongrant")</f>
        <v>18611831</v>
      </c>
      <c r="I111">
        <f>SUMIFS('Federal Data'!T2:T501,'Federal Data'!$H2:$H501,"FDI",'Federal Data'!$D2:$D501,"Nongrant")</f>
        <v>21060196</v>
      </c>
      <c r="J111">
        <f>SUMIFS('Federal Data'!U2:U501,'Federal Data'!$H2:$H501,"FDI",'Federal Data'!$D2:$D501,"Nongrant")</f>
        <v>22013695</v>
      </c>
      <c r="K111">
        <f>SUMIFS('Federal Data'!V2:V501,'Federal Data'!$H2:$H501,"FDI",'Federal Data'!$D2:$D501,"Nongrant")</f>
        <v>23055898</v>
      </c>
      <c r="L111">
        <f>SUMIFS('Federal Data'!W2:W501,'Federal Data'!$H2:$H501,"FDI",'Federal Data'!$D2:$D501,"Nongrant")</f>
        <v>24828217</v>
      </c>
      <c r="M111">
        <f>SUMIFS('Federal Data'!X2:X501,'Federal Data'!$H2:$H501,"FDI",'Federal Data'!$D2:$D501,"Nongrant")</f>
        <v>27639512</v>
      </c>
      <c r="N111">
        <f>SUMIFS('Federal Data'!Y2:Y501,'Federal Data'!$H2:$H501,"FDI",'Federal Data'!$D2:$D501,"Nongrant")</f>
        <v>31078594</v>
      </c>
      <c r="O111">
        <f>SUMIFS('Federal Data'!Z2:Z501,'Federal Data'!$H2:$H501,"FDI",'Federal Data'!$D2:$D501,"Nongrant")</f>
        <v>34360665</v>
      </c>
      <c r="P111">
        <f>SUMIFS('Federal Data'!AA2:AA501,'Federal Data'!$H2:$H501,"FDI",'Federal Data'!$D2:$D501,"Nongrant")</f>
        <v>37673832</v>
      </c>
      <c r="Q111">
        <f>SUMIFS('Federal Data'!AB2:AB501,'Federal Data'!$H2:$H501,"FDI",'Federal Data'!$D2:$D501,"Nongrant")</f>
        <v>41039000</v>
      </c>
      <c r="R111">
        <f>SUMIFS('Federal Data'!AC2:AC501,'Federal Data'!$H2:$H501,"FDI",'Federal Data'!$D2:$D501,"Nongrant")</f>
        <v>43977000</v>
      </c>
      <c r="S111">
        <f>SUMIFS('Federal Data'!AD2:AD501,'Federal Data'!$H2:$H501,"FDI",'Federal Data'!$D2:$D501,"Nongrant")</f>
        <v>46289000</v>
      </c>
      <c r="T111">
        <f>SUMIFS('Federal Data'!AE2:AE501,'Federal Data'!$H2:$H501,"FDI",'Federal Data'!$D2:$D501,"Nongrant")</f>
        <v>48920000</v>
      </c>
      <c r="U111">
        <f>SUMIFS('Federal Data'!AF2:AF501,'Federal Data'!$H2:$H501,"FDI",'Federal Data'!$D2:$D501,"Nongrant")</f>
        <v>51495000</v>
      </c>
      <c r="V111">
        <f>SUMIFS('Federal Data'!AG2:AG501,'Federal Data'!$H2:$H501,"FDI",'Federal Data'!$D2:$D501,"Nongrant")</f>
        <v>55245000</v>
      </c>
      <c r="W111">
        <f>SUMIFS('Federal Data'!AH2:AH501,'Federal Data'!$H2:$H501,"FDI",'Federal Data'!$D2:$D501,"Nongrant")</f>
        <v>59198000</v>
      </c>
      <c r="X111">
        <f>SUMIFS('Federal Data'!AI2:AI501,'Federal Data'!$H2:$H501,"FDI",'Federal Data'!$D2:$D501,"Nongrant")</f>
        <v>65423000</v>
      </c>
      <c r="Y111">
        <f>SUMIFS('Federal Data'!AJ2:AJ501,'Federal Data'!$H2:$H501,"FDI",'Federal Data'!$D2:$D501,"Nongrant")</f>
        <v>70991000</v>
      </c>
      <c r="Z111">
        <f>SUMIFS('Federal Data'!AK2:AK501,'Federal Data'!$H2:$H501,"FDI",'Federal Data'!$D2:$D501,"Nongrant")</f>
        <v>77415000</v>
      </c>
      <c r="AA111">
        <f>SUMIFS('Federal Data'!AL2:AL501,'Federal Data'!$H2:$H501,"FDI",'Federal Data'!$D2:$D501,"Nongrant")</f>
        <v>85249000</v>
      </c>
      <c r="AB111">
        <f>SUMIFS('Federal Data'!AM2:AM501,'Federal Data'!$H2:$H501,"FDI",'Federal Data'!$D2:$D501,"Nongrant")</f>
        <v>91757000</v>
      </c>
      <c r="AC111">
        <f>SUMIFS('Federal Data'!AN2:AN501,'Federal Data'!$H2:$H501,"FDI",'Federal Data'!$D2:$D501,"Nongrant")</f>
        <v>98295000</v>
      </c>
      <c r="AD111">
        <f>SUMIFS('Federal Data'!AO2:AO501,'Federal Data'!$H2:$H501,"FDI",'Federal Data'!$D2:$D501,"Nongrant")</f>
        <v>105754000</v>
      </c>
      <c r="AE111">
        <f>SUMIFS('Federal Data'!AP2:AP501,'Federal Data'!$H2:$H501,"FDI",'Federal Data'!$D2:$D501,"Nongrant")</f>
        <v>116151000</v>
      </c>
      <c r="AF111">
        <f>SUMIFS('Federal Data'!AQ2:AQ501,'Federal Data'!$H2:$H501,"FDI",'Federal Data'!$D2:$D501,"Nongrant")</f>
        <v>124567000</v>
      </c>
      <c r="AG111">
        <f>SUMIFS('Federal Data'!AR2:AR501,'Federal Data'!$H2:$H501,"FDI",'Federal Data'!$D2:$D501,"Nongrant")</f>
        <v>118097000</v>
      </c>
      <c r="AH111">
        <f>SUMIFS('Federal Data'!AS2:AS501,'Federal Data'!$H2:$H501,"FDI",'Federal Data'!$D2:$D501,"Nongrant")</f>
        <v>121805000</v>
      </c>
      <c r="AI111">
        <f>SUMIFS('Federal Data'!AT2:AT501,'Federal Data'!$H2:$H501,"FDI",'Federal Data'!$D2:$D501,"Nongrant")</f>
        <v>137076000</v>
      </c>
      <c r="AJ111">
        <f>SUMIFS('Federal Data'!AU2:AU501,'Federal Data'!$H2:$H501,"FDI",'Federal Data'!$D2:$D501,"Nongrant")</f>
        <v>143490000</v>
      </c>
      <c r="AK111">
        <f>SUMIFS('Federal Data'!AV2:AV501,'Federal Data'!$H2:$H501,"FDI",'Federal Data'!$D2:$D501,"Nongrant")</f>
        <v>145141000</v>
      </c>
    </row>
    <row r="112" spans="1:37">
      <c r="A112" s="6" t="s">
        <v>119</v>
      </c>
      <c r="B112">
        <f>SUMIFS('Federal Data'!M2:M501,'Federal Data'!$H2:$H501,"Other Social Security",'Federal Data'!$D2:$D501,"Nongrant")</f>
        <v>675080</v>
      </c>
      <c r="C112">
        <f>SUMIFS('Federal Data'!N2:N501,'Federal Data'!$H2:$H501,"Other Social Security",'Federal Data'!$D2:$D501,"Nongrant")</f>
        <v>670456</v>
      </c>
      <c r="D112">
        <f>SUMIFS('Federal Data'!O2:O501,'Federal Data'!$H2:$H501,"Other Social Security",'Federal Data'!$D2:$D501,"Nongrant")</f>
        <v>843515</v>
      </c>
      <c r="E112">
        <f>SUMIFS('Federal Data'!P2:P501,'Federal Data'!$H2:$H501,"Other Social Security",'Federal Data'!$D2:$D501,"Nongrant")</f>
        <v>20102020</v>
      </c>
      <c r="F112">
        <f>SUMIFS('Federal Data'!Q2:Q501,'Federal Data'!$H2:$H501,"Other Social Security",'Federal Data'!$D2:$D501,"Nongrant")</f>
        <v>7816167</v>
      </c>
      <c r="G112">
        <f>SUMIFS('Federal Data'!R2:R501,'Federal Data'!$H2:$H501,"Other Social Security",'Federal Data'!$D2:$D501,"Nongrant")</f>
        <v>5980157</v>
      </c>
      <c r="H112">
        <f>SUMIFS('Federal Data'!S2:S501,'Federal Data'!$H2:$H501,"Other Social Security",'Federal Data'!$D2:$D501,"Nongrant")</f>
        <v>8588434</v>
      </c>
      <c r="I112">
        <f>SUMIFS('Federal Data'!T2:T501,'Federal Data'!$H2:$H501,"Other Social Security",'Federal Data'!$D2:$D501,"Nongrant")</f>
        <v>5615194</v>
      </c>
      <c r="J112">
        <f>SUMIFS('Federal Data'!U2:U501,'Federal Data'!$H2:$H501,"Other Social Security",'Federal Data'!$D2:$D501,"Nongrant")</f>
        <v>5767600</v>
      </c>
      <c r="K112">
        <f>SUMIFS('Federal Data'!V2:V501,'Federal Data'!$H2:$H501,"Other Social Security",'Federal Data'!$D2:$D501,"Nongrant")</f>
        <v>6154027</v>
      </c>
      <c r="L112">
        <f>SUMIFS('Federal Data'!W2:W501,'Federal Data'!$H2:$H501,"Other Social Security",'Federal Data'!$D2:$D501,"Nongrant")</f>
        <v>4707249</v>
      </c>
      <c r="M112">
        <f>SUMIFS('Federal Data'!X2:X501,'Federal Data'!$H2:$H501,"Other Social Security",'Federal Data'!$D2:$D501,"Nongrant")</f>
        <v>5971127</v>
      </c>
      <c r="N112">
        <f>SUMIFS('Federal Data'!Y2:Y501,'Federal Data'!$H2:$H501,"Other Social Security",'Federal Data'!$D2:$D501,"Nongrant")</f>
        <v>6166046</v>
      </c>
      <c r="O112">
        <f>SUMIFS('Federal Data'!Z2:Z501,'Federal Data'!$H2:$H501,"Other Social Security",'Federal Data'!$D2:$D501,"Nongrant")</f>
        <v>6235801</v>
      </c>
      <c r="P112">
        <f>SUMIFS('Federal Data'!AA2:AA501,'Federal Data'!$H2:$H501,"Other Social Security",'Federal Data'!$D2:$D501,"Nongrant")</f>
        <v>5683451</v>
      </c>
      <c r="Q112">
        <f>SUMIFS('Federal Data'!AB2:AB501,'Federal Data'!$H2:$H501,"Other Social Security",'Federal Data'!$D2:$D501,"Nongrant")</f>
        <v>5476000</v>
      </c>
      <c r="R112">
        <f>SUMIFS('Federal Data'!AC2:AC501,'Federal Data'!$H2:$H501,"Other Social Security",'Federal Data'!$D2:$D501,"Nongrant")</f>
        <v>6134000</v>
      </c>
      <c r="S112">
        <f>SUMIFS('Federal Data'!AD2:AD501,'Federal Data'!$H2:$H501,"Other Social Security",'Federal Data'!$D2:$D501,"Nongrant")</f>
        <v>6879000</v>
      </c>
      <c r="T112">
        <f>SUMIFS('Federal Data'!AE2:AE501,'Federal Data'!$H2:$H501,"Other Social Security",'Federal Data'!$D2:$D501,"Nongrant")</f>
        <v>9146000</v>
      </c>
      <c r="U112">
        <f>SUMIFS('Federal Data'!AF2:AF501,'Federal Data'!$H2:$H501,"Other Social Security",'Federal Data'!$D2:$D501,"Nongrant")</f>
        <v>10824000</v>
      </c>
      <c r="V112">
        <f>SUMIFS('Federal Data'!AG2:AG501,'Federal Data'!$H2:$H501,"Other Social Security",'Federal Data'!$D2:$D501,"Nongrant")</f>
        <v>13254000</v>
      </c>
      <c r="W112">
        <f>SUMIFS('Federal Data'!AH2:AH501,'Federal Data'!$H2:$H501,"Other Social Security",'Federal Data'!$D2:$D501,"Nongrant")</f>
        <v>12531000</v>
      </c>
      <c r="X112">
        <f>SUMIFS('Federal Data'!AI2:AI501,'Federal Data'!$H2:$H501,"Other Social Security",'Federal Data'!$D2:$D501,"Nongrant")</f>
        <v>14016000</v>
      </c>
      <c r="Y112">
        <f>SUMIFS('Federal Data'!AJ2:AJ501,'Federal Data'!$H2:$H501,"Other Social Security",'Federal Data'!$D2:$D501,"Nongrant")</f>
        <v>13357000</v>
      </c>
      <c r="Z112">
        <f>SUMIFS('Federal Data'!AK2:AK501,'Federal Data'!$H2:$H501,"Other Social Security",'Federal Data'!$D2:$D501,"Nongrant")</f>
        <v>14121000</v>
      </c>
      <c r="AA112">
        <f>SUMIFS('Federal Data'!AL2:AL501,'Federal Data'!$H2:$H501,"Other Social Security",'Federal Data'!$D2:$D501,"Nongrant")</f>
        <v>16587000</v>
      </c>
      <c r="AB112">
        <f>SUMIFS('Federal Data'!AM2:AM501,'Federal Data'!$H2:$H501,"Other Social Security",'Federal Data'!$D2:$D501,"Nongrant")</f>
        <v>16370000</v>
      </c>
      <c r="AC112">
        <f>SUMIFS('Federal Data'!AN2:AN501,'Federal Data'!$H2:$H501,"Other Social Security",'Federal Data'!$D2:$D501,"Nongrant")</f>
        <v>19386000</v>
      </c>
      <c r="AD112">
        <f>SUMIFS('Federal Data'!AO2:AO501,'Federal Data'!$H2:$H501,"Other Social Security",'Federal Data'!$D2:$D501,"Nongrant")</f>
        <v>17783000</v>
      </c>
      <c r="AE112">
        <f>SUMIFS('Federal Data'!AP2:AP501,'Federal Data'!$H2:$H501,"Other Social Security",'Federal Data'!$D2:$D501,"Nongrant")</f>
        <v>34096000</v>
      </c>
      <c r="AF112">
        <f>SUMIFS('Federal Data'!AQ2:AQ501,'Federal Data'!$H2:$H501,"Other Social Security",'Federal Data'!$D2:$D501,"Nongrant")</f>
        <v>23322000</v>
      </c>
      <c r="AG112">
        <f>SUMIFS('Federal Data'!AR2:AR501,'Federal Data'!$H2:$H501,"Other Social Security",'Federal Data'!$D2:$D501,"Nongrant")</f>
        <v>102074000</v>
      </c>
      <c r="AH112">
        <f>SUMIFS('Federal Data'!AS2:AS501,'Federal Data'!$H2:$H501,"Other Social Security",'Federal Data'!$D2:$D501,"Nongrant")</f>
        <v>140385000</v>
      </c>
      <c r="AI112">
        <f>SUMIFS('Federal Data'!AT2:AT501,'Federal Data'!$H2:$H501,"Other Social Security",'Federal Data'!$D2:$D501,"Nongrant")</f>
        <v>56079000</v>
      </c>
      <c r="AJ112">
        <f>SUMIFS('Federal Data'!AU2:AU501,'Federal Data'!$H2:$H501,"Other Social Security",'Federal Data'!$D2:$D501,"Nongrant")</f>
        <v>25893000</v>
      </c>
      <c r="AK112">
        <f>SUMIFS('Federal Data'!AV2:AV501,'Federal Data'!$H2:$H501,"Other Social Security",'Federal Data'!$D2:$D501,"Nongrant")</f>
        <v>30990000</v>
      </c>
    </row>
    <row r="113" spans="1:37">
      <c r="A113" s="5" t="s">
        <v>247</v>
      </c>
      <c r="B113">
        <f>SUMIFS('Federal Data'!M2:M501,'Federal Data'!$G2:$G501,"Medicare",'Federal Data'!$D2:$D501,"Nongrant")</f>
        <v>32089580</v>
      </c>
      <c r="C113">
        <f>SUMIFS('Federal Data'!N2:N501,'Federal Data'!$G2:$G501,"Medicare",'Federal Data'!$D2:$D501,"Nongrant")</f>
        <v>39148729</v>
      </c>
      <c r="D113">
        <f>SUMIFS('Federal Data'!O2:O501,'Federal Data'!$G2:$G501,"Medicare",'Federal Data'!$D2:$D501,"Nongrant")</f>
        <v>46567472</v>
      </c>
      <c r="E113">
        <f>SUMIFS('Federal Data'!P2:P501,'Federal Data'!$G2:$G501,"Medicare",'Federal Data'!$D2:$D501,"Nongrant")</f>
        <v>52587740</v>
      </c>
      <c r="F113">
        <f>SUMIFS('Federal Data'!Q2:Q501,'Federal Data'!$G2:$G501,"Medicare",'Federal Data'!$D2:$D501,"Nongrant")</f>
        <v>57537672</v>
      </c>
      <c r="G113">
        <f>SUMIFS('Federal Data'!R2:R501,'Federal Data'!$G2:$G501,"Medicare",'Federal Data'!$D2:$D501,"Nongrant")</f>
        <v>65822367</v>
      </c>
      <c r="H113">
        <f>SUMIFS('Federal Data'!S2:S501,'Federal Data'!$G2:$G501,"Medicare",'Federal Data'!$D2:$D501,"Nongrant")</f>
        <v>70163956</v>
      </c>
      <c r="I113">
        <f>SUMIFS('Federal Data'!T2:T501,'Federal Data'!$G2:$G501,"Medicare",'Federal Data'!$D2:$D501,"Nongrant")</f>
        <v>75120105</v>
      </c>
      <c r="J113">
        <f>SUMIFS('Federal Data'!U2:U501,'Federal Data'!$G2:$G501,"Medicare",'Federal Data'!$D2:$D501,"Nongrant")</f>
        <v>78878475</v>
      </c>
      <c r="K113">
        <f>SUMIFS('Federal Data'!V2:V501,'Federal Data'!$G2:$G501,"Medicare",'Federal Data'!$D2:$D501,"Nongrant")</f>
        <v>84964394</v>
      </c>
      <c r="L113">
        <f>SUMIFS('Federal Data'!W2:W501,'Federal Data'!$G2:$G501,"Medicare",'Federal Data'!$D2:$D501,"Nongrant")</f>
        <v>98101537</v>
      </c>
      <c r="M113">
        <f>SUMIFS('Federal Data'!X2:X501,'Federal Data'!$G2:$G501,"Medicare",'Federal Data'!$D2:$D501,"Nongrant")</f>
        <v>104489292</v>
      </c>
      <c r="N113">
        <f>SUMIFS('Federal Data'!Y2:Y501,'Federal Data'!$G2:$G501,"Medicare",'Federal Data'!$D2:$D501,"Nongrant")</f>
        <v>119023572</v>
      </c>
      <c r="O113">
        <f>SUMIFS('Federal Data'!Z2:Z501,'Federal Data'!$G2:$G501,"Medicare",'Federal Data'!$D2:$D501,"Nongrant")</f>
        <v>130551946</v>
      </c>
      <c r="P113">
        <f>SUMIFS('Federal Data'!AA2:AA501,'Federal Data'!$G2:$G501,"Medicare",'Federal Data'!$D2:$D501,"Nongrant")</f>
        <v>144747722</v>
      </c>
      <c r="Q113">
        <f>SUMIFS('Federal Data'!AB2:AB501,'Federal Data'!$G2:$G501,"Medicare",'Federal Data'!$D2:$D501,"Nongrant")</f>
        <v>159854000</v>
      </c>
      <c r="R113">
        <f>SUMIFS('Federal Data'!AC2:AC501,'Federal Data'!$G2:$G501,"Medicare",'Federal Data'!$D2:$D501,"Nongrant")</f>
        <v>174226000</v>
      </c>
      <c r="S113">
        <f>SUMIFS('Federal Data'!AD2:AD501,'Federal Data'!$G2:$G501,"Medicare",'Federal Data'!$D2:$D501,"Nongrant")</f>
        <v>190016000</v>
      </c>
      <c r="T113">
        <f>SUMIFS('Federal Data'!AE2:AE501,'Federal Data'!$G2:$G501,"Medicare",'Federal Data'!$D2:$D501,"Nongrant")</f>
        <v>192823000</v>
      </c>
      <c r="U113">
        <f>SUMIFS('Federal Data'!AF2:AF501,'Federal Data'!$G2:$G501,"Medicare",'Federal Data'!$D2:$D501,"Nongrant")</f>
        <v>190447000</v>
      </c>
      <c r="V113">
        <f>SUMIFS('Federal Data'!AG2:AG501,'Federal Data'!$G2:$G501,"Medicare",'Federal Data'!$D2:$D501,"Nongrant")</f>
        <v>197113000</v>
      </c>
      <c r="W113">
        <f>SUMIFS('Federal Data'!AH2:AH501,'Federal Data'!$G2:$G501,"Medicare",'Federal Data'!$D2:$D501,"Nongrant")</f>
        <v>217384000</v>
      </c>
      <c r="X113">
        <f>SUMIFS('Federal Data'!AI2:AI501,'Federal Data'!$G2:$G501,"Medicare",'Federal Data'!$D2:$D501,"Nongrant")</f>
        <v>230855000</v>
      </c>
      <c r="Y113">
        <f>SUMIFS('Federal Data'!AJ2:AJ501,'Federal Data'!$G2:$G501,"Medicare",'Federal Data'!$D2:$D501,"Nongrant")</f>
        <v>249433000</v>
      </c>
      <c r="Z113">
        <f>SUMIFS('Federal Data'!AK2:AK501,'Federal Data'!$G2:$G501,"Medicare",'Federal Data'!$D2:$D501,"Nongrant")</f>
        <v>269360000</v>
      </c>
      <c r="AA113">
        <f>SUMIFS('Federal Data'!AL2:AL501,'Federal Data'!$G2:$G501,"Medicare",'Federal Data'!$D2:$D501,"Nongrant")</f>
        <v>298638000</v>
      </c>
      <c r="AB113">
        <f>SUMIFS('Federal Data'!AM2:AM501,'Federal Data'!$G2:$G501,"Medicare",'Federal Data'!$D2:$D501,"Nongrant")</f>
        <v>329838000</v>
      </c>
      <c r="AC113">
        <f>SUMIFS('Federal Data'!AN2:AN501,'Federal Data'!$G2:$G501,"Medicare",'Federal Data'!$D2:$D501,"Nongrant")</f>
        <v>375401000</v>
      </c>
      <c r="AD113">
        <f>SUMIFS('Federal Data'!AO2:AO501,'Federal Data'!$G2:$G501,"Medicare",'Federal Data'!$D2:$D501,"Nongrant")</f>
        <v>390775000</v>
      </c>
      <c r="AE113">
        <f>SUMIFS('Federal Data'!AP2:AP501,'Federal Data'!$G2:$G501,"Medicare",'Federal Data'!$D2:$D501,"Nongrant")</f>
        <v>430095000</v>
      </c>
      <c r="AF113">
        <f>SUMIFS('Federal Data'!AQ2:AQ501,'Federal Data'!$G2:$G501,"Medicare",'Federal Data'!$D2:$D501,"Nongrant")</f>
        <v>451629000</v>
      </c>
      <c r="AG113">
        <f>SUMIFS('Federal Data'!AR2:AR501,'Federal Data'!$G2:$G501,"Medicare",'Federal Data'!$D2:$D501,"Nongrant")</f>
        <v>485744000</v>
      </c>
      <c r="AH113">
        <f>SUMIFS('Federal Data'!AS2:AS501,'Federal Data'!$G2:$G501,"Medicare",'Federal Data'!$D2:$D501,"Nongrant")</f>
        <v>472081000</v>
      </c>
      <c r="AI113">
        <f>SUMIFS('Federal Data'!AT2:AT501,'Federal Data'!$G2:$G501,"Medicare",'Federal Data'!$D2:$D501,"Nongrant")</f>
        <v>497740000</v>
      </c>
      <c r="AJ113">
        <f>SUMIFS('Federal Data'!AU2:AU501,'Federal Data'!$G2:$G501,"Medicare",'Federal Data'!$D2:$D501,"Nongrant")</f>
        <v>511550000</v>
      </c>
      <c r="AK113">
        <f>SUMIFS('Federal Data'!AV2:AV501,'Federal Data'!$G2:$G501,"Medicare",'Federal Data'!$D2:$D501,"Nongrant")</f>
        <v>546108000</v>
      </c>
    </row>
    <row r="114" spans="1:37">
      <c r="A114" s="5" t="s">
        <v>308</v>
      </c>
      <c r="B114">
        <f>SUMIFS('Federal Data'!M2:M501,'Federal Data'!$G2:$G501,"General Retirement Programs (excl. Social Security)",'Federal Data'!$D2:$D501,"Nongrant")</f>
        <v>5083081</v>
      </c>
      <c r="C114">
        <f>SUMIFS('Federal Data'!N2:N501,'Federal Data'!$G2:$G501,"General Retirement Programs (excl. Social Security)",'Federal Data'!$D2:$D501,"Nongrant")</f>
        <v>5439462</v>
      </c>
      <c r="D114">
        <f>SUMIFS('Federal Data'!O2:O501,'Federal Data'!$G2:$G501,"General Retirement Programs (excl. Social Security)",'Federal Data'!$D2:$D501,"Nongrant")</f>
        <v>5570663</v>
      </c>
      <c r="E114">
        <f>SUMIFS('Federal Data'!P2:P501,'Federal Data'!$G2:$G501,"General Retirement Programs (excl. Social Security)",'Federal Data'!$D2:$D501,"Nongrant")</f>
        <v>5581077</v>
      </c>
      <c r="F114">
        <f>SUMIFS('Federal Data'!Q2:Q501,'Federal Data'!$G2:$G501,"General Retirement Programs (excl. Social Security)",'Federal Data'!$D2:$D501,"Nongrant")</f>
        <v>5441411</v>
      </c>
      <c r="G114">
        <f>SUMIFS('Federal Data'!R2:R501,'Federal Data'!$G2:$G501,"General Retirement Programs (excl. Social Security)",'Federal Data'!$D2:$D501,"Nongrant")</f>
        <v>5616954</v>
      </c>
      <c r="H114">
        <f>SUMIFS('Federal Data'!S2:S501,'Federal Data'!$G2:$G501,"General Retirement Programs (excl. Social Security)",'Federal Data'!$D2:$D501,"Nongrant")</f>
        <v>5329680</v>
      </c>
      <c r="I114">
        <f>SUMIFS('Federal Data'!T2:T501,'Federal Data'!$G2:$G501,"General Retirement Programs (excl. Social Security)",'Federal Data'!$D2:$D501,"Nongrant")</f>
        <v>5564665</v>
      </c>
      <c r="J114">
        <f>SUMIFS('Federal Data'!U2:U501,'Federal Data'!$G2:$G501,"General Retirement Programs (excl. Social Security)",'Federal Data'!$D2:$D501,"Nongrant")</f>
        <v>5294174</v>
      </c>
      <c r="K114">
        <f>SUMIFS('Federal Data'!V2:V501,'Federal Data'!$G2:$G501,"General Retirement Programs (excl. Social Security)",'Federal Data'!$D2:$D501,"Nongrant")</f>
        <v>5650358</v>
      </c>
      <c r="L114">
        <f>SUMIFS('Federal Data'!W2:W501,'Federal Data'!$G2:$G501,"General Retirement Programs (excl. Social Security)",'Federal Data'!$D2:$D501,"Nongrant")</f>
        <v>5148327</v>
      </c>
      <c r="M114">
        <f>SUMIFS('Federal Data'!X2:X501,'Federal Data'!$G2:$G501,"General Retirement Programs (excl. Social Security)",'Federal Data'!$D2:$D501,"Nongrant")</f>
        <v>4945054</v>
      </c>
      <c r="N114">
        <f>SUMIFS('Federal Data'!Y2:Y501,'Federal Data'!$G2:$G501,"General Retirement Programs (excl. Social Security)",'Federal Data'!$D2:$D501,"Nongrant")</f>
        <v>5482621</v>
      </c>
      <c r="O114">
        <f>SUMIFS('Federal Data'!Z2:Z501,'Federal Data'!$G2:$G501,"General Retirement Programs (excl. Social Security)",'Federal Data'!$D2:$D501,"Nongrant")</f>
        <v>4346698</v>
      </c>
      <c r="P114">
        <f>SUMIFS('Federal Data'!AA2:AA501,'Federal Data'!$G2:$G501,"General Retirement Programs (excl. Social Security)",'Federal Data'!$D2:$D501,"Nongrant")</f>
        <v>5720012</v>
      </c>
      <c r="Q114">
        <f>SUMIFS('Federal Data'!AB2:AB501,'Federal Data'!$G2:$G501,"General Retirement Programs (excl. Social Security)",'Federal Data'!$D2:$D501,"Nongrant")</f>
        <v>5106000</v>
      </c>
      <c r="R114">
        <f>SUMIFS('Federal Data'!AC2:AC501,'Federal Data'!$G2:$G501,"General Retirement Programs (excl. Social Security)",'Federal Data'!$D2:$D501,"Nongrant")</f>
        <v>5281000</v>
      </c>
      <c r="S114">
        <f>SUMIFS('Federal Data'!AD2:AD501,'Federal Data'!$G2:$G501,"General Retirement Programs (excl. Social Security)",'Federal Data'!$D2:$D501,"Nongrant")</f>
        <v>4752000</v>
      </c>
      <c r="T114">
        <f>SUMIFS('Federal Data'!AE2:AE501,'Federal Data'!$G2:$G501,"General Retirement Programs (excl. Social Security)",'Federal Data'!$D2:$D501,"Nongrant")</f>
        <v>4665000</v>
      </c>
      <c r="U114">
        <f>SUMIFS('Federal Data'!AF2:AF501,'Federal Data'!$G2:$G501,"General Retirement Programs (excl. Social Security)",'Federal Data'!$D2:$D501,"Nongrant")</f>
        <v>1959000</v>
      </c>
      <c r="V114">
        <f>SUMIFS('Federal Data'!AG2:AG501,'Federal Data'!$G2:$G501,"General Retirement Programs (excl. Social Security)",'Federal Data'!$D2:$D501,"Nongrant")</f>
        <v>5298000</v>
      </c>
      <c r="W114">
        <f>SUMIFS('Federal Data'!AH2:AH501,'Federal Data'!$G2:$G501,"General Retirement Programs (excl. Social Security)",'Federal Data'!$D2:$D501,"Nongrant")</f>
        <v>5943000</v>
      </c>
      <c r="X114">
        <f>SUMIFS('Federal Data'!AI2:AI501,'Federal Data'!$G2:$G501,"General Retirement Programs (excl. Social Security)",'Federal Data'!$D2:$D501,"Nongrant")</f>
        <v>5855000</v>
      </c>
      <c r="Y114">
        <f>SUMIFS('Federal Data'!AJ2:AJ501,'Federal Data'!$G2:$G501,"General Retirement Programs (excl. Social Security)",'Federal Data'!$D2:$D501,"Nongrant")</f>
        <v>7103000</v>
      </c>
      <c r="Z114">
        <f>SUMIFS('Federal Data'!AK2:AK501,'Federal Data'!$G2:$G501,"General Retirement Programs (excl. Social Security)",'Federal Data'!$D2:$D501,"Nongrant")</f>
        <v>6588000</v>
      </c>
      <c r="AA114">
        <f>SUMIFS('Federal Data'!AL2:AL501,'Federal Data'!$G2:$G501,"General Retirement Programs (excl. Social Security)",'Federal Data'!$D2:$D501,"Nongrant")</f>
        <v>7043000</v>
      </c>
      <c r="AB114">
        <f>SUMIFS('Federal Data'!AM2:AM501,'Federal Data'!$G2:$G501,"General Retirement Programs (excl. Social Security)",'Federal Data'!$D2:$D501,"Nongrant")</f>
        <v>4651000</v>
      </c>
      <c r="AC114">
        <f>SUMIFS('Federal Data'!AN2:AN501,'Federal Data'!$G2:$G501,"General Retirement Programs (excl. Social Security)",'Federal Data'!$D2:$D501,"Nongrant")</f>
        <v>7943000</v>
      </c>
      <c r="AD114">
        <f>SUMIFS('Federal Data'!AO2:AO501,'Federal Data'!$G2:$G501,"General Retirement Programs (excl. Social Security)",'Federal Data'!$D2:$D501,"Nongrant")</f>
        <v>9066000</v>
      </c>
      <c r="AE114">
        <f>SUMIFS('Federal Data'!AP2:AP501,'Federal Data'!$G2:$G501,"General Retirement Programs (excl. Social Security)",'Federal Data'!$D2:$D501,"Nongrant")</f>
        <v>8342000</v>
      </c>
      <c r="AF114">
        <f>SUMIFS('Federal Data'!AQ2:AQ501,'Federal Data'!$G2:$G501,"General Retirement Programs (excl. Social Security)",'Federal Data'!$D2:$D501,"Nongrant")</f>
        <v>6737000</v>
      </c>
      <c r="AG114">
        <f>SUMIFS('Federal Data'!AR2:AR501,'Federal Data'!$G2:$G501,"General Retirement Programs (excl. Social Security)",'Federal Data'!$D2:$D501,"Nongrant")</f>
        <v>6913000</v>
      </c>
      <c r="AH114">
        <f>SUMIFS('Federal Data'!AS2:AS501,'Federal Data'!$G2:$G501,"General Retirement Programs (excl. Social Security)",'Federal Data'!$D2:$D501,"Nongrant")</f>
        <v>8014000</v>
      </c>
      <c r="AI114">
        <f>SUMIFS('Federal Data'!AT2:AT501,'Federal Data'!$G2:$G501,"General Retirement Programs (excl. Social Security)",'Federal Data'!$D2:$D501,"Nongrant")</f>
        <v>7165000</v>
      </c>
      <c r="AJ114">
        <f>SUMIFS('Federal Data'!AU2:AU501,'Federal Data'!$G2:$G501,"General Retirement Programs (excl. Social Security)",'Federal Data'!$D2:$D501,"Nongrant")</f>
        <v>8889000</v>
      </c>
      <c r="AK114">
        <f>SUMIFS('Federal Data'!AV2:AV501,'Federal Data'!$G2:$G501,"General Retirement Programs (excl. Social Security)",'Federal Data'!$D2:$D501,"Nongrant")</f>
        <v>7979000</v>
      </c>
    </row>
    <row r="115" spans="1:37">
      <c r="A115" s="5" t="s">
        <v>52</v>
      </c>
      <c r="B115">
        <f>SUMIFS('Federal Data'!M2:M501,'Federal Data'!$G2:$G501,"Housing Support",'Federal Data'!$D2:$D501,"Nongrant")</f>
        <v>5785043</v>
      </c>
      <c r="C115">
        <f>SUMIFS('Federal Data'!N2:N501,'Federal Data'!$G2:$G501,"Housing Support",'Federal Data'!$D2:$D501,"Nongrant")</f>
        <v>5922533</v>
      </c>
      <c r="D115">
        <f>SUMIFS('Federal Data'!O2:O501,'Federal Data'!$G2:$G501,"Housing Support",'Federal Data'!$D2:$D501,"Nongrant")</f>
        <v>5883215</v>
      </c>
      <c r="E115">
        <f>SUMIFS('Federal Data'!P2:P501,'Federal Data'!$G2:$G501,"Housing Support",'Federal Data'!$D2:$D501,"Nongrant")</f>
        <v>4966470</v>
      </c>
      <c r="F115">
        <f>SUMIFS('Federal Data'!Q2:Q501,'Federal Data'!$G2:$G501,"Housing Support",'Federal Data'!$D2:$D501,"Nongrant")</f>
        <v>4136065</v>
      </c>
      <c r="G115">
        <f>SUMIFS('Federal Data'!R2:R501,'Federal Data'!$G2:$G501,"Housing Support",'Federal Data'!$D2:$D501,"Nongrant")</f>
        <v>2748261</v>
      </c>
      <c r="H115">
        <f>SUMIFS('Federal Data'!S2:S501,'Federal Data'!$G2:$G501,"Housing Support",'Federal Data'!$D2:$D501,"Nongrant")</f>
        <v>643752</v>
      </c>
      <c r="I115">
        <f>SUMIFS('Federal Data'!T2:T501,'Federal Data'!$G2:$G501,"Housing Support",'Federal Data'!$D2:$D501,"Nongrant")</f>
        <v>-451029</v>
      </c>
      <c r="J115">
        <f>SUMIFS('Federal Data'!U2:U501,'Federal Data'!$G2:$G501,"Housing Support",'Federal Data'!$D2:$D501,"Nongrant")</f>
        <v>4815748</v>
      </c>
      <c r="K115">
        <f>SUMIFS('Federal Data'!V2:V501,'Federal Data'!$G2:$G501,"Housing Support",'Federal Data'!$D2:$D501,"Nongrant")</f>
        <v>5266072</v>
      </c>
      <c r="L115">
        <f>SUMIFS('Federal Data'!W2:W501,'Federal Data'!$G2:$G501,"Housing Support",'Federal Data'!$D2:$D501,"Nongrant")</f>
        <v>3887411</v>
      </c>
      <c r="M115">
        <f>SUMIFS('Federal Data'!X2:X501,'Federal Data'!$G2:$G501,"Housing Support",'Federal Data'!$D2:$D501,"Nongrant")</f>
        <v>5369324</v>
      </c>
      <c r="N115">
        <f>SUMIFS('Federal Data'!Y2:Y501,'Federal Data'!$G2:$G501,"Housing Support",'Federal Data'!$D2:$D501,"Nongrant")</f>
        <v>4329100</v>
      </c>
      <c r="O115">
        <f>SUMIFS('Federal Data'!Z2:Z501,'Federal Data'!$G2:$G501,"Housing Support",'Federal Data'!$D2:$D501,"Nongrant")</f>
        <v>1562123</v>
      </c>
      <c r="P115">
        <f>SUMIFS('Federal Data'!AA2:AA501,'Federal Data'!$G2:$G501,"Housing Support",'Federal Data'!$D2:$D501,"Nongrant")</f>
        <v>-491567</v>
      </c>
      <c r="Q115">
        <f>SUMIFS('Federal Data'!AB2:AB501,'Federal Data'!$G2:$G501,"Housing Support",'Federal Data'!$D2:$D501,"Nongrant")</f>
        <v>-1025000</v>
      </c>
      <c r="R115">
        <f>SUMIFS('Federal Data'!AC2:AC501,'Federal Data'!$G2:$G501,"Housing Support",'Federal Data'!$D2:$D501,"Nongrant")</f>
        <v>-5013000</v>
      </c>
      <c r="S115">
        <f>SUMIFS('Federal Data'!AD2:AD501,'Federal Data'!$G2:$G501,"Housing Support",'Federal Data'!$D2:$D501,"Nongrant")</f>
        <v>-3993000</v>
      </c>
      <c r="T115">
        <f>SUMIFS('Federal Data'!AE2:AE501,'Federal Data'!$G2:$G501,"Housing Support",'Federal Data'!$D2:$D501,"Nongrant")</f>
        <v>150000</v>
      </c>
      <c r="U115">
        <f>SUMIFS('Federal Data'!AF2:AF501,'Federal Data'!$G2:$G501,"Housing Support",'Federal Data'!$D2:$D501,"Nongrant")</f>
        <v>1506000</v>
      </c>
      <c r="V115">
        <f>SUMIFS('Federal Data'!AG2:AG501,'Federal Data'!$G2:$G501,"Housing Support",'Federal Data'!$D2:$D501,"Nongrant")</f>
        <v>-3289000</v>
      </c>
      <c r="W115">
        <f>SUMIFS('Federal Data'!AH2:AH501,'Federal Data'!$G2:$G501,"Housing Support",'Federal Data'!$D2:$D501,"Nongrant")</f>
        <v>-1121000</v>
      </c>
      <c r="X115">
        <f>SUMIFS('Federal Data'!AI2:AI501,'Federal Data'!$G2:$G501,"Housing Support",'Federal Data'!$D2:$D501,"Nongrant")</f>
        <v>-6963000</v>
      </c>
      <c r="Y115">
        <f>SUMIFS('Federal Data'!AJ2:AJ501,'Federal Data'!$G2:$G501,"Housing Support",'Federal Data'!$D2:$D501,"Nongrant")</f>
        <v>-3292000</v>
      </c>
      <c r="Z115">
        <f>SUMIFS('Federal Data'!AK2:AK501,'Federal Data'!$G2:$G501,"Housing Support",'Federal Data'!$D2:$D501,"Nongrant")</f>
        <v>1615000</v>
      </c>
      <c r="AA115">
        <f>SUMIFS('Federal Data'!AL2:AL501,'Federal Data'!$G2:$G501,"Housing Support",'Federal Data'!$D2:$D501,"Nongrant")</f>
        <v>-1678000</v>
      </c>
      <c r="AB115">
        <f>SUMIFS('Federal Data'!AM2:AM501,'Federal Data'!$G2:$G501,"Housing Support",'Federal Data'!$D2:$D501,"Nongrant")</f>
        <v>-1040000</v>
      </c>
      <c r="AC115">
        <f>SUMIFS('Federal Data'!AN2:AN501,'Federal Data'!$G2:$G501,"Housing Support",'Federal Data'!$D2:$D501,"Nongrant")</f>
        <v>-5487000</v>
      </c>
      <c r="AD115">
        <f>SUMIFS('Federal Data'!AO2:AO501,'Federal Data'!$G2:$G501,"Housing Support",'Federal Data'!$D2:$D501,"Nongrant")</f>
        <v>-681000</v>
      </c>
      <c r="AE115">
        <f>SUMIFS('Federal Data'!AP2:AP501,'Federal Data'!$G2:$G501,"Housing Support",'Federal Data'!$D2:$D501,"Nongrant")</f>
        <v>99222000</v>
      </c>
      <c r="AF115">
        <f>SUMIFS('Federal Data'!AQ2:AQ501,'Federal Data'!$G2:$G501,"Housing Support",'Federal Data'!$D2:$D501,"Nongrant")</f>
        <v>35186000</v>
      </c>
      <c r="AG115">
        <f>SUMIFS('Federal Data'!AR2:AR501,'Federal Data'!$G2:$G501,"Housing Support",'Federal Data'!$D2:$D501,"Nongrant")</f>
        <v>13853000</v>
      </c>
      <c r="AH115">
        <f>SUMIFS('Federal Data'!AS2:AS501,'Federal Data'!$G2:$G501,"Housing Support",'Federal Data'!$D2:$D501,"Nongrant")</f>
        <v>-8213000</v>
      </c>
      <c r="AI115">
        <f>SUMIFS('Federal Data'!AT2:AT501,'Federal Data'!$G2:$G501,"Housing Support",'Federal Data'!$D2:$D501,"Nongrant")</f>
        <v>-88201000</v>
      </c>
      <c r="AJ115">
        <f>SUMIFS('Federal Data'!AU2:AU501,'Federal Data'!$G2:$G501,"Housing Support",'Federal Data'!$D2:$D501,"Nongrant")</f>
        <v>-84349000</v>
      </c>
      <c r="AK115">
        <f>SUMIFS('Federal Data'!AV2:AV501,'Federal Data'!$G2:$G501,"Housing Support",'Federal Data'!$D2:$D501,"Nongrant")</f>
        <v>-36018000</v>
      </c>
    </row>
    <row r="116" spans="1:37">
      <c r="A116" s="6" t="s">
        <v>274</v>
      </c>
      <c r="B116">
        <f>SUMIFS('Federal Data'!M2:M501,'Federal Data'!$H2:$H501,"General Housing Support",'Federal Data'!$D2:$D501,"Nongrant")</f>
        <v>2160851</v>
      </c>
      <c r="C116">
        <f>SUMIFS('Federal Data'!N2:N501,'Federal Data'!$H2:$H501,"General Housing Support",'Federal Data'!$D2:$D501,"Nongrant")</f>
        <v>2008442</v>
      </c>
      <c r="D116">
        <f>SUMIFS('Federal Data'!O2:O501,'Federal Data'!$H2:$H501,"General Housing Support",'Federal Data'!$D2:$D501,"Nongrant")</f>
        <v>1837666</v>
      </c>
      <c r="E116">
        <f>SUMIFS('Federal Data'!P2:P501,'Federal Data'!$H2:$H501,"General Housing Support",'Federal Data'!$D2:$D501,"Nongrant")</f>
        <v>1382342</v>
      </c>
      <c r="F116">
        <f>SUMIFS('Federal Data'!Q2:Q501,'Federal Data'!$H2:$H501,"General Housing Support",'Federal Data'!$D2:$D501,"Nongrant")</f>
        <v>706212</v>
      </c>
      <c r="G116">
        <f>SUMIFS('Federal Data'!R2:R501,'Federal Data'!$H2:$H501,"General Housing Support",'Federal Data'!$D2:$D501,"Nongrant")</f>
        <v>-1222485</v>
      </c>
      <c r="H116">
        <f>SUMIFS('Federal Data'!S2:S501,'Federal Data'!$H2:$H501,"General Housing Support",'Federal Data'!$D2:$D501,"Nongrant")</f>
        <v>-2591356</v>
      </c>
      <c r="I116">
        <f>SUMIFS('Federal Data'!T2:T501,'Federal Data'!$H2:$H501,"General Housing Support",'Federal Data'!$D2:$D501,"Nongrant")</f>
        <v>-1249851</v>
      </c>
      <c r="J116">
        <f>SUMIFS('Federal Data'!U2:U501,'Federal Data'!$H2:$H501,"General Housing Support",'Federal Data'!$D2:$D501,"Nongrant")</f>
        <v>1204145</v>
      </c>
      <c r="K116">
        <f>SUMIFS('Federal Data'!V2:V501,'Federal Data'!$H2:$H501,"General Housing Support",'Federal Data'!$D2:$D501,"Nongrant")</f>
        <v>1655584</v>
      </c>
      <c r="L116">
        <f>SUMIFS('Federal Data'!W2:W501,'Federal Data'!$H2:$H501,"General Housing Support",'Federal Data'!$D2:$D501,"Nongrant")</f>
        <v>873051</v>
      </c>
      <c r="M116">
        <f>SUMIFS('Federal Data'!X2:X501,'Federal Data'!$H2:$H501,"General Housing Support",'Federal Data'!$D2:$D501,"Nongrant")</f>
        <v>2131121</v>
      </c>
      <c r="N116">
        <f>SUMIFS('Federal Data'!Y2:Y501,'Federal Data'!$H2:$H501,"General Housing Support",'Federal Data'!$D2:$D501,"Nongrant")</f>
        <v>2335045</v>
      </c>
      <c r="O116">
        <f>SUMIFS('Federal Data'!Z2:Z501,'Federal Data'!$H2:$H501,"General Housing Support",'Federal Data'!$D2:$D501,"Nongrant")</f>
        <v>443692</v>
      </c>
      <c r="P116">
        <f>SUMIFS('Federal Data'!AA2:AA501,'Federal Data'!$H2:$H501,"General Housing Support",'Federal Data'!$D2:$D501,"Nongrant")</f>
        <v>-1598760</v>
      </c>
      <c r="Q116">
        <f>SUMIFS('Federal Data'!AB2:AB501,'Federal Data'!$H2:$H501,"General Housing Support",'Federal Data'!$D2:$D501,"Nongrant")</f>
        <v>-2605000</v>
      </c>
      <c r="R116">
        <f>SUMIFS('Federal Data'!AC2:AC501,'Federal Data'!$H2:$H501,"General Housing Support",'Federal Data'!$D2:$D501,"Nongrant")</f>
        <v>-5759000</v>
      </c>
      <c r="S116">
        <f>SUMIFS('Federal Data'!AD2:AD501,'Federal Data'!$H2:$H501,"General Housing Support",'Federal Data'!$D2:$D501,"Nongrant")</f>
        <v>-4468000</v>
      </c>
      <c r="T116">
        <f>SUMIFS('Federal Data'!AE2:AE501,'Federal Data'!$H2:$H501,"General Housing Support",'Federal Data'!$D2:$D501,"Nongrant")</f>
        <v>329000</v>
      </c>
      <c r="U116">
        <f>SUMIFS('Federal Data'!AF2:AF501,'Federal Data'!$H2:$H501,"General Housing Support",'Federal Data'!$D2:$D501,"Nongrant")</f>
        <v>1841000</v>
      </c>
      <c r="V116">
        <f>SUMIFS('Federal Data'!AG2:AG501,'Federal Data'!$H2:$H501,"General Housing Support",'Federal Data'!$D2:$D501,"Nongrant")</f>
        <v>-2677000</v>
      </c>
      <c r="W116">
        <f>SUMIFS('Federal Data'!AH2:AH501,'Federal Data'!$H2:$H501,"General Housing Support",'Federal Data'!$D2:$D501,"Nongrant")</f>
        <v>-653000</v>
      </c>
      <c r="X116">
        <f>SUMIFS('Federal Data'!AI2:AI501,'Federal Data'!$H2:$H501,"General Housing Support",'Federal Data'!$D2:$D501,"Nongrant")</f>
        <v>-6255000</v>
      </c>
      <c r="Y116">
        <f>SUMIFS('Federal Data'!AJ2:AJ501,'Federal Data'!$H2:$H501,"General Housing Support",'Federal Data'!$D2:$D501,"Nongrant")</f>
        <v>-2005000</v>
      </c>
      <c r="Z116">
        <f>SUMIFS('Federal Data'!AK2:AK501,'Federal Data'!$H2:$H501,"General Housing Support",'Federal Data'!$D2:$D501,"Nongrant")</f>
        <v>2141000</v>
      </c>
      <c r="AA116">
        <f>SUMIFS('Federal Data'!AL2:AL501,'Federal Data'!$H2:$H501,"General Housing Support",'Federal Data'!$D2:$D501,"Nongrant")</f>
        <v>-865000</v>
      </c>
      <c r="AB116">
        <f>SUMIFS('Federal Data'!AM2:AM501,'Federal Data'!$H2:$H501,"General Housing Support",'Federal Data'!$D2:$D501,"Nongrant")</f>
        <v>-783000</v>
      </c>
      <c r="AC116">
        <f>SUMIFS('Federal Data'!AN2:AN501,'Federal Data'!$H2:$H501,"General Housing Support",'Federal Data'!$D2:$D501,"Nongrant")</f>
        <v>-5171000</v>
      </c>
      <c r="AD116">
        <f>SUMIFS('Federal Data'!AO2:AO501,'Federal Data'!$H2:$H501,"General Housing Support",'Federal Data'!$D2:$D501,"Nongrant")</f>
        <v>-521000</v>
      </c>
      <c r="AE116">
        <f>SUMIFS('Federal Data'!AP2:AP501,'Federal Data'!$H2:$H501,"General Housing Support",'Federal Data'!$D2:$D501,"Nongrant")</f>
        <v>12928000</v>
      </c>
      <c r="AF116">
        <f>SUMIFS('Federal Data'!AQ2:AQ501,'Federal Data'!$H2:$H501,"General Housing Support",'Federal Data'!$D2:$D501,"Nongrant")</f>
        <v>4004000</v>
      </c>
      <c r="AG116">
        <f>SUMIFS('Federal Data'!AR2:AR501,'Federal Data'!$H2:$H501,"General Housing Support",'Federal Data'!$D2:$D501,"Nongrant")</f>
        <v>875000</v>
      </c>
      <c r="AH116">
        <f>SUMIFS('Federal Data'!AS2:AS501,'Federal Data'!$H2:$H501,"General Housing Support",'Federal Data'!$D2:$D501,"Nongrant")</f>
        <v>-1308000</v>
      </c>
      <c r="AI116">
        <f>SUMIFS('Federal Data'!AT2:AT501,'Federal Data'!$H2:$H501,"General Housing Support",'Federal Data'!$D2:$D501,"Nongrant")</f>
        <v>7777000</v>
      </c>
      <c r="AJ116">
        <f>SUMIFS('Federal Data'!AU2:AU501,'Federal Data'!$H2:$H501,"General Housing Support",'Federal Data'!$D2:$D501,"Nongrant")</f>
        <v>-10662000</v>
      </c>
      <c r="AK116">
        <f>SUMIFS('Federal Data'!AV2:AV501,'Federal Data'!$H2:$H501,"General Housing Support",'Federal Data'!$D2:$D501,"Nongrant")</f>
        <v>-14152000</v>
      </c>
    </row>
    <row r="117" spans="1:37">
      <c r="A117" s="6" t="s">
        <v>298</v>
      </c>
      <c r="B117">
        <f>SUMIFS('Federal Data'!M2:M501,'Federal Data'!$H2:$H501,"GSE",'Federal Data'!$D2:$D501,"Nongrant")</f>
        <v>0</v>
      </c>
      <c r="C117">
        <f>SUMIFS('Federal Data'!N2:N501,'Federal Data'!$H2:$H501,"GSE",'Federal Data'!$D2:$D501,"Nongrant")</f>
        <v>0</v>
      </c>
      <c r="D117">
        <f>SUMIFS('Federal Data'!O2:O501,'Federal Data'!$H2:$H501,"GSE",'Federal Data'!$D2:$D501,"Nongrant")</f>
        <v>0</v>
      </c>
      <c r="E117">
        <f>SUMIFS('Federal Data'!P2:P501,'Federal Data'!$H2:$H501,"GSE",'Federal Data'!$D2:$D501,"Nongrant")</f>
        <v>0</v>
      </c>
      <c r="F117">
        <f>SUMIFS('Federal Data'!Q2:Q501,'Federal Data'!$H2:$H501,"GSE",'Federal Data'!$D2:$D501,"Nongrant")</f>
        <v>0</v>
      </c>
      <c r="G117">
        <f>SUMIFS('Federal Data'!R2:R501,'Federal Data'!$H2:$H501,"GSE",'Federal Data'!$D2:$D501,"Nongrant")</f>
        <v>0</v>
      </c>
      <c r="H117">
        <f>SUMIFS('Federal Data'!S2:S501,'Federal Data'!$H2:$H501,"GSE",'Federal Data'!$D2:$D501,"Nongrant")</f>
        <v>0</v>
      </c>
      <c r="I117">
        <f>SUMIFS('Federal Data'!T2:T501,'Federal Data'!$H2:$H501,"GSE",'Federal Data'!$D2:$D501,"Nongrant")</f>
        <v>0</v>
      </c>
      <c r="J117">
        <f>SUMIFS('Federal Data'!U2:U501,'Federal Data'!$H2:$H501,"GSE",'Federal Data'!$D2:$D501,"Nongrant")</f>
        <v>0</v>
      </c>
      <c r="K117">
        <f>SUMIFS('Federal Data'!V2:V501,'Federal Data'!$H2:$H501,"GSE",'Federal Data'!$D2:$D501,"Nongrant")</f>
        <v>0</v>
      </c>
      <c r="L117">
        <f>SUMIFS('Federal Data'!W2:W501,'Federal Data'!$H2:$H501,"GSE",'Federal Data'!$D2:$D501,"Nongrant")</f>
        <v>0</v>
      </c>
      <c r="M117">
        <f>SUMIFS('Federal Data'!X2:X501,'Federal Data'!$H2:$H501,"GSE",'Federal Data'!$D2:$D501,"Nongrant")</f>
        <v>0</v>
      </c>
      <c r="N117">
        <f>SUMIFS('Federal Data'!Y2:Y501,'Federal Data'!$H2:$H501,"GSE",'Federal Data'!$D2:$D501,"Nongrant")</f>
        <v>0</v>
      </c>
      <c r="O117">
        <f>SUMIFS('Federal Data'!Z2:Z501,'Federal Data'!$H2:$H501,"GSE",'Federal Data'!$D2:$D501,"Nongrant")</f>
        <v>0</v>
      </c>
      <c r="P117">
        <f>SUMIFS('Federal Data'!AA2:AA501,'Federal Data'!$H2:$H501,"GSE",'Federal Data'!$D2:$D501,"Nongrant")</f>
        <v>0</v>
      </c>
      <c r="Q117">
        <f>SUMIFS('Federal Data'!AB2:AB501,'Federal Data'!$H2:$H501,"GSE",'Federal Data'!$D2:$D501,"Nongrant")</f>
        <v>0</v>
      </c>
      <c r="R117">
        <f>SUMIFS('Federal Data'!AC2:AC501,'Federal Data'!$H2:$H501,"GSE",'Federal Data'!$D2:$D501,"Nongrant")</f>
        <v>0</v>
      </c>
      <c r="S117">
        <f>SUMIFS('Federal Data'!AD2:AD501,'Federal Data'!$H2:$H501,"GSE",'Federal Data'!$D2:$D501,"Nongrant")</f>
        <v>0</v>
      </c>
      <c r="T117">
        <f>SUMIFS('Federal Data'!AE2:AE501,'Federal Data'!$H2:$H501,"GSE",'Federal Data'!$D2:$D501,"Nongrant")</f>
        <v>0</v>
      </c>
      <c r="U117">
        <f>SUMIFS('Federal Data'!AF2:AF501,'Federal Data'!$H2:$H501,"GSE",'Federal Data'!$D2:$D501,"Nongrant")</f>
        <v>0</v>
      </c>
      <c r="V117">
        <f>SUMIFS('Federal Data'!AG2:AG501,'Federal Data'!$H2:$H501,"GSE",'Federal Data'!$D2:$D501,"Nongrant")</f>
        <v>0</v>
      </c>
      <c r="W117">
        <f>SUMIFS('Federal Data'!AH2:AH501,'Federal Data'!$H2:$H501,"GSE",'Federal Data'!$D2:$D501,"Nongrant")</f>
        <v>0</v>
      </c>
      <c r="X117">
        <f>SUMIFS('Federal Data'!AI2:AI501,'Federal Data'!$H2:$H501,"GSE",'Federal Data'!$D2:$D501,"Nongrant")</f>
        <v>0</v>
      </c>
      <c r="Y117">
        <f>SUMIFS('Federal Data'!AJ2:AJ501,'Federal Data'!$H2:$H501,"GSE",'Federal Data'!$D2:$D501,"Nongrant")</f>
        <v>0</v>
      </c>
      <c r="Z117">
        <f>SUMIFS('Federal Data'!AK2:AK501,'Federal Data'!$H2:$H501,"GSE",'Federal Data'!$D2:$D501,"Nongrant")</f>
        <v>0</v>
      </c>
      <c r="AA117">
        <f>SUMIFS('Federal Data'!AL2:AL501,'Federal Data'!$H2:$H501,"GSE",'Federal Data'!$D2:$D501,"Nongrant")</f>
        <v>0</v>
      </c>
      <c r="AB117">
        <f>SUMIFS('Federal Data'!AM2:AM501,'Federal Data'!$H2:$H501,"GSE",'Federal Data'!$D2:$D501,"Nongrant")</f>
        <v>0</v>
      </c>
      <c r="AC117">
        <f>SUMIFS('Federal Data'!AN2:AN501,'Federal Data'!$H2:$H501,"GSE",'Federal Data'!$D2:$D501,"Nongrant")</f>
        <v>0</v>
      </c>
      <c r="AD117">
        <f>SUMIFS('Federal Data'!AO2:AO501,'Federal Data'!$H2:$H501,"GSE",'Federal Data'!$D2:$D501,"Nongrant")</f>
        <v>-54000</v>
      </c>
      <c r="AE117">
        <f>SUMIFS('Federal Data'!AP2:AP501,'Federal Data'!$H2:$H501,"GSE",'Federal Data'!$D2:$D501,"Nongrant")</f>
        <v>86776000</v>
      </c>
      <c r="AF117">
        <f>SUMIFS('Federal Data'!AQ2:AQ501,'Federal Data'!$H2:$H501,"GSE",'Federal Data'!$D2:$D501,"Nongrant")</f>
        <v>30876000</v>
      </c>
      <c r="AG117">
        <f>SUMIFS('Federal Data'!AR2:AR501,'Federal Data'!$H2:$H501,"GSE",'Federal Data'!$D2:$D501,"Nongrant")</f>
        <v>12633000</v>
      </c>
      <c r="AH117">
        <f>SUMIFS('Federal Data'!AS2:AS501,'Federal Data'!$H2:$H501,"GSE",'Federal Data'!$D2:$D501,"Nongrant")</f>
        <v>-7527000</v>
      </c>
      <c r="AI117">
        <f>SUMIFS('Federal Data'!AT2:AT501,'Federal Data'!$H2:$H501,"GSE",'Federal Data'!$D2:$D501,"Nongrant")</f>
        <v>-96888000</v>
      </c>
      <c r="AJ117">
        <f>SUMIFS('Federal Data'!AU2:AU501,'Federal Data'!$H2:$H501,"GSE",'Federal Data'!$D2:$D501,"Nongrant")</f>
        <v>-74463000</v>
      </c>
      <c r="AK117">
        <f>SUMIFS('Federal Data'!AV2:AV501,'Federal Data'!$H2:$H501,"GSE",'Federal Data'!$D2:$D501,"Nongrant")</f>
        <v>-22557000</v>
      </c>
    </row>
    <row r="118" spans="1:37">
      <c r="A118" s="6" t="s">
        <v>275</v>
      </c>
      <c r="B118">
        <f>SUMIFS('Federal Data'!M2:M501,'Federal Data'!$H2:$H501,"Rural Housing",'Federal Data'!$D2:$D501,"Nongrant")</f>
        <v>3624192</v>
      </c>
      <c r="C118">
        <f>SUMIFS('Federal Data'!N2:N501,'Federal Data'!$H2:$H501,"Rural Housing",'Federal Data'!$D2:$D501,"Nongrant")</f>
        <v>3914091</v>
      </c>
      <c r="D118">
        <f>SUMIFS('Federal Data'!O2:O501,'Federal Data'!$H2:$H501,"Rural Housing",'Federal Data'!$D2:$D501,"Nongrant")</f>
        <v>4045549</v>
      </c>
      <c r="E118">
        <f>SUMIFS('Federal Data'!P2:P501,'Federal Data'!$H2:$H501,"Rural Housing",'Federal Data'!$D2:$D501,"Nongrant")</f>
        <v>3584128</v>
      </c>
      <c r="F118">
        <f>SUMIFS('Federal Data'!Q2:Q501,'Federal Data'!$H2:$H501,"Rural Housing",'Federal Data'!$D2:$D501,"Nongrant")</f>
        <v>3429853</v>
      </c>
      <c r="G118">
        <f>SUMIFS('Federal Data'!R2:R501,'Federal Data'!$H2:$H501,"Rural Housing",'Federal Data'!$D2:$D501,"Nongrant")</f>
        <v>3970746</v>
      </c>
      <c r="H118">
        <f>SUMIFS('Federal Data'!S2:S501,'Federal Data'!$H2:$H501,"Rural Housing",'Federal Data'!$D2:$D501,"Nongrant")</f>
        <v>3235108</v>
      </c>
      <c r="I118">
        <f>SUMIFS('Federal Data'!T2:T501,'Federal Data'!$H2:$H501,"Rural Housing",'Federal Data'!$D2:$D501,"Nongrant")</f>
        <v>798822</v>
      </c>
      <c r="J118">
        <f>SUMIFS('Federal Data'!U2:U501,'Federal Data'!$H2:$H501,"Rural Housing",'Federal Data'!$D2:$D501,"Nongrant")</f>
        <v>3611603</v>
      </c>
      <c r="K118">
        <f>SUMIFS('Federal Data'!V2:V501,'Federal Data'!$H2:$H501,"Rural Housing",'Federal Data'!$D2:$D501,"Nongrant")</f>
        <v>3610488</v>
      </c>
      <c r="L118">
        <f>SUMIFS('Federal Data'!W2:W501,'Federal Data'!$H2:$H501,"Rural Housing",'Federal Data'!$D2:$D501,"Nongrant")</f>
        <v>3014360</v>
      </c>
      <c r="M118">
        <f>SUMIFS('Federal Data'!X2:X501,'Federal Data'!$H2:$H501,"Rural Housing",'Federal Data'!$D2:$D501,"Nongrant")</f>
        <v>3238203</v>
      </c>
      <c r="N118">
        <f>SUMIFS('Federal Data'!Y2:Y501,'Federal Data'!$H2:$H501,"Rural Housing",'Federal Data'!$D2:$D501,"Nongrant")</f>
        <v>1994055</v>
      </c>
      <c r="O118">
        <f>SUMIFS('Federal Data'!Z2:Z501,'Federal Data'!$H2:$H501,"Rural Housing",'Federal Data'!$D2:$D501,"Nongrant")</f>
        <v>1118431</v>
      </c>
      <c r="P118">
        <f>SUMIFS('Federal Data'!AA2:AA501,'Federal Data'!$H2:$H501,"Rural Housing",'Federal Data'!$D2:$D501,"Nongrant")</f>
        <v>1107193</v>
      </c>
      <c r="Q118">
        <f>SUMIFS('Federal Data'!AB2:AB501,'Federal Data'!$H2:$H501,"Rural Housing",'Federal Data'!$D2:$D501,"Nongrant")</f>
        <v>1580000</v>
      </c>
      <c r="R118">
        <f>SUMIFS('Federal Data'!AC2:AC501,'Federal Data'!$H2:$H501,"Rural Housing",'Federal Data'!$D2:$D501,"Nongrant")</f>
        <v>746000</v>
      </c>
      <c r="S118">
        <f>SUMIFS('Federal Data'!AD2:AD501,'Federal Data'!$H2:$H501,"Rural Housing",'Federal Data'!$D2:$D501,"Nongrant")</f>
        <v>475000</v>
      </c>
      <c r="T118">
        <f>SUMIFS('Federal Data'!AE2:AE501,'Federal Data'!$H2:$H501,"Rural Housing",'Federal Data'!$D2:$D501,"Nongrant")</f>
        <v>-179000</v>
      </c>
      <c r="U118">
        <f>SUMIFS('Federal Data'!AF2:AF501,'Federal Data'!$H2:$H501,"Rural Housing",'Federal Data'!$D2:$D501,"Nongrant")</f>
        <v>-335000</v>
      </c>
      <c r="V118">
        <f>SUMIFS('Federal Data'!AG2:AG501,'Federal Data'!$H2:$H501,"Rural Housing",'Federal Data'!$D2:$D501,"Nongrant")</f>
        <v>-612000</v>
      </c>
      <c r="W118">
        <f>SUMIFS('Federal Data'!AH2:AH501,'Federal Data'!$H2:$H501,"Rural Housing",'Federal Data'!$D2:$D501,"Nongrant")</f>
        <v>-468000</v>
      </c>
      <c r="X118">
        <f>SUMIFS('Federal Data'!AI2:AI501,'Federal Data'!$H2:$H501,"Rural Housing",'Federal Data'!$D2:$D501,"Nongrant")</f>
        <v>-708000</v>
      </c>
      <c r="Y118">
        <f>SUMIFS('Federal Data'!AJ2:AJ501,'Federal Data'!$H2:$H501,"Rural Housing",'Federal Data'!$D2:$D501,"Nongrant")</f>
        <v>-1287000</v>
      </c>
      <c r="Z118">
        <f>SUMIFS('Federal Data'!AK2:AK501,'Federal Data'!$H2:$H501,"Rural Housing",'Federal Data'!$D2:$D501,"Nongrant")</f>
        <v>-526000</v>
      </c>
      <c r="AA118">
        <f>SUMIFS('Federal Data'!AL2:AL501,'Federal Data'!$H2:$H501,"Rural Housing",'Federal Data'!$D2:$D501,"Nongrant")</f>
        <v>-813000</v>
      </c>
      <c r="AB118">
        <f>SUMIFS('Federal Data'!AM2:AM501,'Federal Data'!$H2:$H501,"Rural Housing",'Federal Data'!$D2:$D501,"Nongrant")</f>
        <v>-257000</v>
      </c>
      <c r="AC118">
        <f>SUMIFS('Federal Data'!AN2:AN501,'Federal Data'!$H2:$H501,"Rural Housing",'Federal Data'!$D2:$D501,"Nongrant")</f>
        <v>-316000</v>
      </c>
      <c r="AD118">
        <f>SUMIFS('Federal Data'!AO2:AO501,'Federal Data'!$H2:$H501,"Rural Housing",'Federal Data'!$D2:$D501,"Nongrant")</f>
        <v>-106000</v>
      </c>
      <c r="AE118">
        <f>SUMIFS('Federal Data'!AP2:AP501,'Federal Data'!$H2:$H501,"Rural Housing",'Federal Data'!$D2:$D501,"Nongrant")</f>
        <v>-482000</v>
      </c>
      <c r="AF118">
        <f>SUMIFS('Federal Data'!AQ2:AQ501,'Federal Data'!$H2:$H501,"Rural Housing",'Federal Data'!$D2:$D501,"Nongrant")</f>
        <v>306000</v>
      </c>
      <c r="AG118">
        <f>SUMIFS('Federal Data'!AR2:AR501,'Federal Data'!$H2:$H501,"Rural Housing",'Federal Data'!$D2:$D501,"Nongrant")</f>
        <v>345000</v>
      </c>
      <c r="AH118">
        <f>SUMIFS('Federal Data'!AS2:AS501,'Federal Data'!$H2:$H501,"Rural Housing",'Federal Data'!$D2:$D501,"Nongrant")</f>
        <v>622000</v>
      </c>
      <c r="AI118">
        <f>SUMIFS('Federal Data'!AT2:AT501,'Federal Data'!$H2:$H501,"Rural Housing",'Federal Data'!$D2:$D501,"Nongrant")</f>
        <v>910000</v>
      </c>
      <c r="AJ118">
        <f>SUMIFS('Federal Data'!AU2:AU501,'Federal Data'!$H2:$H501,"Rural Housing",'Federal Data'!$D2:$D501,"Nongrant")</f>
        <v>776000</v>
      </c>
      <c r="AK118">
        <f>SUMIFS('Federal Data'!AV2:AV501,'Federal Data'!$H2:$H501,"Rural Housing",'Federal Data'!$D2:$D501,"Nongrant")</f>
        <v>691000</v>
      </c>
    </row>
    <row r="119" spans="1:37">
      <c r="A119" s="5" t="s">
        <v>41</v>
      </c>
      <c r="B119">
        <f>SUMIFS('Federal Data'!M2:M501,'Federal Data'!$E2:$E501,"Obligations",'Federal Data'!$D2:$D501,"Nongrant")</f>
        <v>65436101</v>
      </c>
      <c r="C119">
        <f>SUMIFS('Federal Data'!N2:N501,'Federal Data'!$E2:$E501,"Obligations",'Federal Data'!$D2:$D501,"Nongrant")</f>
        <v>84808726</v>
      </c>
      <c r="D119">
        <f>SUMIFS('Federal Data'!O2:O501,'Federal Data'!$E2:$E501,"Obligations",'Federal Data'!$D2:$D501,"Nongrant")</f>
        <v>102599241</v>
      </c>
      <c r="E119">
        <f>SUMIFS('Federal Data'!P2:P501,'Federal Data'!$E2:$E501,"Obligations",'Federal Data'!$D2:$D501,"Nongrant")</f>
        <v>106779158</v>
      </c>
      <c r="F119">
        <f>SUMIFS('Federal Data'!Q2:Q501,'Federal Data'!$E2:$E501,"Obligations",'Federal Data'!$D2:$D501,"Nongrant")</f>
        <v>128682530</v>
      </c>
      <c r="G119">
        <f>SUMIFS('Federal Data'!R2:R501,'Federal Data'!$E2:$E501,"Obligations",'Federal Data'!$D2:$D501,"Nongrant")</f>
        <v>146191177</v>
      </c>
      <c r="H119">
        <f>SUMIFS('Federal Data'!S2:S501,'Federal Data'!$E2:$E501,"Obligations",'Federal Data'!$D2:$D501,"Nongrant")</f>
        <v>154296532</v>
      </c>
      <c r="I119">
        <f>SUMIFS('Federal Data'!T2:T501,'Federal Data'!$E2:$E501,"Obligations",'Federal Data'!$D2:$D501,"Nongrant")</f>
        <v>158715948</v>
      </c>
      <c r="J119">
        <f>SUMIFS('Federal Data'!U2:U501,'Federal Data'!$E2:$E501,"Obligations",'Federal Data'!$D2:$D501,"Nongrant")</f>
        <v>173024208</v>
      </c>
      <c r="K119">
        <f>SUMIFS('Federal Data'!V2:V501,'Federal Data'!$E2:$E501,"Obligations",'Federal Data'!$D2:$D501,"Nongrant")</f>
        <v>191071591</v>
      </c>
      <c r="L119">
        <f>SUMIFS('Federal Data'!W2:W501,'Federal Data'!$E2:$E501,"Obligations",'Federal Data'!$D2:$D501,"Nongrant")</f>
        <v>211632876</v>
      </c>
      <c r="M119">
        <f>SUMIFS('Federal Data'!X2:X501,'Federal Data'!$E2:$E501,"Obligations",'Federal Data'!$D2:$D501,"Nongrant")</f>
        <v>224347241</v>
      </c>
      <c r="N119">
        <f>SUMIFS('Federal Data'!Y2:Y501,'Federal Data'!$E2:$E501,"Obligations",'Federal Data'!$D2:$D501,"Nongrant")</f>
        <v>231265093</v>
      </c>
      <c r="O119">
        <f>SUMIFS('Federal Data'!Z2:Z501,'Federal Data'!$E2:$E501,"Obligations",'Federal Data'!$D2:$D501,"Nongrant")</f>
        <v>235586884</v>
      </c>
      <c r="P119">
        <f>SUMIFS('Federal Data'!AA2:AA501,'Federal Data'!$E2:$E501,"Obligations",'Federal Data'!$D2:$D501,"Nongrant")</f>
        <v>242534407</v>
      </c>
      <c r="Q119">
        <f>SUMIFS('Federal Data'!AB2:AB501,'Federal Data'!$E2:$E501,"Obligations",'Federal Data'!$D2:$D501,"Nongrant")</f>
        <v>275997000</v>
      </c>
      <c r="R119">
        <f>SUMIFS('Federal Data'!AC2:AC501,'Federal Data'!$E2:$E501,"Obligations",'Federal Data'!$D2:$D501,"Nongrant")</f>
        <v>288188000</v>
      </c>
      <c r="S119">
        <f>SUMIFS('Federal Data'!AD2:AD501,'Federal Data'!$E2:$E501,"Obligations",'Federal Data'!$D2:$D501,"Nongrant")</f>
        <v>294665000</v>
      </c>
      <c r="T119">
        <f>SUMIFS('Federal Data'!AE2:AE501,'Federal Data'!$E2:$E501,"Obligations",'Federal Data'!$D2:$D501,"Nongrant")</f>
        <v>293653000</v>
      </c>
      <c r="U119">
        <f>SUMIFS('Federal Data'!AF2:AF501,'Federal Data'!$E2:$E501,"Obligations",'Federal Data'!$D2:$D501,"Nongrant")</f>
        <v>284006000</v>
      </c>
      <c r="V119">
        <f>SUMIFS('Federal Data'!AG2:AG501,'Federal Data'!$E2:$E501,"Obligations",'Federal Data'!$D2:$D501,"Nongrant")</f>
        <v>277563000</v>
      </c>
      <c r="W119">
        <f>SUMIFS('Federal Data'!AH2:AH501,'Federal Data'!$E2:$E501,"Obligations",'Federal Data'!$D2:$D501,"Nongrant")</f>
        <v>263932000</v>
      </c>
      <c r="X119">
        <f>SUMIFS('Federal Data'!AI2:AI501,'Federal Data'!$E2:$E501,"Obligations",'Federal Data'!$D2:$D501,"Nongrant")</f>
        <v>229099000</v>
      </c>
      <c r="Y119">
        <f>SUMIFS('Federal Data'!AJ2:AJ501,'Federal Data'!$E2:$E501,"Obligations",'Federal Data'!$D2:$D501,"Nongrant")</f>
        <v>211267000</v>
      </c>
      <c r="Z119">
        <f>SUMIFS('Federal Data'!AK2:AK501,'Federal Data'!$E2:$E501,"Obligations",'Federal Data'!$D2:$D501,"Nongrant")</f>
        <v>220437000</v>
      </c>
      <c r="AA119">
        <f>SUMIFS('Federal Data'!AL2:AL501,'Federal Data'!$E2:$E501,"Obligations",'Federal Data'!$D2:$D501,"Nongrant")</f>
        <v>245347000</v>
      </c>
      <c r="AB119">
        <f>SUMIFS('Federal Data'!AM2:AM501,'Federal Data'!$E2:$E501,"Obligations",'Federal Data'!$D2:$D501,"Nongrant")</f>
        <v>292556000</v>
      </c>
      <c r="AC119">
        <f>SUMIFS('Federal Data'!AN2:AN501,'Federal Data'!$E2:$E501,"Obligations",'Federal Data'!$D2:$D501,"Nongrant")</f>
        <v>302225000</v>
      </c>
      <c r="AD119">
        <f>SUMIFS('Federal Data'!AO2:AO501,'Federal Data'!$E2:$E501,"Obligations",'Federal Data'!$D2:$D501,"Nongrant")</f>
        <v>324180000</v>
      </c>
      <c r="AE119">
        <f>SUMIFS('Federal Data'!AP2:AP501,'Federal Data'!$E2:$E501,"Obligations",'Federal Data'!$D2:$D501,"Nongrant")</f>
        <v>269162000</v>
      </c>
      <c r="AF119">
        <f>SUMIFS('Federal Data'!AQ2:AQ501,'Federal Data'!$E2:$E501,"Obligations",'Federal Data'!$D2:$D501,"Nongrant")</f>
        <v>269973000</v>
      </c>
      <c r="AG119">
        <f>SUMIFS('Federal Data'!AR2:AR501,'Federal Data'!$E2:$E501,"Obligations",'Federal Data'!$D2:$D501,"Nongrant")</f>
        <v>310155000</v>
      </c>
      <c r="AH119">
        <f>SUMIFS('Federal Data'!AS2:AS501,'Federal Data'!$E2:$E501,"Obligations",'Federal Data'!$D2:$D501,"Nongrant")</f>
        <v>296337000</v>
      </c>
      <c r="AI119">
        <f>SUMIFS('Federal Data'!AT2:AT501,'Federal Data'!$E2:$E501,"Obligations",'Federal Data'!$D2:$D501,"Nongrant")</f>
        <v>309108000</v>
      </c>
      <c r="AJ119">
        <f>SUMIFS('Federal Data'!AU2:AU501,'Federal Data'!$E2:$E501,"Obligations",'Federal Data'!$D2:$D501,"Nongrant")</f>
        <v>324921000</v>
      </c>
      <c r="AK119">
        <f>SUMIFS('Federal Data'!AV2:AV501,'Federal Data'!$E2:$E501,"Obligations",'Federal Data'!$D2:$D501,"Nongrant")</f>
        <v>323988000</v>
      </c>
    </row>
    <row r="120" spans="1:37">
      <c r="A120" s="6" t="s">
        <v>42</v>
      </c>
      <c r="B120">
        <f>SUMIFS('Federal Data'!M2:M501,'Federal Data'!$F2:$F501,"Employee Retirement and Disability Benefits",'Federal Data'!$D2:$D501,"Nongrant")</f>
        <v>27291545</v>
      </c>
      <c r="C120">
        <f>SUMIFS('Federal Data'!N2:N501,'Federal Data'!$F2:$F501,"Employee Retirement and Disability Benefits",'Federal Data'!$D2:$D501,"Nongrant")</f>
        <v>32183775</v>
      </c>
      <c r="D120">
        <f>SUMIFS('Federal Data'!O2:O501,'Federal Data'!$F2:$F501,"Employee Retirement and Disability Benefits",'Federal Data'!$D2:$D501,"Nongrant")</f>
        <v>35373841</v>
      </c>
      <c r="E120">
        <f>SUMIFS('Federal Data'!P2:P501,'Federal Data'!$F2:$F501,"Employee Retirement and Disability Benefits",'Federal Data'!$D2:$D501,"Nongrant")</f>
        <v>37623621</v>
      </c>
      <c r="F120">
        <f>SUMIFS('Federal Data'!Q2:Q501,'Federal Data'!$F2:$F501,"Employee Retirement and Disability Benefits",'Federal Data'!$D2:$D501,"Nongrant")</f>
        <v>39494300</v>
      </c>
      <c r="G120">
        <f>SUMIFS('Federal Data'!R2:R501,'Federal Data'!$F2:$F501,"Employee Retirement and Disability Benefits",'Federal Data'!$D2:$D501,"Nongrant")</f>
        <v>39912061</v>
      </c>
      <c r="H120">
        <f>SUMIFS('Federal Data'!S2:S501,'Federal Data'!$F2:$F501,"Employee Retirement and Disability Benefits",'Federal Data'!$D2:$D501,"Nongrant")</f>
        <v>42109868</v>
      </c>
      <c r="I120">
        <f>SUMIFS('Federal Data'!T2:T501,'Federal Data'!$F2:$F501,"Employee Retirement and Disability Benefits",'Federal Data'!$D2:$D501,"Nongrant")</f>
        <v>45663822</v>
      </c>
      <c r="J120">
        <f>SUMIFS('Federal Data'!U2:U501,'Federal Data'!$F2:$F501,"Employee Retirement and Disability Benefits",'Federal Data'!$D2:$D501,"Nongrant")</f>
        <v>48765083</v>
      </c>
      <c r="K120">
        <f>SUMIFS('Federal Data'!V2:V501,'Federal Data'!$F2:$F501,"Employee Retirement and Disability Benefits",'Federal Data'!$D2:$D501,"Nongrant")</f>
        <v>49928918</v>
      </c>
      <c r="L120">
        <f>SUMIFS('Federal Data'!W2:W501,'Federal Data'!$F2:$F501,"Employee Retirement and Disability Benefits",'Federal Data'!$D2:$D501,"Nongrant")</f>
        <v>53784454</v>
      </c>
      <c r="M120">
        <f>SUMIFS('Federal Data'!X2:X501,'Federal Data'!$F2:$F501,"Employee Retirement and Disability Benefits",'Federal Data'!$D2:$D501,"Nongrant")</f>
        <v>58578259</v>
      </c>
      <c r="N120">
        <f>SUMIFS('Federal Data'!Y2:Y501,'Federal Data'!$F2:$F501,"Employee Retirement and Disability Benefits",'Federal Data'!$D2:$D501,"Nongrant")</f>
        <v>60725666</v>
      </c>
      <c r="O120">
        <f>SUMIFS('Federal Data'!Z2:Z501,'Federal Data'!$F2:$F501,"Employee Retirement and Disability Benefits",'Federal Data'!$D2:$D501,"Nongrant")</f>
        <v>63105146</v>
      </c>
      <c r="P120">
        <f>SUMIFS('Federal Data'!AA2:AA501,'Federal Data'!$F2:$F501,"Employee Retirement and Disability Benefits",'Federal Data'!$D2:$D501,"Nongrant")</f>
        <v>65940147</v>
      </c>
      <c r="Q120">
        <f>SUMIFS('Federal Data'!AB2:AB501,'Federal Data'!$F2:$F501,"Employee Retirement and Disability Benefits",'Federal Data'!$D2:$D501,"Nongrant")</f>
        <v>69728000</v>
      </c>
      <c r="R120">
        <f>SUMIFS('Federal Data'!AC2:AC501,'Federal Data'!$F2:$F501,"Employee Retirement and Disability Benefits",'Federal Data'!$D2:$D501,"Nongrant")</f>
        <v>72395000</v>
      </c>
      <c r="S120">
        <f>SUMIFS('Federal Data'!AD2:AD501,'Federal Data'!$F2:$F501,"Employee Retirement and Disability Benefits",'Federal Data'!$D2:$D501,"Nongrant")</f>
        <v>76359000</v>
      </c>
      <c r="T120">
        <f>SUMIFS('Federal Data'!AE2:AE501,'Federal Data'!$F2:$F501,"Employee Retirement and Disability Benefits",'Federal Data'!$D2:$D501,"Nongrant")</f>
        <v>78205000</v>
      </c>
      <c r="U120">
        <f>SUMIFS('Federal Data'!AF2:AF501,'Federal Data'!$F2:$F501,"Employee Retirement and Disability Benefits",'Federal Data'!$D2:$D501,"Nongrant")</f>
        <v>80219000</v>
      </c>
      <c r="V120">
        <f>SUMIFS('Federal Data'!AG2:AG501,'Federal Data'!$F2:$F501,"Employee Retirement and Disability Benefits",'Federal Data'!$D2:$D501,"Nongrant")</f>
        <v>82209000</v>
      </c>
      <c r="W120">
        <f>SUMIFS('Federal Data'!AH2:AH501,'Federal Data'!$F2:$F501,"Employee Retirement and Disability Benefits",'Federal Data'!$D2:$D501,"Nongrant")</f>
        <v>85955000</v>
      </c>
      <c r="X120">
        <f>SUMIFS('Federal Data'!AI2:AI501,'Federal Data'!$F2:$F501,"Employee Retirement and Disability Benefits",'Federal Data'!$D2:$D501,"Nongrant")</f>
        <v>88726000</v>
      </c>
      <c r="Y120">
        <f>SUMIFS('Federal Data'!AJ2:AJ501,'Federal Data'!$F2:$F501,"Employee Retirement and Disability Benefits",'Federal Data'!$D2:$D501,"Nongrant")</f>
        <v>94896000</v>
      </c>
      <c r="Z120">
        <f>SUMIFS('Federal Data'!AK2:AK501,'Federal Data'!$F2:$F501,"Employee Retirement and Disability Benefits",'Federal Data'!$D2:$D501,"Nongrant")</f>
        <v>99772000</v>
      </c>
      <c r="AA120">
        <f>SUMIFS('Federal Data'!AL2:AL501,'Federal Data'!$F2:$F501,"Employee Retirement and Disability Benefits",'Federal Data'!$D2:$D501,"Nongrant")</f>
        <v>106036000</v>
      </c>
      <c r="AB120">
        <f>SUMIFS('Federal Data'!AM2:AM501,'Federal Data'!$F2:$F501,"Employee Retirement and Disability Benefits",'Federal Data'!$D2:$D501,"Nongrant")</f>
        <v>111780000</v>
      </c>
      <c r="AC120">
        <f>SUMIFS('Federal Data'!AN2:AN501,'Federal Data'!$F2:$F501,"Employee Retirement and Disability Benefits",'Federal Data'!$D2:$D501,"Nongrant")</f>
        <v>119412000</v>
      </c>
      <c r="AD120">
        <f>SUMIFS('Federal Data'!AO2:AO501,'Federal Data'!$F2:$F501,"Employee Retirement and Disability Benefits",'Federal Data'!$D2:$D501,"Nongrant")</f>
        <v>126354000</v>
      </c>
      <c r="AE120">
        <f>SUMIFS('Federal Data'!AP2:AP501,'Federal Data'!$F2:$F501,"Employee Retirement and Disability Benefits",'Federal Data'!$D2:$D501,"Nongrant")</f>
        <v>136156000</v>
      </c>
      <c r="AF120">
        <f>SUMIFS('Federal Data'!AQ2:AQ501,'Federal Data'!$F2:$F501,"Employee Retirement and Disability Benefits",'Federal Data'!$D2:$D501,"Nongrant")</f>
        <v>137337000</v>
      </c>
      <c r="AG120">
        <f>SUMIFS('Federal Data'!AR2:AR501,'Federal Data'!$F2:$F501,"Employee Retirement and Disability Benefits",'Federal Data'!$D2:$D501,"Nongrant")</f>
        <v>140749000</v>
      </c>
      <c r="AH120">
        <f>SUMIFS('Federal Data'!AS2:AS501,'Federal Data'!$F2:$F501,"Employee Retirement and Disability Benefits",'Federal Data'!$D2:$D501,"Nongrant")</f>
        <v>140183000</v>
      </c>
      <c r="AI120">
        <f>SUMIFS('Federal Data'!AT2:AT501,'Federal Data'!$F2:$F501,"Employee Retirement and Disability Benefits",'Federal Data'!$D2:$D501,"Nongrant")</f>
        <v>149200000</v>
      </c>
      <c r="AJ120">
        <f>SUMIFS('Federal Data'!AU2:AU501,'Federal Data'!$F2:$F501,"Employee Retirement and Disability Benefits",'Federal Data'!$D2:$D501,"Nongrant")</f>
        <v>155525000</v>
      </c>
      <c r="AK120">
        <f>SUMIFS('Federal Data'!AV2:AV501,'Federal Data'!$F2:$F501,"Employee Retirement and Disability Benefits",'Federal Data'!$D2:$D501,"Nongrant")</f>
        <v>161846000</v>
      </c>
    </row>
    <row r="121" spans="1:37" s="18" customFormat="1">
      <c r="A121" s="19" t="s">
        <v>314</v>
      </c>
      <c r="B121" s="18">
        <f>SUMIFS('Federal Data'!M2:M501,'Federal Data'!$F2:$F501,"Employee Contributions for Retirement and Disability",'Federal Data'!$D2:$D501,"Nongrant")</f>
        <v>0</v>
      </c>
      <c r="C121" s="18">
        <f>SUMIFS('Federal Data'!N2:N501,'Federal Data'!$F2:$F501,"Employee Contributions for Retirement and Disability",'Federal Data'!$D2:$D501,"Nongrant")</f>
        <v>0</v>
      </c>
      <c r="D121" s="18">
        <f>SUMIFS('Federal Data'!O2:O501,'Federal Data'!$F2:$F501,"Employee Contributions for Retirement and Disability",'Federal Data'!$D2:$D501,"Nongrant")</f>
        <v>0</v>
      </c>
      <c r="E121" s="18">
        <f>SUMIFS('Federal Data'!P2:P501,'Federal Data'!$F2:$F501,"Employee Contributions for Retirement and Disability",'Federal Data'!$D2:$D501,"Nongrant")</f>
        <v>0</v>
      </c>
      <c r="F121" s="18">
        <f>SUMIFS('Federal Data'!Q2:Q501,'Federal Data'!$F2:$F501,"Employee Contributions for Retirement and Disability",'Federal Data'!$D2:$D501,"Nongrant")</f>
        <v>0</v>
      </c>
      <c r="G121" s="18">
        <f>SUMIFS('Federal Data'!R2:R501,'Federal Data'!$F2:$F501,"Employee Contributions for Retirement and Disability",'Federal Data'!$D2:$D501,"Nongrant")</f>
        <v>0</v>
      </c>
      <c r="H121" s="18">
        <f>SUMIFS('Federal Data'!S2:S501,'Federal Data'!$F2:$F501,"Employee Contributions for Retirement and Disability",'Federal Data'!$D2:$D501,"Nongrant")</f>
        <v>0</v>
      </c>
      <c r="I121" s="18">
        <f>SUMIFS('Federal Data'!T2:T501,'Federal Data'!$F2:$F501,"Employee Contributions for Retirement and Disability",'Federal Data'!$D2:$D501,"Nongrant")</f>
        <v>0</v>
      </c>
      <c r="J121" s="18">
        <f>SUMIFS('Federal Data'!U2:U501,'Federal Data'!$F2:$F501,"Employee Contributions for Retirement and Disability",'Federal Data'!$D2:$D501,"Nongrant")</f>
        <v>0</v>
      </c>
      <c r="K121" s="18">
        <f>SUMIFS('Federal Data'!V2:V501,'Federal Data'!$F2:$F501,"Employee Contributions for Retirement and Disability",'Federal Data'!$D2:$D501,"Nongrant")</f>
        <v>0</v>
      </c>
      <c r="L121" s="18">
        <f>SUMIFS('Federal Data'!W2:W501,'Federal Data'!$F2:$F501,"Employee Contributions for Retirement and Disability",'Federal Data'!$D2:$D501,"Nongrant")</f>
        <v>0</v>
      </c>
      <c r="M121" s="18">
        <f>SUMIFS('Federal Data'!X2:X501,'Federal Data'!$F2:$F501,"Employee Contributions for Retirement and Disability",'Federal Data'!$D2:$D501,"Nongrant")</f>
        <v>0</v>
      </c>
      <c r="N121" s="18">
        <f>SUMIFS('Federal Data'!Y2:Y501,'Federal Data'!$F2:$F501,"Employee Contributions for Retirement and Disability",'Federal Data'!$D2:$D501,"Nongrant")</f>
        <v>0</v>
      </c>
      <c r="O121" s="18">
        <f>SUMIFS('Federal Data'!Z2:Z501,'Federal Data'!$F2:$F501,"Employee Contributions for Retirement and Disability",'Federal Data'!$D2:$D501,"Nongrant")</f>
        <v>0</v>
      </c>
      <c r="P121" s="18">
        <f>SUMIFS('Federal Data'!AA2:AA501,'Federal Data'!$F2:$F501,"Employee Contributions for Retirement and Disability",'Federal Data'!$D2:$D501,"Nongrant")</f>
        <v>0</v>
      </c>
      <c r="Q121" s="18">
        <f>SUMIFS('Federal Data'!AB2:AB501,'Federal Data'!$F2:$F501,"Employee Contributions for Retirement and Disability",'Federal Data'!$D2:$D501,"Nongrant")</f>
        <v>0</v>
      </c>
      <c r="R121" s="18">
        <f>SUMIFS('Federal Data'!AC2:AC501,'Federal Data'!$F2:$F501,"Employee Contributions for Retirement and Disability",'Federal Data'!$D2:$D501,"Nongrant")</f>
        <v>0</v>
      </c>
      <c r="S121" s="18">
        <f>SUMIFS('Federal Data'!AD2:AD501,'Federal Data'!$F2:$F501,"Employee Contributions for Retirement and Disability",'Federal Data'!$D2:$D501,"Nongrant")</f>
        <v>0</v>
      </c>
      <c r="T121" s="18">
        <f>SUMIFS('Federal Data'!AE2:AE501,'Federal Data'!$F2:$F501,"Employee Contributions for Retirement and Disability",'Federal Data'!$D2:$D501,"Nongrant")</f>
        <v>0</v>
      </c>
      <c r="U121" s="18">
        <f>SUMIFS('Federal Data'!AF2:AF501,'Federal Data'!$F2:$F501,"Employee Contributions for Retirement and Disability",'Federal Data'!$D2:$D501,"Nongrant")</f>
        <v>0</v>
      </c>
      <c r="V121" s="18">
        <f>SUMIFS('Federal Data'!AG2:AG501,'Federal Data'!$F2:$F501,"Employee Contributions for Retirement and Disability",'Federal Data'!$D2:$D501,"Nongrant")</f>
        <v>0</v>
      </c>
      <c r="W121" s="18">
        <f>SUMIFS('Federal Data'!AH2:AH501,'Federal Data'!$F2:$F501,"Employee Contributions for Retirement and Disability",'Federal Data'!$D2:$D501,"Nongrant")</f>
        <v>0</v>
      </c>
      <c r="X121" s="18">
        <f>SUMIFS('Federal Data'!AI2:AI501,'Federal Data'!$F2:$F501,"Employee Contributions for Retirement and Disability",'Federal Data'!$D2:$D501,"Nongrant")</f>
        <v>0</v>
      </c>
      <c r="Y121" s="18">
        <f>SUMIFS('Federal Data'!AJ2:AJ501,'Federal Data'!$F2:$F501,"Employee Contributions for Retirement and Disability",'Federal Data'!$D2:$D501,"Nongrant")</f>
        <v>0</v>
      </c>
      <c r="Z121" s="18">
        <f>SUMIFS('Federal Data'!AK2:AK501,'Federal Data'!$F2:$F501,"Employee Contributions for Retirement and Disability",'Federal Data'!$D2:$D501,"Nongrant")</f>
        <v>0</v>
      </c>
      <c r="AA121" s="18">
        <f>SUMIFS('Federal Data'!AL2:AL501,'Federal Data'!$F2:$F501,"Employee Contributions for Retirement and Disability",'Federal Data'!$D2:$D501,"Nongrant")</f>
        <v>0</v>
      </c>
      <c r="AB121" s="18">
        <f>SUMIFS('Federal Data'!AM2:AM501,'Federal Data'!$F2:$F501,"Employee Contributions for Retirement and Disability",'Federal Data'!$D2:$D501,"Nongrant")</f>
        <v>0</v>
      </c>
      <c r="AC121" s="18">
        <f>SUMIFS('Federal Data'!AN2:AN501,'Federal Data'!$F2:$F501,"Employee Contributions for Retirement and Disability",'Federal Data'!$D2:$D501,"Nongrant")</f>
        <v>0</v>
      </c>
      <c r="AD121" s="18">
        <f>SUMIFS('Federal Data'!AO2:AO501,'Federal Data'!$F2:$F501,"Employee Contributions for Retirement and Disability",'Federal Data'!$D2:$D501,"Nongrant")</f>
        <v>0</v>
      </c>
      <c r="AE121" s="18">
        <f>SUMIFS('Federal Data'!AP2:AP501,'Federal Data'!$F2:$F501,"Employee Contributions for Retirement and Disability",'Federal Data'!$D2:$D501,"Nongrant")</f>
        <v>0</v>
      </c>
      <c r="AF121" s="18">
        <f>SUMIFS('Federal Data'!AQ2:AQ501,'Federal Data'!$F2:$F501,"Employee Contributions for Retirement and Disability",'Federal Data'!$D2:$D501,"Nongrant")</f>
        <v>0</v>
      </c>
      <c r="AG121" s="18">
        <f>SUMIFS('Federal Data'!AR2:AR501,'Federal Data'!$F2:$F501,"Employee Contributions for Retirement and Disability",'Federal Data'!$D2:$D501,"Nongrant")</f>
        <v>0</v>
      </c>
      <c r="AH121" s="18">
        <f>SUMIFS('Federal Data'!AS2:AS501,'Federal Data'!$F2:$F501,"Employee Contributions for Retirement and Disability",'Federal Data'!$D2:$D501,"Nongrant")</f>
        <v>0</v>
      </c>
      <c r="AI121" s="18">
        <f>SUMIFS('Federal Data'!AT2:AT501,'Federal Data'!$F2:$F501,"Employee Contributions for Retirement and Disability",'Federal Data'!$D2:$D501,"Nongrant")</f>
        <v>0</v>
      </c>
      <c r="AJ121" s="18">
        <f>SUMIFS('Federal Data'!AU2:AU501,'Federal Data'!$F2:$F501,"Employee Contributions for Retirement and Disability",'Federal Data'!$D2:$D501,"Nongrant")</f>
        <v>0</v>
      </c>
      <c r="AK121" s="18">
        <f>SUMIFS('Federal Data'!AV2:AV501,'Federal Data'!$F2:$F501,"Employee Contributions for Retirement and Disability",'Federal Data'!$D2:$D501,"Nongrant")</f>
        <v>0</v>
      </c>
    </row>
    <row r="122" spans="1:37">
      <c r="A122" s="6" t="s">
        <v>313</v>
      </c>
      <c r="B122">
        <f>SUMIFS('Federal Data'!M2:M501,'Federal Data'!$F2:$F501,"Contributions to Government Retirement and Disability Fund",'Federal Data'!$D2:$D501,"Nongrant")</f>
        <v>-14388585</v>
      </c>
      <c r="C122">
        <f>SUMIFS('Federal Data'!N2:N501,'Federal Data'!$F2:$F501,"Contributions to Government Retirement and Disability Fund",'Federal Data'!$D2:$D501,"Nongrant")</f>
        <v>-16141176</v>
      </c>
      <c r="D122">
        <f>SUMIFS('Federal Data'!O2:O501,'Federal Data'!$F2:$F501,"Contributions to Government Retirement and Disability Fund",'Federal Data'!$D2:$D501,"Nongrant")</f>
        <v>-17806303</v>
      </c>
      <c r="E122">
        <f>SUMIFS('Federal Data'!P2:P501,'Federal Data'!$F2:$F501,"Contributions to Government Retirement and Disability Fund",'Federal Data'!$D2:$D501,"Nongrant")</f>
        <v>-20652280</v>
      </c>
      <c r="F122">
        <f>SUMIFS('Federal Data'!Q2:Q501,'Federal Data'!$F2:$F501,"Contributions to Government Retirement and Disability Fund",'Federal Data'!$D2:$D501,"Nongrant")</f>
        <v>-21913457</v>
      </c>
      <c r="G122">
        <f>SUMIFS('Federal Data'!R2:R501,'Federal Data'!$F2:$F501,"Contributions to Government Retirement and Disability Fund",'Federal Data'!$D2:$D501,"Nongrant")</f>
        <v>-23198583</v>
      </c>
      <c r="H122">
        <f>SUMIFS('Federal Data'!S2:S501,'Federal Data'!$F2:$F501,"Contributions to Government Retirement and Disability Fund",'Federal Data'!$D2:$D501,"Nongrant")</f>
        <v>-23830209</v>
      </c>
      <c r="I122">
        <f>SUMIFS('Federal Data'!T2:T501,'Federal Data'!$F2:$F501,"Contributions to Government Retirement and Disability Fund",'Federal Data'!$D2:$D501,"Nongrant")</f>
        <v>-25559200</v>
      </c>
      <c r="J122">
        <f>SUMIFS('Federal Data'!U2:U501,'Federal Data'!$F2:$F501,"Contributions to Government Retirement and Disability Fund",'Federal Data'!$D2:$D501,"Nongrant")</f>
        <v>-27543842</v>
      </c>
      <c r="K122">
        <f>SUMIFS('Federal Data'!V2:V501,'Federal Data'!$F2:$F501,"Contributions to Government Retirement and Disability Fund",'Federal Data'!$D2:$D501,"Nongrant")</f>
        <v>-27838466</v>
      </c>
      <c r="L122">
        <f>SUMIFS('Federal Data'!W2:W501,'Federal Data'!$F2:$F501,"Contributions to Government Retirement and Disability Fund",'Federal Data'!$D2:$D501,"Nongrant")</f>
        <v>-26498406</v>
      </c>
      <c r="M122">
        <f>SUMIFS('Federal Data'!X2:X501,'Federal Data'!$F2:$F501,"Contributions to Government Retirement and Disability Fund",'Federal Data'!$D2:$D501,"Nongrant")</f>
        <v>-28679189</v>
      </c>
      <c r="N122">
        <f>SUMIFS('Federal Data'!Y2:Y501,'Federal Data'!$F2:$F501,"Contributions to Government Retirement and Disability Fund",'Federal Data'!$D2:$D501,"Nongrant")</f>
        <v>-28804719</v>
      </c>
      <c r="O122">
        <f>SUMIFS('Federal Data'!Z2:Z501,'Federal Data'!$F2:$F501,"Contributions to Government Retirement and Disability Fund",'Federal Data'!$D2:$D501,"Nongrant")</f>
        <v>-26231465</v>
      </c>
      <c r="P122">
        <f>SUMIFS('Federal Data'!AA2:AA501,'Federal Data'!$F2:$F501,"Contributions to Government Retirement and Disability Fund",'Federal Data'!$D2:$D501,"Nongrant")</f>
        <v>-26337981</v>
      </c>
      <c r="Q122">
        <f>SUMIFS('Federal Data'!AB2:AB501,'Federal Data'!$F2:$F501,"Contributions to Government Retirement and Disability Fund",'Federal Data'!$D2:$D501,"Nongrant")</f>
        <v>-25865000</v>
      </c>
      <c r="R122">
        <f>SUMIFS('Federal Data'!AC2:AC501,'Federal Data'!$F2:$F501,"Contributions to Government Retirement and Disability Fund",'Federal Data'!$D2:$D501,"Nongrant")</f>
        <v>-25260000</v>
      </c>
      <c r="S122">
        <f>SUMIFS('Federal Data'!AD2:AD501,'Federal Data'!$F2:$F501,"Contributions to Government Retirement and Disability Fund",'Federal Data'!$D2:$D501,"Nongrant")</f>
        <v>-25678000</v>
      </c>
      <c r="T122">
        <f>SUMIFS('Federal Data'!AE2:AE501,'Federal Data'!$F2:$F501,"Contributions to Government Retirement and Disability Fund",'Federal Data'!$D2:$D501,"Nongrant")</f>
        <v>-25670000</v>
      </c>
      <c r="U122">
        <f>SUMIFS('Federal Data'!AF2:AF501,'Federal Data'!$F2:$F501,"Contributions to Government Retirement and Disability Fund",'Federal Data'!$D2:$D501,"Nongrant")</f>
        <v>-25968000</v>
      </c>
      <c r="V122">
        <f>SUMIFS('Federal Data'!AG2:AG501,'Federal Data'!$F2:$F501,"Contributions to Government Retirement and Disability Fund",'Federal Data'!$D2:$D501,"Nongrant")</f>
        <v>-27595000</v>
      </c>
      <c r="W122">
        <f>SUMIFS('Federal Data'!AH2:AH501,'Federal Data'!$F2:$F501,"Contributions to Government Retirement and Disability Fund",'Federal Data'!$D2:$D501,"Nongrant")</f>
        <v>-28190000</v>
      </c>
      <c r="X122">
        <f>SUMIFS('Federal Data'!AI2:AI501,'Federal Data'!$F2:$F501,"Contributions to Government Retirement and Disability Fund",'Federal Data'!$D2:$D501,"Nongrant")</f>
        <v>-30576000</v>
      </c>
      <c r="Y122">
        <f>SUMIFS('Federal Data'!AJ2:AJ501,'Federal Data'!$F2:$F501,"Contributions to Government Retirement and Disability Fund",'Federal Data'!$D2:$D501,"Nongrant")</f>
        <v>-36702000</v>
      </c>
      <c r="Z122">
        <f>SUMIFS('Federal Data'!AK2:AK501,'Federal Data'!$F2:$F501,"Contributions to Government Retirement and Disability Fund",'Federal Data'!$D2:$D501,"Nongrant")</f>
        <v>-39580000</v>
      </c>
      <c r="AA122">
        <f>SUMIFS('Federal Data'!AL2:AL501,'Federal Data'!$F2:$F501,"Contributions to Government Retirement and Disability Fund",'Federal Data'!$D2:$D501,"Nongrant")</f>
        <v>-44675000</v>
      </c>
      <c r="AB122">
        <f>SUMIFS('Federal Data'!AM2:AM501,'Federal Data'!$F2:$F501,"Contributions to Government Retirement and Disability Fund",'Federal Data'!$D2:$D501,"Nongrant")</f>
        <v>-45827000</v>
      </c>
      <c r="AC122">
        <f>SUMIFS('Federal Data'!AN2:AN501,'Federal Data'!$F2:$F501,"Contributions to Government Retirement and Disability Fund",'Federal Data'!$D2:$D501,"Nongrant")</f>
        <v>-54296000</v>
      </c>
      <c r="AD122">
        <f>SUMIFS('Federal Data'!AO2:AO501,'Federal Data'!$F2:$F501,"Contributions to Government Retirement and Disability Fund",'Federal Data'!$D2:$D501,"Nongrant")</f>
        <v>-54931000</v>
      </c>
      <c r="AE122">
        <f>SUMIFS('Federal Data'!AP2:AP501,'Federal Data'!$F2:$F501,"Contributions to Government Retirement and Disability Fund",'Federal Data'!$D2:$D501,"Nongrant")</f>
        <v>-53896000</v>
      </c>
      <c r="AF122">
        <f>SUMIFS('Federal Data'!AQ2:AQ501,'Federal Data'!$F2:$F501,"Contributions to Government Retirement and Disability Fund",'Federal Data'!$D2:$D501,"Nongrant")</f>
        <v>-63558000</v>
      </c>
      <c r="AG122">
        <f>SUMIFS('Federal Data'!AR2:AR501,'Federal Data'!$F2:$F501,"Contributions to Government Retirement and Disability Fund",'Federal Data'!$D2:$D501,"Nongrant")</f>
        <v>-60556000</v>
      </c>
      <c r="AH122">
        <f>SUMIFS('Federal Data'!AS2:AS501,'Federal Data'!$F2:$F501,"Contributions to Government Retirement and Disability Fund",'Federal Data'!$D2:$D501,"Nongrant")</f>
        <v>-64254000</v>
      </c>
      <c r="AI122">
        <f>SUMIFS('Federal Data'!AT2:AT501,'Federal Data'!$F2:$F501,"Contributions to Government Retirement and Disability Fund",'Federal Data'!$D2:$D501,"Nongrant")</f>
        <v>-60977000</v>
      </c>
      <c r="AJ122">
        <f>SUMIFS('Federal Data'!AU2:AU501,'Federal Data'!$F2:$F501,"Contributions to Government Retirement and Disability Fund",'Federal Data'!$D2:$D501,"Nongrant")</f>
        <v>-59560000</v>
      </c>
      <c r="AK122">
        <f>SUMIFS('Federal Data'!AV2:AV501,'Federal Data'!$F2:$F501,"Contributions to Government Retirement and Disability Fund",'Federal Data'!$D2:$D501,"Nongrant")</f>
        <v>-61039000</v>
      </c>
    </row>
    <row r="123" spans="1:37">
      <c r="A123" s="6" t="s">
        <v>310</v>
      </c>
      <c r="B123">
        <f>SUMIFS('Federal Data'!M2:M501,'Federal Data'!$F2:$F501,"Net Interest on Debt",'Federal Data'!$D2:$D501,"Nongrant")</f>
        <v>52533141</v>
      </c>
      <c r="C123">
        <f>SUMIFS('Federal Data'!N2:N501,'Federal Data'!$F2:$F501,"Net Interest on Debt",'Federal Data'!$D2:$D501,"Nongrant")</f>
        <v>68766127</v>
      </c>
      <c r="D123">
        <f>SUMIFS('Federal Data'!O2:O501,'Federal Data'!$F2:$F501,"Net Interest on Debt",'Federal Data'!$D2:$D501,"Nongrant")</f>
        <v>85031703</v>
      </c>
      <c r="E123">
        <f>SUMIFS('Federal Data'!P2:P501,'Federal Data'!$F2:$F501,"Net Interest on Debt",'Federal Data'!$D2:$D501,"Nongrant")</f>
        <v>89807817</v>
      </c>
      <c r="F123">
        <f>SUMIFS('Federal Data'!Q2:Q501,'Federal Data'!$F2:$F501,"Net Interest on Debt",'Federal Data'!$D2:$D501,"Nongrant")</f>
        <v>111101687</v>
      </c>
      <c r="G123">
        <f>SUMIFS('Federal Data'!R2:R501,'Federal Data'!$F2:$F501,"Net Interest on Debt",'Federal Data'!$D2:$D501,"Nongrant")</f>
        <v>129477699</v>
      </c>
      <c r="H123">
        <f>SUMIFS('Federal Data'!S2:S501,'Federal Data'!$F2:$F501,"Net Interest on Debt",'Federal Data'!$D2:$D501,"Nongrant")</f>
        <v>136016873</v>
      </c>
      <c r="I123">
        <f>SUMIFS('Federal Data'!T2:T501,'Federal Data'!$F2:$F501,"Net Interest on Debt",'Federal Data'!$D2:$D501,"Nongrant")</f>
        <v>138611326</v>
      </c>
      <c r="J123">
        <f>SUMIFS('Federal Data'!U2:U501,'Federal Data'!$F2:$F501,"Net Interest on Debt",'Federal Data'!$D2:$D501,"Nongrant")</f>
        <v>151802967</v>
      </c>
      <c r="K123">
        <f>SUMIFS('Federal Data'!V2:V501,'Federal Data'!$F2:$F501,"Net Interest on Debt",'Federal Data'!$D2:$D501,"Nongrant")</f>
        <v>168981139</v>
      </c>
      <c r="L123">
        <f>SUMIFS('Federal Data'!W2:W501,'Federal Data'!$F2:$F501,"Net Interest on Debt",'Federal Data'!$D2:$D501,"Nongrant")</f>
        <v>184346828</v>
      </c>
      <c r="M123">
        <f>SUMIFS('Federal Data'!X2:X501,'Federal Data'!$F2:$F501,"Net Interest on Debt",'Federal Data'!$D2:$D501,"Nongrant")</f>
        <v>194448171</v>
      </c>
      <c r="N123">
        <f>SUMIFS('Federal Data'!Y2:Y501,'Federal Data'!$F2:$F501,"Net Interest on Debt",'Federal Data'!$D2:$D501,"Nongrant")</f>
        <v>199344146</v>
      </c>
      <c r="O123">
        <f>SUMIFS('Federal Data'!Z2:Z501,'Federal Data'!$F2:$F501,"Net Interest on Debt",'Federal Data'!$D2:$D501,"Nongrant")</f>
        <v>198713203</v>
      </c>
      <c r="P123">
        <f>SUMIFS('Federal Data'!AA2:AA501,'Federal Data'!$F2:$F501,"Net Interest on Debt",'Federal Data'!$D2:$D501,"Nongrant")</f>
        <v>202932241</v>
      </c>
      <c r="Q123">
        <f>SUMIFS('Federal Data'!AB2:AB501,'Federal Data'!$F2:$F501,"Net Interest on Debt",'Federal Data'!$D2:$D501,"Nongrant")</f>
        <v>232134000</v>
      </c>
      <c r="R123">
        <f>SUMIFS('Federal Data'!AC2:AC501,'Federal Data'!$F2:$F501,"Net Interest on Debt",'Federal Data'!$D2:$D501,"Nongrant")</f>
        <v>241053000</v>
      </c>
      <c r="S123">
        <f>SUMIFS('Federal Data'!AD2:AD501,'Federal Data'!$F2:$F501,"Net Interest on Debt",'Federal Data'!$D2:$D501,"Nongrant")</f>
        <v>243984000</v>
      </c>
      <c r="T123">
        <f>SUMIFS('Federal Data'!AE2:AE501,'Federal Data'!$F2:$F501,"Net Interest on Debt",'Federal Data'!$D2:$D501,"Nongrant")</f>
        <v>241118000</v>
      </c>
      <c r="U123">
        <f>SUMIFS('Federal Data'!AF2:AF501,'Federal Data'!$F2:$F501,"Net Interest on Debt",'Federal Data'!$D2:$D501,"Nongrant")</f>
        <v>229755000</v>
      </c>
      <c r="V123">
        <f>SUMIFS('Federal Data'!AG2:AG501,'Federal Data'!$F2:$F501,"Net Interest on Debt",'Federal Data'!$D2:$D501,"Nongrant")</f>
        <v>222949000</v>
      </c>
      <c r="W123">
        <f>SUMIFS('Federal Data'!AH2:AH501,'Federal Data'!$F2:$F501,"Net Interest on Debt",'Federal Data'!$D2:$D501,"Nongrant")</f>
        <v>206167000</v>
      </c>
      <c r="X123">
        <f>SUMIFS('Federal Data'!AI2:AI501,'Federal Data'!$F2:$F501,"Net Interest on Debt",'Federal Data'!$D2:$D501,"Nongrant")</f>
        <v>170949000</v>
      </c>
      <c r="Y123">
        <f>SUMIFS('Federal Data'!AJ2:AJ501,'Federal Data'!$F2:$F501,"Net Interest on Debt",'Federal Data'!$D2:$D501,"Nongrant")</f>
        <v>153073000</v>
      </c>
      <c r="Z123">
        <f>SUMIFS('Federal Data'!AK2:AK501,'Federal Data'!$F2:$F501,"Net Interest on Debt",'Federal Data'!$D2:$D501,"Nongrant")</f>
        <v>160245000</v>
      </c>
      <c r="AA123">
        <f>SUMIFS('Federal Data'!AL2:AL501,'Federal Data'!$F2:$F501,"Net Interest on Debt",'Federal Data'!$D2:$D501,"Nongrant")</f>
        <v>183986000</v>
      </c>
      <c r="AB123">
        <f>SUMIFS('Federal Data'!AM2:AM501,'Federal Data'!$F2:$F501,"Net Interest on Debt",'Federal Data'!$D2:$D501,"Nongrant")</f>
        <v>226603000</v>
      </c>
      <c r="AC123">
        <f>SUMIFS('Federal Data'!AN2:AN501,'Federal Data'!$F2:$F501,"Net Interest on Debt",'Federal Data'!$D2:$D501,"Nongrant")</f>
        <v>237109000</v>
      </c>
      <c r="AD123">
        <f>SUMIFS('Federal Data'!AO2:AO501,'Federal Data'!$F2:$F501,"Net Interest on Debt",'Federal Data'!$D2:$D501,"Nongrant")</f>
        <v>252757000</v>
      </c>
      <c r="AE123">
        <f>SUMIFS('Federal Data'!AP2:AP501,'Federal Data'!$F2:$F501,"Net Interest on Debt",'Federal Data'!$D2:$D501,"Nongrant")</f>
        <v>186902000</v>
      </c>
      <c r="AF123">
        <f>SUMIFS('Federal Data'!AQ2:AQ501,'Federal Data'!$F2:$F501,"Net Interest on Debt",'Federal Data'!$D2:$D501,"Nongrant")</f>
        <v>196194000</v>
      </c>
      <c r="AG123">
        <f>SUMIFS('Federal Data'!AR2:AR501,'Federal Data'!$F2:$F501,"Net Interest on Debt",'Federal Data'!$D2:$D501,"Nongrant")</f>
        <v>229962000</v>
      </c>
      <c r="AH123">
        <f>SUMIFS('Federal Data'!AS2:AS501,'Federal Data'!$F2:$F501,"Net Interest on Debt",'Federal Data'!$D2:$D501,"Nongrant")</f>
        <v>220408000</v>
      </c>
      <c r="AI123">
        <f>SUMIFS('Federal Data'!AT2:AT501,'Federal Data'!$F2:$F501,"Net Interest on Debt",'Federal Data'!$D2:$D501,"Nongrant")</f>
        <v>220885000</v>
      </c>
      <c r="AJ123">
        <f>SUMIFS('Federal Data'!AU2:AU501,'Federal Data'!$F2:$F501,"Net Interest on Debt",'Federal Data'!$D2:$D501,"Nongrant")</f>
        <v>228956000</v>
      </c>
      <c r="AK123">
        <f>SUMIFS('Federal Data'!AV2:AV501,'Federal Data'!$F2:$F501,"Net Interest on Debt",'Federal Data'!$D2:$D501,"Nongrant")</f>
        <v>223181000</v>
      </c>
    </row>
    <row r="124" spans="1:37">
      <c r="A124" s="3" t="s">
        <v>40</v>
      </c>
      <c r="B124">
        <f>SUMIFS('Federal Data'!M2:M501,'Federal Data'!$F2:$F501,"General Government",'Federal Data'!$D2:$D501,"Nongrant")</f>
        <v>4345702</v>
      </c>
      <c r="C124">
        <f>SUMIFS('Federal Data'!N2:N501,'Federal Data'!$F2:$F501,"General Government",'Federal Data'!$D2:$D501,"Nongrant")</f>
        <v>4438410</v>
      </c>
      <c r="D124">
        <f>SUMIFS('Federal Data'!O2:O501,'Federal Data'!$F2:$F501,"General Government",'Federal Data'!$D2:$D501,"Nongrant")</f>
        <v>4372892</v>
      </c>
      <c r="E124">
        <f>SUMIFS('Federal Data'!P2:P501,'Federal Data'!$F2:$F501,"General Government",'Federal Data'!$D2:$D501,"Nongrant")</f>
        <v>4668180</v>
      </c>
      <c r="F124">
        <f>SUMIFS('Federal Data'!Q2:Q501,'Federal Data'!$F2:$F501,"General Government",'Federal Data'!$D2:$D501,"Nongrant")</f>
        <v>5035426</v>
      </c>
      <c r="G124">
        <f>SUMIFS('Federal Data'!R2:R501,'Federal Data'!$F2:$F501,"General Government",'Federal Data'!$D2:$D501,"Nongrant")</f>
        <v>5275052</v>
      </c>
      <c r="H124">
        <f>SUMIFS('Federal Data'!S2:S501,'Federal Data'!$F2:$F501,"General Government",'Federal Data'!$D2:$D501,"Nongrant")</f>
        <v>6161186</v>
      </c>
      <c r="I124">
        <f>SUMIFS('Federal Data'!T2:T501,'Federal Data'!$F2:$F501,"General Government",'Federal Data'!$D2:$D501,"Nongrant")</f>
        <v>5956757</v>
      </c>
      <c r="J124">
        <f>SUMIFS('Federal Data'!U2:U501,'Federal Data'!$F2:$F501,"General Government",'Federal Data'!$D2:$D501,"Nongrant")</f>
        <v>7525672</v>
      </c>
      <c r="K124">
        <f>SUMIFS('Federal Data'!V2:V501,'Federal Data'!$F2:$F501,"General Government",'Federal Data'!$D2:$D501,"Nongrant")</f>
        <v>6707291</v>
      </c>
      <c r="L124">
        <f>SUMIFS('Federal Data'!W2:W501,'Federal Data'!$F2:$F501,"General Government",'Federal Data'!$D2:$D501,"Nongrant")</f>
        <v>7967338</v>
      </c>
      <c r="M124">
        <f>SUMIFS('Federal Data'!X2:X501,'Federal Data'!$F2:$F501,"General Government",'Federal Data'!$D2:$D501,"Nongrant")</f>
        <v>9198100</v>
      </c>
      <c r="N124">
        <f>SUMIFS('Federal Data'!Y2:Y501,'Federal Data'!$F2:$F501,"General Government",'Federal Data'!$D2:$D501,"Nongrant")</f>
        <v>10745334</v>
      </c>
      <c r="O124">
        <f>SUMIFS('Federal Data'!Z2:Z501,'Federal Data'!$F2:$F501,"General Government",'Federal Data'!$D2:$D501,"Nongrant")</f>
        <v>10780915</v>
      </c>
      <c r="P124">
        <f>SUMIFS('Federal Data'!AA2:AA501,'Federal Data'!$F2:$F501,"General Government",'Federal Data'!$D2:$D501,"Nongrant")</f>
        <v>8894141</v>
      </c>
      <c r="Q124">
        <f>SUMIFS('Federal Data'!AB2:AB501,'Federal Data'!$F2:$F501,"General Government",'Federal Data'!$D2:$D501,"Nongrant")</f>
        <v>11141000</v>
      </c>
      <c r="R124">
        <f>SUMIFS('Federal Data'!AC2:AC501,'Federal Data'!$F2:$F501,"General Government",'Federal Data'!$D2:$D501,"Nongrant")</f>
        <v>9454000</v>
      </c>
      <c r="S124">
        <f>SUMIFS('Federal Data'!AD2:AD501,'Federal Data'!$F2:$F501,"General Government",'Federal Data'!$D2:$D501,"Nongrant")</f>
        <v>10105000</v>
      </c>
      <c r="T124">
        <f>SUMIFS('Federal Data'!AE2:AE501,'Federal Data'!$F2:$F501,"General Government",'Federal Data'!$D2:$D501,"Nongrant")</f>
        <v>10070000</v>
      </c>
      <c r="U124">
        <f>SUMIFS('Federal Data'!AF2:AF501,'Federal Data'!$F2:$F501,"General Government",'Federal Data'!$D2:$D501,"Nongrant")</f>
        <v>12092000</v>
      </c>
      <c r="V124">
        <f>SUMIFS('Federal Data'!AG2:AG501,'Federal Data'!$F2:$F501,"General Government",'Federal Data'!$D2:$D501,"Nongrant")</f>
        <v>10650000</v>
      </c>
      <c r="W124">
        <f>SUMIFS('Federal Data'!AH2:AH501,'Federal Data'!$F2:$F501,"General Government",'Federal Data'!$D2:$D501,"Nongrant")</f>
        <v>11785000</v>
      </c>
      <c r="X124">
        <f>SUMIFS('Federal Data'!AI2:AI501,'Federal Data'!$F2:$F501,"General Government",'Federal Data'!$D2:$D501,"Nongrant")</f>
        <v>14237000</v>
      </c>
      <c r="Y124">
        <f>SUMIFS('Federal Data'!AJ2:AJ501,'Federal Data'!$F2:$F501,"General Government",'Federal Data'!$D2:$D501,"Nongrant")</f>
        <v>14163000</v>
      </c>
      <c r="Z124">
        <f>SUMIFS('Federal Data'!AK2:AK501,'Federal Data'!$F2:$F501,"General Government",'Federal Data'!$D2:$D501,"Nongrant")</f>
        <v>14173000</v>
      </c>
      <c r="AA124">
        <f>SUMIFS('Federal Data'!AL2:AL501,'Federal Data'!$F2:$F501,"General Government",'Federal Data'!$D2:$D501,"Nongrant")</f>
        <v>13218000</v>
      </c>
      <c r="AB124">
        <f>SUMIFS('Federal Data'!AM2:AM501,'Federal Data'!$F2:$F501,"General Government",'Federal Data'!$D2:$D501,"Nongrant")</f>
        <v>14479000</v>
      </c>
      <c r="AC124">
        <f>SUMIFS('Federal Data'!AN2:AN501,'Federal Data'!$F2:$F501,"General Government",'Federal Data'!$D2:$D501,"Nongrant")</f>
        <v>14097000</v>
      </c>
      <c r="AD124">
        <f>SUMIFS('Federal Data'!AO2:AO501,'Federal Data'!$F2:$F501,"General Government",'Federal Data'!$D2:$D501,"Nongrant")</f>
        <v>16684000</v>
      </c>
      <c r="AE124">
        <f>SUMIFS('Federal Data'!AP2:AP501,'Federal Data'!$F2:$F501,"General Government",'Federal Data'!$D2:$D501,"Nongrant")</f>
        <v>18112000</v>
      </c>
      <c r="AF124">
        <f>SUMIFS('Federal Data'!AQ2:AQ501,'Federal Data'!$F2:$F501,"General Government",'Federal Data'!$D2:$D501,"Nongrant")</f>
        <v>18201000</v>
      </c>
      <c r="AG124">
        <f>SUMIFS('Federal Data'!AR2:AR501,'Federal Data'!$F2:$F501,"General Government",'Federal Data'!$D2:$D501,"Nongrant")</f>
        <v>19965000</v>
      </c>
      <c r="AH124">
        <f>SUMIFS('Federal Data'!AS2:AS501,'Federal Data'!$F2:$F501,"General Government",'Federal Data'!$D2:$D501,"Nongrant")</f>
        <v>20047000</v>
      </c>
      <c r="AI124">
        <f>SUMIFS('Federal Data'!AT2:AT501,'Federal Data'!$F2:$F501,"General Government",'Federal Data'!$D2:$D501,"Nongrant")</f>
        <v>19980000</v>
      </c>
      <c r="AJ124">
        <f>SUMIFS('Federal Data'!AU2:AU501,'Federal Data'!$F2:$F501,"General Government",'Federal Data'!$D2:$D501,"Nongrant")</f>
        <v>18919000</v>
      </c>
      <c r="AK124">
        <f>SUMIFS('Federal Data'!AV2:AV501,'Federal Data'!$F2:$F501,"General Government",'Federal Data'!$D2:$D501,"Nongrant")</f>
        <v>13794000</v>
      </c>
    </row>
    <row r="125" spans="1:37">
      <c r="A125" s="3" t="s">
        <v>121</v>
      </c>
      <c r="B125">
        <f>SUMIFS('Federal Data'!M2:M501,'Federal Data'!$E2:$E501,"General Government",'Federal Data'!$D2:$D501,"Nongrant")-SUMIFS('Federal Data'!M2:M501,'Federal Data'!$F2:$F501,"General Government",'Federal Data'!$D2:$D501,"Nongrant")</f>
        <v>118974</v>
      </c>
      <c r="C125">
        <f>SUMIFS('Federal Data'!N2:N501,'Federal Data'!$E2:$E501,"General Government",'Federal Data'!$D2:$D501,"Nongrant")-SUMIFS('Federal Data'!N2:N501,'Federal Data'!$F2:$F501,"General Government",'Federal Data'!$D2:$D501,"Nongrant")</f>
        <v>149607</v>
      </c>
      <c r="D125">
        <f>SUMIFS('Federal Data'!O2:O501,'Federal Data'!$E2:$E501,"General Government",'Federal Data'!$D2:$D501,"Nongrant")-SUMIFS('Federal Data'!O2:O501,'Federal Data'!$F2:$F501,"General Government",'Federal Data'!$D2:$D501,"Nongrant")</f>
        <v>48052</v>
      </c>
      <c r="E125">
        <f>SUMIFS('Federal Data'!P2:P501,'Federal Data'!$E2:$E501,"General Government",'Federal Data'!$D2:$D501,"Nongrant")-SUMIFS('Federal Data'!P2:P501,'Federal Data'!$F2:$F501,"General Government",'Federal Data'!$D2:$D501,"Nongrant")</f>
        <v>126411</v>
      </c>
      <c r="F125">
        <f>SUMIFS('Federal Data'!Q2:Q501,'Federal Data'!$E2:$E501,"General Government",'Federal Data'!$D2:$D501,"Nongrant")-SUMIFS('Federal Data'!Q2:Q501,'Federal Data'!$F2:$F501,"General Government",'Federal Data'!$D2:$D501,"Nongrant")</f>
        <v>93758</v>
      </c>
      <c r="G125">
        <f>SUMIFS('Federal Data'!R2:R501,'Federal Data'!$E2:$E501,"General Government",'Federal Data'!$D2:$D501,"Nongrant")-SUMIFS('Federal Data'!R2:R501,'Federal Data'!$F2:$F501,"General Government",'Federal Data'!$D2:$D501,"Nongrant")</f>
        <v>-299294</v>
      </c>
      <c r="H125">
        <f>SUMIFS('Federal Data'!S2:S501,'Federal Data'!$E2:$E501,"General Government",'Federal Data'!$D2:$D501,"Nongrant")-SUMIFS('Federal Data'!S2:S501,'Federal Data'!$F2:$F501,"General Government",'Federal Data'!$D2:$D501,"Nongrant")</f>
        <v>-544517</v>
      </c>
      <c r="I125">
        <f>SUMIFS('Federal Data'!T2:T501,'Federal Data'!$E2:$E501,"General Government",'Federal Data'!$D2:$D501,"Nongrant")-SUMIFS('Federal Data'!T2:T501,'Federal Data'!$F2:$F501,"General Government",'Federal Data'!$D2:$D501,"Nongrant")</f>
        <v>9874</v>
      </c>
      <c r="J125">
        <f>SUMIFS('Federal Data'!U2:U501,'Federal Data'!$E2:$E501,"General Government",'Federal Data'!$D2:$D501,"Nongrant")-SUMIFS('Federal Data'!U2:U501,'Federal Data'!$F2:$F501,"General Government",'Federal Data'!$D2:$D501,"Nongrant")</f>
        <v>138796</v>
      </c>
      <c r="K125">
        <f>SUMIFS('Federal Data'!V2:V501,'Federal Data'!$E2:$E501,"General Government",'Federal Data'!$D2:$D501,"Nongrant")-SUMIFS('Federal Data'!V2:V501,'Federal Data'!$F2:$F501,"General Government",'Federal Data'!$D2:$D501,"Nongrant")</f>
        <v>126523</v>
      </c>
      <c r="L125">
        <f>SUMIFS('Federal Data'!W2:W501,'Federal Data'!$E2:$E501,"General Government",'Federal Data'!$D2:$D501,"Nongrant")-SUMIFS('Federal Data'!W2:W501,'Federal Data'!$F2:$F501,"General Government",'Federal Data'!$D2:$D501,"Nongrant")</f>
        <v>150136</v>
      </c>
      <c r="M125">
        <f>SUMIFS('Federal Data'!X2:X501,'Federal Data'!$E2:$E501,"General Government",'Federal Data'!$D2:$D501,"Nongrant")-SUMIFS('Federal Data'!X2:X501,'Federal Data'!$F2:$F501,"General Government",'Federal Data'!$D2:$D501,"Nongrant")</f>
        <v>147307</v>
      </c>
      <c r="N125">
        <f>SUMIFS('Federal Data'!Y2:Y501,'Federal Data'!$E2:$E501,"General Government",'Federal Data'!$D2:$D501,"Nongrant")-SUMIFS('Federal Data'!Y2:Y501,'Federal Data'!$F2:$F501,"General Government",'Federal Data'!$D2:$D501,"Nongrant")</f>
        <v>-136237</v>
      </c>
      <c r="O125">
        <f>SUMIFS('Federal Data'!Z2:Z501,'Federal Data'!$E2:$E501,"General Government",'Federal Data'!$D2:$D501,"Nongrant")-SUMIFS('Federal Data'!Z2:Z501,'Federal Data'!$F2:$F501,"General Government",'Federal Data'!$D2:$D501,"Nongrant")</f>
        <v>32633</v>
      </c>
      <c r="P125">
        <f>SUMIFS('Federal Data'!AA2:AA501,'Federal Data'!$E2:$E501,"General Government",'Federal Data'!$D2:$D501,"Nongrant")-SUMIFS('Federal Data'!AA2:AA501,'Federal Data'!$F2:$F501,"General Government",'Federal Data'!$D2:$D501,"Nongrant")</f>
        <v>131500</v>
      </c>
      <c r="Q125">
        <f>SUMIFS('Federal Data'!AB2:AB501,'Federal Data'!$E2:$E501,"General Government",'Federal Data'!$D2:$D501,"Nongrant")-SUMIFS('Federal Data'!AB2:AB501,'Federal Data'!$F2:$F501,"General Government",'Federal Data'!$D2:$D501,"Nongrant")</f>
        <v>324000</v>
      </c>
      <c r="R125">
        <f>SUMIFS('Federal Data'!AC2:AC501,'Federal Data'!$E2:$E501,"General Government",'Federal Data'!$D2:$D501,"Nongrant")-SUMIFS('Federal Data'!AC2:AC501,'Federal Data'!$F2:$F501,"General Government",'Federal Data'!$D2:$D501,"Nongrant")</f>
        <v>161000</v>
      </c>
      <c r="S125">
        <f>SUMIFS('Federal Data'!AD2:AD501,'Federal Data'!$E2:$E501,"General Government",'Federal Data'!$D2:$D501,"Nongrant")-SUMIFS('Federal Data'!AD2:AD501,'Federal Data'!$F2:$F501,"General Government",'Federal Data'!$D2:$D501,"Nongrant")</f>
        <v>168000</v>
      </c>
      <c r="T125">
        <f>SUMIFS('Federal Data'!AE2:AE501,'Federal Data'!$E2:$E501,"General Government",'Federal Data'!$D2:$D501,"Nongrant")-SUMIFS('Federal Data'!AE2:AE501,'Federal Data'!$F2:$F501,"General Government",'Federal Data'!$D2:$D501,"Nongrant")</f>
        <v>103000</v>
      </c>
      <c r="U125">
        <f>SUMIFS('Federal Data'!AF2:AF501,'Federal Data'!$E2:$E501,"General Government",'Federal Data'!$D2:$D501,"Nongrant")-SUMIFS('Federal Data'!AF2:AF501,'Federal Data'!$F2:$F501,"General Government",'Federal Data'!$D2:$D501,"Nongrant")</f>
        <v>169000</v>
      </c>
      <c r="V125">
        <f>SUMIFS('Federal Data'!AG2:AG501,'Federal Data'!$E2:$E501,"General Government",'Federal Data'!$D2:$D501,"Nongrant")-SUMIFS('Federal Data'!AG2:AG501,'Federal Data'!$F2:$F501,"General Government",'Federal Data'!$D2:$D501,"Nongrant")</f>
        <v>178000</v>
      </c>
      <c r="W125">
        <f>SUMIFS('Federal Data'!AH2:AH501,'Federal Data'!$E2:$E501,"General Government",'Federal Data'!$D2:$D501,"Nongrant")-SUMIFS('Federal Data'!AH2:AH501,'Federal Data'!$F2:$F501,"General Government",'Federal Data'!$D2:$D501,"Nongrant")</f>
        <v>180000</v>
      </c>
      <c r="X125">
        <f>SUMIFS('Federal Data'!AI2:AI501,'Federal Data'!$E2:$E501,"General Government",'Federal Data'!$D2:$D501,"Nongrant")-SUMIFS('Federal Data'!AI2:AI501,'Federal Data'!$F2:$F501,"General Government",'Federal Data'!$D2:$D501,"Nongrant")</f>
        <v>197000</v>
      </c>
      <c r="Y125">
        <f>SUMIFS('Federal Data'!AJ2:AJ501,'Federal Data'!$E2:$E501,"General Government",'Federal Data'!$D2:$D501,"Nongrant")-SUMIFS('Federal Data'!AJ2:AJ501,'Federal Data'!$F2:$F501,"General Government",'Federal Data'!$D2:$D501,"Nongrant")</f>
        <v>199000</v>
      </c>
      <c r="Z125">
        <f>SUMIFS('Federal Data'!AK2:AK501,'Federal Data'!$E2:$E501,"General Government",'Federal Data'!$D2:$D501,"Nongrant")-SUMIFS('Federal Data'!AK2:AK501,'Federal Data'!$F2:$F501,"General Government",'Federal Data'!$D2:$D501,"Nongrant")</f>
        <v>174000</v>
      </c>
      <c r="AA125">
        <f>SUMIFS('Federal Data'!AL2:AL501,'Federal Data'!$E2:$E501,"General Government",'Federal Data'!$D2:$D501,"Nongrant")-SUMIFS('Federal Data'!AL2:AL501,'Federal Data'!$F2:$F501,"General Government",'Federal Data'!$D2:$D501,"Nongrant")</f>
        <v>227000</v>
      </c>
      <c r="AB125">
        <f>SUMIFS('Federal Data'!AM2:AM501,'Federal Data'!$E2:$E501,"General Government",'Federal Data'!$D2:$D501,"Nongrant")-SUMIFS('Federal Data'!AM2:AM501,'Federal Data'!$F2:$F501,"General Government",'Federal Data'!$D2:$D501,"Nongrant")</f>
        <v>192000</v>
      </c>
      <c r="AC125">
        <f>SUMIFS('Federal Data'!AN2:AN501,'Federal Data'!$E2:$E501,"General Government",'Federal Data'!$D2:$D501,"Nongrant")-SUMIFS('Federal Data'!AN2:AN501,'Federal Data'!$F2:$F501,"General Government",'Federal Data'!$D2:$D501,"Nongrant")</f>
        <v>233000</v>
      </c>
      <c r="AD125">
        <f>SUMIFS('Federal Data'!AO2:AO501,'Federal Data'!$E2:$E501,"General Government",'Federal Data'!$D2:$D501,"Nongrant")-SUMIFS('Federal Data'!AO2:AO501,'Federal Data'!$F2:$F501,"General Government",'Federal Data'!$D2:$D501,"Nongrant")</f>
        <v>208000</v>
      </c>
      <c r="AE125">
        <f>SUMIFS('Federal Data'!AP2:AP501,'Federal Data'!$E2:$E501,"General Government",'Federal Data'!$D2:$D501,"Nongrant")-SUMIFS('Federal Data'!AP2:AP501,'Federal Data'!$F2:$F501,"General Government",'Federal Data'!$D2:$D501,"Nongrant")</f>
        <v>275000</v>
      </c>
      <c r="AF125">
        <f>SUMIFS('Federal Data'!AQ2:AQ501,'Federal Data'!$E2:$E501,"General Government",'Federal Data'!$D2:$D501,"Nongrant")-SUMIFS('Federal Data'!AQ2:AQ501,'Federal Data'!$F2:$F501,"General Government",'Federal Data'!$D2:$D501,"Nongrant")</f>
        <v>227000</v>
      </c>
      <c r="AG125">
        <f>SUMIFS('Federal Data'!AR2:AR501,'Federal Data'!$E2:$E501,"General Government",'Federal Data'!$D2:$D501,"Nongrant")-SUMIFS('Federal Data'!AR2:AR501,'Federal Data'!$F2:$F501,"General Government",'Federal Data'!$D2:$D501,"Nongrant")</f>
        <v>245000</v>
      </c>
      <c r="AH125">
        <f>SUMIFS('Federal Data'!AS2:AS501,'Federal Data'!$E2:$E501,"General Government",'Federal Data'!$D2:$D501,"Nongrant")-SUMIFS('Federal Data'!AS2:AS501,'Federal Data'!$F2:$F501,"General Government",'Federal Data'!$D2:$D501,"Nongrant")</f>
        <v>4005000</v>
      </c>
      <c r="AI125">
        <f>SUMIFS('Federal Data'!AT2:AT501,'Federal Data'!$E2:$E501,"General Government",'Federal Data'!$D2:$D501,"Nongrant")-SUMIFS('Federal Data'!AT2:AT501,'Federal Data'!$F2:$F501,"General Government",'Federal Data'!$D2:$D501,"Nongrant")</f>
        <v>4135000</v>
      </c>
      <c r="AJ125">
        <f>SUMIFS('Federal Data'!AU2:AU501,'Federal Data'!$E2:$E501,"General Government",'Federal Data'!$D2:$D501,"Nongrant")-SUMIFS('Federal Data'!AU2:AU501,'Federal Data'!$F2:$F501,"General Government",'Federal Data'!$D2:$D501,"Nongrant")</f>
        <v>3821000</v>
      </c>
      <c r="AK125">
        <f>SUMIFS('Federal Data'!AV2:AV501,'Federal Data'!$E2:$E501,"General Government",'Federal Data'!$D2:$D501,"Nongrant")-SUMIFS('Federal Data'!AV2:AV501,'Federal Data'!$F2:$F501,"General Government",'Federal Data'!$D2:$D501,"Nongrant")</f>
        <v>3754000</v>
      </c>
    </row>
    <row r="126" spans="1:37">
      <c r="A126" s="8" t="s">
        <v>122</v>
      </c>
      <c r="B126">
        <f>SUMIFS('Federal Data'!M2:M501,'Federal Data'!$C2:$C501,"Spending",'Federal Data'!$D2:$D501,"Grant")</f>
        <v>91385203</v>
      </c>
      <c r="C126">
        <f>SUMIFS('Federal Data'!N2:N501,'Federal Data'!$C2:$C501,"Spending",'Federal Data'!$D2:$D501,"Grant")</f>
        <v>94703683</v>
      </c>
      <c r="D126">
        <f>SUMIFS('Federal Data'!O2:O501,'Federal Data'!$C2:$C501,"Spending",'Federal Data'!$D2:$D501,"Grant")</f>
        <v>88134375</v>
      </c>
      <c r="E126">
        <f>SUMIFS('Federal Data'!P2:P501,'Federal Data'!$C2:$C501,"Spending",'Federal Data'!$D2:$D501,"Grant")</f>
        <v>92447649</v>
      </c>
      <c r="F126">
        <f>SUMIFS('Federal Data'!Q2:Q501,'Federal Data'!$C2:$C501,"Spending",'Federal Data'!$D2:$D501,"Grant")</f>
        <v>97552538</v>
      </c>
      <c r="G126">
        <f>SUMIFS('Federal Data'!R2:R501,'Federal Data'!$C2:$C501,"Spending",'Federal Data'!$D2:$D501,"Grant")</f>
        <v>105851907</v>
      </c>
      <c r="H126">
        <f>SUMIFS('Federal Data'!S2:S501,'Federal Data'!$C2:$C501,"Spending",'Federal Data'!$D2:$D501,"Grant")</f>
        <v>112330930</v>
      </c>
      <c r="I126">
        <f>SUMIFS('Federal Data'!T2:T501,'Federal Data'!$C2:$C501,"Spending",'Federal Data'!$D2:$D501,"Grant")</f>
        <v>108399827</v>
      </c>
      <c r="J126">
        <f>SUMIFS('Federal Data'!U2:U501,'Federal Data'!$C2:$C501,"Spending",'Federal Data'!$D2:$D501,"Grant")</f>
        <v>115341544</v>
      </c>
      <c r="K126">
        <f>SUMIFS('Federal Data'!V2:V501,'Federal Data'!$C2:$C501,"Spending",'Federal Data'!$D2:$D501,"Grant")</f>
        <v>121928237</v>
      </c>
      <c r="L126">
        <f>SUMIFS('Federal Data'!W2:W501,'Federal Data'!$C2:$C501,"Spending",'Federal Data'!$D2:$D501,"Grant")</f>
        <v>135324943</v>
      </c>
      <c r="M126">
        <f>SUMIFS('Federal Data'!X2:X501,'Federal Data'!$C2:$C501,"Spending",'Federal Data'!$D2:$D501,"Grant")</f>
        <v>154518646</v>
      </c>
      <c r="N126">
        <f>SUMIFS('Federal Data'!Y2:Y501,'Federal Data'!$C2:$C501,"Spending",'Federal Data'!$D2:$D501,"Grant")</f>
        <v>178065422</v>
      </c>
      <c r="O126">
        <f>SUMIFS('Federal Data'!Z2:Z501,'Federal Data'!$C2:$C501,"Spending",'Federal Data'!$D2:$D501,"Grant")</f>
        <v>193612109</v>
      </c>
      <c r="P126">
        <f>SUMIFS('Federal Data'!AA2:AA501,'Federal Data'!$C2:$C501,"Spending",'Federal Data'!$D2:$D501,"Grant")</f>
        <v>210596182</v>
      </c>
      <c r="Q126">
        <f>SUMIFS('Federal Data'!AB2:AB501,'Federal Data'!$C2:$C501,"Spending",'Federal Data'!$D2:$D501,"Grant")</f>
        <v>224991000</v>
      </c>
      <c r="R126">
        <f>SUMIFS('Federal Data'!AC2:AC501,'Federal Data'!$C2:$C501,"Spending",'Federal Data'!$D2:$D501,"Grant")</f>
        <v>227811000</v>
      </c>
      <c r="S126">
        <f>SUMIFS('Federal Data'!AD2:AD501,'Federal Data'!$C2:$C501,"Spending",'Federal Data'!$D2:$D501,"Grant")</f>
        <v>234160000</v>
      </c>
      <c r="T126">
        <f>SUMIFS('Federal Data'!AE2:AE501,'Federal Data'!$C2:$C501,"Spending",'Federal Data'!$D2:$D501,"Grant")</f>
        <v>246128000</v>
      </c>
      <c r="U126">
        <f>SUMIFS('Federal Data'!AF2:AF501,'Federal Data'!$C2:$C501,"Spending",'Federal Data'!$D2:$D501,"Grant")</f>
        <v>267886000</v>
      </c>
      <c r="V126">
        <f>SUMIFS('Federal Data'!AG2:AG501,'Federal Data'!$C2:$C501,"Spending",'Federal Data'!$D2:$D501,"Grant")</f>
        <v>285874000</v>
      </c>
      <c r="W126">
        <f>SUMIFS('Federal Data'!AH2:AH501,'Federal Data'!$C2:$C501,"Spending",'Federal Data'!$D2:$D501,"Grant")</f>
        <v>318542000</v>
      </c>
      <c r="X126">
        <f>SUMIFS('Federal Data'!AI2:AI501,'Federal Data'!$C2:$C501,"Spending",'Federal Data'!$D2:$D501,"Grant")</f>
        <v>352895000</v>
      </c>
      <c r="Y126">
        <f>SUMIFS('Federal Data'!AJ2:AJ501,'Federal Data'!$C2:$C501,"Spending",'Federal Data'!$D2:$D501,"Grant")</f>
        <v>388542000</v>
      </c>
      <c r="Z126">
        <f>SUMIFS('Federal Data'!AK2:AK501,'Federal Data'!$C2:$C501,"Spending",'Federal Data'!$D2:$D501,"Grant")</f>
        <v>407512000</v>
      </c>
      <c r="AA126">
        <f>SUMIFS('Federal Data'!AL2:AL501,'Federal Data'!$C2:$C501,"Spending",'Federal Data'!$D2:$D501,"Grant")</f>
        <v>428018000</v>
      </c>
      <c r="AB126">
        <f>SUMIFS('Federal Data'!AM2:AM501,'Federal Data'!$C2:$C501,"Spending",'Federal Data'!$D2:$D501,"Grant")</f>
        <v>434099000</v>
      </c>
      <c r="AC126">
        <f>SUMIFS('Federal Data'!AN2:AN501,'Federal Data'!$C2:$C501,"Spending",'Federal Data'!$D2:$D501,"Grant")</f>
        <v>443797000</v>
      </c>
      <c r="AD126">
        <f>SUMIFS('Federal Data'!AO2:AO501,'Federal Data'!$C2:$C501,"Spending",'Federal Data'!$D2:$D501,"Grant")</f>
        <v>461317000</v>
      </c>
      <c r="AE126">
        <f>SUMIFS('Federal Data'!AP2:AP501,'Federal Data'!$C2:$C501,"Spending",'Federal Data'!$D2:$D501,"Grant")</f>
        <v>537991000</v>
      </c>
      <c r="AF126">
        <f>SUMIFS('Federal Data'!AQ2:AQ501,'Federal Data'!$C2:$C501,"Spending",'Federal Data'!$D2:$D501,"Grant")</f>
        <v>608390000</v>
      </c>
      <c r="AG126">
        <f>SUMIFS('Federal Data'!AR2:AR501,'Federal Data'!$C2:$C501,"Spending",'Federal Data'!$D2:$D501,"Grant")</f>
        <v>606766000</v>
      </c>
      <c r="AH126">
        <f>SUMIFS('Federal Data'!AS2:AS501,'Federal Data'!$C2:$C501,"Spending",'Federal Data'!$D2:$D501,"Grant")</f>
        <v>544569000</v>
      </c>
      <c r="AI126">
        <f>SUMIFS('Federal Data'!AT2:AT501,'Federal Data'!$C2:$C501,"Spending",'Federal Data'!$D2:$D501,"Grant")</f>
        <v>546171000</v>
      </c>
      <c r="AJ126">
        <f>SUMIFS('Federal Data'!AU2:AU501,'Federal Data'!$C2:$C501,"Spending",'Federal Data'!$D2:$D501,"Grant")</f>
        <v>576967000</v>
      </c>
      <c r="AK126">
        <f>SUMIFS('Federal Data'!AV2:AV501,'Federal Data'!$C2:$C501,"Spending",'Federal Data'!$D2:$D501,"Grant")</f>
        <v>624354000</v>
      </c>
    </row>
    <row r="127" spans="1:37">
      <c r="A127" s="8"/>
    </row>
    <row r="128" spans="1:37">
      <c r="A128" s="9" t="s">
        <v>320</v>
      </c>
      <c r="B128">
        <f t="shared" ref="B128:AJ128" si="2">B3-B27</f>
        <v>-73829724</v>
      </c>
      <c r="C128">
        <f t="shared" si="2"/>
        <v>-78968132</v>
      </c>
      <c r="D128">
        <f t="shared" si="2"/>
        <v>-127976890</v>
      </c>
      <c r="E128">
        <f t="shared" si="2"/>
        <v>-207802139</v>
      </c>
      <c r="F128">
        <f t="shared" si="2"/>
        <v>-185367340</v>
      </c>
      <c r="G128">
        <f t="shared" si="2"/>
        <v>-212307591</v>
      </c>
      <c r="H128">
        <f t="shared" si="2"/>
        <v>-221226843</v>
      </c>
      <c r="I128">
        <f t="shared" si="2"/>
        <v>-149729512</v>
      </c>
      <c r="J128">
        <f t="shared" si="2"/>
        <v>-155177954</v>
      </c>
      <c r="K128">
        <f t="shared" si="2"/>
        <v>-152638954</v>
      </c>
      <c r="L128">
        <f t="shared" si="2"/>
        <v>-221035714</v>
      </c>
      <c r="M128">
        <f t="shared" si="2"/>
        <v>-269237741</v>
      </c>
      <c r="N128">
        <f t="shared" si="2"/>
        <v>-290320643</v>
      </c>
      <c r="O128">
        <f t="shared" si="2"/>
        <v>-255051017</v>
      </c>
      <c r="P128">
        <f t="shared" si="2"/>
        <v>-203186218</v>
      </c>
      <c r="Q128">
        <f t="shared" si="2"/>
        <v>-163952000</v>
      </c>
      <c r="R128">
        <f t="shared" si="2"/>
        <v>-107431000</v>
      </c>
      <c r="S128">
        <f t="shared" si="2"/>
        <v>-21884000</v>
      </c>
      <c r="T128">
        <f t="shared" si="2"/>
        <v>69270000</v>
      </c>
      <c r="U128">
        <f t="shared" si="2"/>
        <v>125610000</v>
      </c>
      <c r="V128">
        <f t="shared" si="2"/>
        <v>236241000</v>
      </c>
      <c r="W128">
        <f t="shared" si="2"/>
        <v>128236000</v>
      </c>
      <c r="X128">
        <f t="shared" si="2"/>
        <v>-157758000</v>
      </c>
      <c r="Y128">
        <f t="shared" si="2"/>
        <v>-377585000</v>
      </c>
      <c r="Z128">
        <f t="shared" si="2"/>
        <v>-412727000</v>
      </c>
      <c r="AA128">
        <f t="shared" si="2"/>
        <v>-318346000</v>
      </c>
      <c r="AB128">
        <f t="shared" si="2"/>
        <v>-248181000</v>
      </c>
      <c r="AC128">
        <f t="shared" si="2"/>
        <v>-160701000</v>
      </c>
      <c r="AD128">
        <f t="shared" si="2"/>
        <v>-458553000</v>
      </c>
      <c r="AE128">
        <f t="shared" si="2"/>
        <v>-1412688000</v>
      </c>
      <c r="AF128">
        <f t="shared" si="2"/>
        <v>-1294373000</v>
      </c>
      <c r="AG128">
        <f t="shared" si="2"/>
        <v>-1299590000</v>
      </c>
      <c r="AH128">
        <f t="shared" si="2"/>
        <v>-1086963000</v>
      </c>
      <c r="AI128">
        <f t="shared" si="2"/>
        <v>-679544000</v>
      </c>
      <c r="AJ128">
        <f t="shared" si="2"/>
        <v>-484627000</v>
      </c>
      <c r="AK128">
        <f t="shared" ref="AK128" si="3">AK3-AK27</f>
        <v>-438406000</v>
      </c>
    </row>
    <row r="129" spans="1:37">
      <c r="A129" s="8"/>
    </row>
    <row r="130" spans="1:37">
      <c r="A130" s="8"/>
    </row>
    <row r="131" spans="1:37">
      <c r="A131" s="9" t="s">
        <v>135</v>
      </c>
    </row>
    <row r="132" spans="1:37">
      <c r="A132" s="8"/>
    </row>
    <row r="133" spans="1:37">
      <c r="A133" s="8" t="s">
        <v>136</v>
      </c>
    </row>
    <row r="134" spans="1:37">
      <c r="A134" s="3" t="s">
        <v>34</v>
      </c>
      <c r="B134">
        <f>SUMIFS('Federal Data'!M2:M501,'Federal Data'!$F2:$F501,"Child and Social Services",'Federal Data'!$D2:$D501,"Grant")</f>
        <v>13087060</v>
      </c>
      <c r="C134">
        <f>SUMIFS('Federal Data'!N2:N501,'Federal Data'!$F2:$F501,"Child and Social Services",'Federal Data'!$D2:$D501,"Grant")</f>
        <v>14625185</v>
      </c>
      <c r="D134">
        <f>SUMIFS('Federal Data'!O2:O501,'Federal Data'!$F2:$F501,"Child and Social Services",'Federal Data'!$D2:$D501,"Grant")</f>
        <v>13598580</v>
      </c>
      <c r="E134">
        <f>SUMIFS('Federal Data'!P2:P501,'Federal Data'!$F2:$F501,"Child and Social Services",'Federal Data'!$D2:$D501,"Grant")</f>
        <v>14114632</v>
      </c>
      <c r="F134">
        <f>SUMIFS('Federal Data'!Q2:Q501,'Federal Data'!$F2:$F501,"Child and Social Services",'Federal Data'!$D2:$D501,"Grant")</f>
        <v>15595614</v>
      </c>
      <c r="G134">
        <f>SUMIFS('Federal Data'!R2:R501,'Federal Data'!$F2:$F501,"Child and Social Services",'Federal Data'!$D2:$D501,"Grant")</f>
        <v>15560181</v>
      </c>
      <c r="H134">
        <f>SUMIFS('Federal Data'!S2:S501,'Federal Data'!$F2:$F501,"Child and Social Services",'Federal Data'!$D2:$D501,"Grant")</f>
        <v>16718591</v>
      </c>
      <c r="I134">
        <f>SUMIFS('Federal Data'!T2:T501,'Federal Data'!$F2:$F501,"Child and Social Services",'Federal Data'!$D2:$D501,"Grant")</f>
        <v>17420891</v>
      </c>
      <c r="J134">
        <f>SUMIFS('Federal Data'!U2:U501,'Federal Data'!$F2:$F501,"Child and Social Services",'Federal Data'!$D2:$D501,"Grant")</f>
        <v>18242320</v>
      </c>
      <c r="K134">
        <f>SUMIFS('Federal Data'!V2:V501,'Federal Data'!$F2:$F501,"Child and Social Services",'Federal Data'!$D2:$D501,"Grant")</f>
        <v>19938495</v>
      </c>
      <c r="L134">
        <f>SUMIFS('Federal Data'!W2:W501,'Federal Data'!$F2:$F501,"Child and Social Services",'Federal Data'!$D2:$D501,"Grant")</f>
        <v>21358154</v>
      </c>
      <c r="M134">
        <f>SUMIFS('Federal Data'!X2:X501,'Federal Data'!$F2:$F501,"Child and Social Services",'Federal Data'!$D2:$D501,"Grant")</f>
        <v>24379447</v>
      </c>
      <c r="N134">
        <f>SUMIFS('Federal Data'!Y2:Y501,'Federal Data'!$F2:$F501,"Child and Social Services",'Federal Data'!$D2:$D501,"Grant")</f>
        <v>26715740</v>
      </c>
      <c r="O134">
        <f>SUMIFS('Federal Data'!Z2:Z501,'Federal Data'!$F2:$F501,"Child and Social Services",'Federal Data'!$D2:$D501,"Grant")</f>
        <v>27393067</v>
      </c>
      <c r="P134">
        <f>SUMIFS('Federal Data'!AA2:AA501,'Federal Data'!$F2:$F501,"Child and Social Services",'Federal Data'!$D2:$D501,"Grant")</f>
        <v>29872214</v>
      </c>
      <c r="Q134">
        <f>SUMIFS('Federal Data'!AB2:AB501,'Federal Data'!$F2:$F501,"Child and Social Services",'Federal Data'!$D2:$D501,"Grant")</f>
        <v>31289000</v>
      </c>
      <c r="R134">
        <f>SUMIFS('Federal Data'!AC2:AC501,'Federal Data'!$F2:$F501,"Child and Social Services",'Federal Data'!$D2:$D501,"Grant")</f>
        <v>30695000</v>
      </c>
      <c r="S134">
        <f>SUMIFS('Federal Data'!AD2:AD501,'Federal Data'!$F2:$F501,"Child and Social Services",'Federal Data'!$D2:$D501,"Grant")</f>
        <v>20329000</v>
      </c>
      <c r="T134">
        <f>SUMIFS('Federal Data'!AE2:AE501,'Federal Data'!$F2:$F501,"Child and Social Services",'Federal Data'!$D2:$D501,"Grant")</f>
        <v>17611000</v>
      </c>
      <c r="U134">
        <f>SUMIFS('Federal Data'!AF2:AF501,'Federal Data'!$F2:$F501,"Child and Social Services",'Federal Data'!$D2:$D501,"Grant")</f>
        <v>18831000</v>
      </c>
      <c r="V134">
        <f>SUMIFS('Federal Data'!AG2:AG501,'Federal Data'!$F2:$F501,"Child and Social Services",'Federal Data'!$D2:$D501,"Grant")</f>
        <v>19996000</v>
      </c>
      <c r="W134">
        <f>SUMIFS('Federal Data'!AH2:AH501,'Federal Data'!$F2:$F501,"Child and Social Services",'Federal Data'!$D2:$D501,"Grant")</f>
        <v>21907000</v>
      </c>
      <c r="X134">
        <f>SUMIFS('Federal Data'!AI2:AI501,'Federal Data'!$F2:$F501,"Child and Social Services",'Federal Data'!$D2:$D501,"Grant")</f>
        <v>23695000</v>
      </c>
      <c r="Y134">
        <f>SUMIFS('Federal Data'!AJ2:AJ501,'Federal Data'!$F2:$F501,"Child and Social Services",'Federal Data'!$D2:$D501,"Grant")</f>
        <v>24398000</v>
      </c>
      <c r="Z134">
        <f>SUMIFS('Federal Data'!AK2:AK501,'Federal Data'!$F2:$F501,"Child and Social Services",'Federal Data'!$D2:$D501,"Grant")</f>
        <v>24874000</v>
      </c>
      <c r="AA134">
        <f>SUMIFS('Federal Data'!AL2:AL501,'Federal Data'!$F2:$F501,"Child and Social Services",'Federal Data'!$D2:$D501,"Grant")</f>
        <v>25524000</v>
      </c>
      <c r="AB134">
        <f>SUMIFS('Federal Data'!AM2:AM501,'Federal Data'!$F2:$F501,"Child and Social Services",'Federal Data'!$D2:$D501,"Grant")</f>
        <v>25684000</v>
      </c>
      <c r="AC134">
        <f>SUMIFS('Federal Data'!AN2:AN501,'Federal Data'!$F2:$F501,"Child and Social Services",'Federal Data'!$D2:$D501,"Grant")</f>
        <v>26302000</v>
      </c>
      <c r="AD134">
        <f>SUMIFS('Federal Data'!AO2:AO501,'Federal Data'!$F2:$F501,"Child and Social Services",'Federal Data'!$D2:$D501,"Grant")</f>
        <v>26652000</v>
      </c>
      <c r="AE134">
        <f>SUMIFS('Federal Data'!AP2:AP501,'Federal Data'!$F2:$F501,"Child and Social Services",'Federal Data'!$D2:$D501,"Grant")</f>
        <v>27047000</v>
      </c>
      <c r="AF134">
        <f>SUMIFS('Federal Data'!AQ2:AQ501,'Federal Data'!$F2:$F501,"Child and Social Services",'Federal Data'!$D2:$D501,"Grant")</f>
        <v>29228000</v>
      </c>
      <c r="AG134">
        <f>SUMIFS('Federal Data'!AR2:AR501,'Federal Data'!$F2:$F501,"Child and Social Services",'Federal Data'!$D2:$D501,"Grant")</f>
        <v>28453000</v>
      </c>
      <c r="AH134">
        <f>SUMIFS('Federal Data'!AS2:AS501,'Federal Data'!$F2:$F501,"Child and Social Services",'Federal Data'!$D2:$D501,"Grant")</f>
        <v>27387000</v>
      </c>
      <c r="AI134">
        <f>SUMIFS('Federal Data'!AT2:AT501,'Federal Data'!$F2:$F501,"Child and Social Services",'Federal Data'!$D2:$D501,"Grant")</f>
        <v>27618000</v>
      </c>
      <c r="AJ134">
        <f>SUMIFS('Federal Data'!AU2:AU501,'Federal Data'!$F2:$F501,"Child and Social Services",'Federal Data'!$D2:$D501,"Grant")</f>
        <v>26968000</v>
      </c>
      <c r="AK134">
        <f>SUMIFS('Federal Data'!AV2:AV501,'Federal Data'!$F2:$F501,"Child and Social Services",'Federal Data'!$D2:$D501,"Grant")</f>
        <v>28418000</v>
      </c>
    </row>
    <row r="135" spans="1:37">
      <c r="A135" s="3" t="s">
        <v>64</v>
      </c>
      <c r="B135">
        <f>SUMIFS('Federal Data'!M2:M501,'Federal Data'!$G2:$G501,"Transportation",'Federal Data'!$D2:$D501,"Grant")</f>
        <v>13021518</v>
      </c>
      <c r="C135">
        <f>SUMIFS('Federal Data'!N2:N501,'Federal Data'!$G2:$G501,"Transportation",'Federal Data'!$D2:$D501,"Grant")</f>
        <v>13403866</v>
      </c>
      <c r="D135">
        <f>SUMIFS('Federal Data'!O2:O501,'Federal Data'!$G2:$G501,"Transportation",'Federal Data'!$D2:$D501,"Grant")</f>
        <v>12110064</v>
      </c>
      <c r="E135">
        <f>SUMIFS('Federal Data'!P2:P501,'Federal Data'!$G2:$G501,"Transportation",'Federal Data'!$D2:$D501,"Grant")</f>
        <v>13199897</v>
      </c>
      <c r="F135">
        <f>SUMIFS('Federal Data'!Q2:Q501,'Federal Data'!$G2:$G501,"Transportation",'Federal Data'!$D2:$D501,"Grant")</f>
        <v>14987859</v>
      </c>
      <c r="G135">
        <f>SUMIFS('Federal Data'!R2:R501,'Federal Data'!$G2:$G501,"Transportation",'Federal Data'!$D2:$D501,"Grant")</f>
        <v>17009438</v>
      </c>
      <c r="H135">
        <f>SUMIFS('Federal Data'!S2:S501,'Federal Data'!$G2:$G501,"Transportation",'Federal Data'!$D2:$D501,"Grant")</f>
        <v>18317521</v>
      </c>
      <c r="I135">
        <f>SUMIFS('Federal Data'!T2:T501,'Federal Data'!$G2:$G501,"Transportation",'Federal Data'!$D2:$D501,"Grant")</f>
        <v>16872872</v>
      </c>
      <c r="J135">
        <f>SUMIFS('Federal Data'!U2:U501,'Federal Data'!$G2:$G501,"Transportation",'Federal Data'!$D2:$D501,"Grant")</f>
        <v>18042648</v>
      </c>
      <c r="K135">
        <f>SUMIFS('Federal Data'!V2:V501,'Federal Data'!$G2:$G501,"Transportation",'Federal Data'!$D2:$D501,"Grant")</f>
        <v>18176317</v>
      </c>
      <c r="L135">
        <f>SUMIFS('Federal Data'!W2:W501,'Federal Data'!$G2:$G501,"Transportation",'Federal Data'!$D2:$D501,"Grant")</f>
        <v>19173829</v>
      </c>
      <c r="M135">
        <f>SUMIFS('Federal Data'!X2:X501,'Federal Data'!$G2:$G501,"Transportation",'Federal Data'!$D2:$D501,"Grant")</f>
        <v>19825945</v>
      </c>
      <c r="N135">
        <f>SUMIFS('Federal Data'!Y2:Y501,'Federal Data'!$G2:$G501,"Transportation",'Federal Data'!$D2:$D501,"Grant")</f>
        <v>20556224</v>
      </c>
      <c r="O135">
        <f>SUMIFS('Federal Data'!Z2:Z501,'Federal Data'!$G2:$G501,"Transportation",'Federal Data'!$D2:$D501,"Grant")</f>
        <v>22291611</v>
      </c>
      <c r="P135">
        <f>SUMIFS('Federal Data'!AA2:AA501,'Federal Data'!$G2:$G501,"Transportation",'Federal Data'!$D2:$D501,"Grant")</f>
        <v>23633409</v>
      </c>
      <c r="Q135">
        <f>SUMIFS('Federal Data'!AB2:AB501,'Federal Data'!$G2:$G501,"Transportation",'Federal Data'!$D2:$D501,"Grant")</f>
        <v>25787000</v>
      </c>
      <c r="R135">
        <f>SUMIFS('Federal Data'!AC2:AC501,'Federal Data'!$G2:$G501,"Transportation",'Federal Data'!$D2:$D501,"Grant")</f>
        <v>25957000</v>
      </c>
      <c r="S135">
        <f>SUMIFS('Federal Data'!AD2:AD501,'Federal Data'!$G2:$G501,"Transportation",'Federal Data'!$D2:$D501,"Grant")</f>
        <v>26846000</v>
      </c>
      <c r="T135">
        <f>SUMIFS('Federal Data'!AE2:AE501,'Federal Data'!$G2:$G501,"Transportation",'Federal Data'!$D2:$D501,"Grant")</f>
        <v>26144000</v>
      </c>
      <c r="U135">
        <f>SUMIFS('Federal Data'!AF2:AF501,'Federal Data'!$G2:$G501,"Transportation",'Federal Data'!$D2:$D501,"Grant")</f>
        <v>28904000</v>
      </c>
      <c r="V135">
        <f>SUMIFS('Federal Data'!AG2:AG501,'Federal Data'!$G2:$G501,"Transportation",'Federal Data'!$D2:$D501,"Grant")</f>
        <v>32222000</v>
      </c>
      <c r="W135">
        <f>SUMIFS('Federal Data'!AH2:AH501,'Federal Data'!$G2:$G501,"Transportation",'Federal Data'!$D2:$D501,"Grant")</f>
        <v>36647000</v>
      </c>
      <c r="X135">
        <f>SUMIFS('Federal Data'!AI2:AI501,'Federal Data'!$G2:$G501,"Transportation",'Federal Data'!$D2:$D501,"Grant")</f>
        <v>40997000</v>
      </c>
      <c r="Y135">
        <f>SUMIFS('Federal Data'!AJ2:AJ501,'Federal Data'!$G2:$G501,"Transportation",'Federal Data'!$D2:$D501,"Grant")</f>
        <v>41026000</v>
      </c>
      <c r="Z135">
        <f>SUMIFS('Federal Data'!AK2:AK501,'Federal Data'!$G2:$G501,"Transportation",'Federal Data'!$D2:$D501,"Grant")</f>
        <v>41471000</v>
      </c>
      <c r="AA135">
        <f>SUMIFS('Federal Data'!AL2:AL501,'Federal Data'!$G2:$G501,"Transportation",'Federal Data'!$D2:$D501,"Grant")</f>
        <v>43370000</v>
      </c>
      <c r="AB135">
        <f>SUMIFS('Federal Data'!AM2:AM501,'Federal Data'!$G2:$G501,"Transportation",'Federal Data'!$D2:$D501,"Grant")</f>
        <v>46683000</v>
      </c>
      <c r="AC135">
        <f>SUMIFS('Federal Data'!AN2:AN501,'Federal Data'!$G2:$G501,"Transportation",'Federal Data'!$D2:$D501,"Grant")</f>
        <v>47945000</v>
      </c>
      <c r="AD135">
        <f>SUMIFS('Federal Data'!AO2:AO501,'Federal Data'!$G2:$G501,"Transportation",'Federal Data'!$D2:$D501,"Grant")</f>
        <v>51216000</v>
      </c>
      <c r="AE135">
        <f>SUMIFS('Federal Data'!AP2:AP501,'Federal Data'!$G2:$G501,"Transportation",'Federal Data'!$D2:$D501,"Grant")</f>
        <v>55438000</v>
      </c>
      <c r="AF135">
        <f>SUMIFS('Federal Data'!AQ2:AQ501,'Federal Data'!$G2:$G501,"Transportation",'Federal Data'!$D2:$D501,"Grant")</f>
        <v>60981000</v>
      </c>
      <c r="AG135">
        <f>SUMIFS('Federal Data'!AR2:AR501,'Federal Data'!$G2:$G501,"Transportation",'Federal Data'!$D2:$D501,"Grant")</f>
        <v>60986000</v>
      </c>
      <c r="AH135">
        <f>SUMIFS('Federal Data'!AS2:AS501,'Federal Data'!$G2:$G501,"Transportation",'Federal Data'!$D2:$D501,"Grant")</f>
        <v>60749000</v>
      </c>
      <c r="AI135">
        <f>SUMIFS('Federal Data'!AT2:AT501,'Federal Data'!$G2:$G501,"Transportation",'Federal Data'!$D2:$D501,"Grant")</f>
        <v>60518000</v>
      </c>
      <c r="AJ135">
        <f>SUMIFS('Federal Data'!AU2:AU501,'Federal Data'!$G2:$G501,"Transportation",'Federal Data'!$D2:$D501,"Grant")</f>
        <v>62260000</v>
      </c>
      <c r="AK135">
        <f>SUMIFS('Federal Data'!AV2:AV501,'Federal Data'!$G2:$G501,"Transportation",'Federal Data'!$D2:$D501,"Grant")</f>
        <v>60831000</v>
      </c>
    </row>
    <row r="136" spans="1:37">
      <c r="A136" s="3" t="s">
        <v>70</v>
      </c>
      <c r="B136">
        <f>SUMIFS('Federal Data'!M2:M501,'Federal Data'!$G2:$G501,"Community and Regional Development",'Federal Data'!$D2:$D501,"Grant")</f>
        <v>6105652</v>
      </c>
      <c r="C136">
        <f>SUMIFS('Federal Data'!N2:N501,'Federal Data'!$G2:$G501,"Community and Regional Development",'Federal Data'!$D2:$D501,"Grant")</f>
        <v>5855635</v>
      </c>
      <c r="D136">
        <f>SUMIFS('Federal Data'!O2:O501,'Federal Data'!$G2:$G501,"Community and Regional Development",'Federal Data'!$D2:$D501,"Grant")</f>
        <v>5265722</v>
      </c>
      <c r="E136">
        <f>SUMIFS('Federal Data'!P2:P501,'Federal Data'!$G2:$G501,"Community and Regional Development",'Federal Data'!$D2:$D501,"Grant")</f>
        <v>4775988</v>
      </c>
      <c r="F136">
        <f>SUMIFS('Federal Data'!Q2:Q501,'Federal Data'!$G2:$G501,"Community and Regional Development",'Federal Data'!$D2:$D501,"Grant")</f>
        <v>4940586</v>
      </c>
      <c r="G136">
        <f>SUMIFS('Federal Data'!R2:R501,'Federal Data'!$G2:$G501,"Community and Regional Development",'Federal Data'!$D2:$D501,"Grant")</f>
        <v>5041418</v>
      </c>
      <c r="H136">
        <f>SUMIFS('Federal Data'!S2:S501,'Federal Data'!$G2:$G501,"Community and Regional Development",'Federal Data'!$D2:$D501,"Grant")</f>
        <v>4562493</v>
      </c>
      <c r="I136">
        <f>SUMIFS('Federal Data'!T2:T501,'Federal Data'!$G2:$G501,"Community and Regional Development",'Federal Data'!$D2:$D501,"Grant")</f>
        <v>4033246</v>
      </c>
      <c r="J136">
        <f>SUMIFS('Federal Data'!U2:U501,'Federal Data'!$G2:$G501,"Community and Regional Development",'Federal Data'!$D2:$D501,"Grant")</f>
        <v>4093463</v>
      </c>
      <c r="K136">
        <f>SUMIFS('Federal Data'!V2:V501,'Federal Data'!$G2:$G501,"Community and Regional Development",'Federal Data'!$D2:$D501,"Grant")</f>
        <v>3941357</v>
      </c>
      <c r="L136">
        <f>SUMIFS('Federal Data'!W2:W501,'Federal Data'!$G2:$G501,"Community and Regional Development",'Federal Data'!$D2:$D501,"Grant")</f>
        <v>3780221</v>
      </c>
      <c r="M136">
        <f>SUMIFS('Federal Data'!X2:X501,'Federal Data'!$G2:$G501,"Community and Regional Development",'Federal Data'!$D2:$D501,"Grant")</f>
        <v>3777043</v>
      </c>
      <c r="N136">
        <f>SUMIFS('Federal Data'!Y2:Y501,'Federal Data'!$G2:$G501,"Community and Regional Development",'Federal Data'!$D2:$D501,"Grant")</f>
        <v>3910250</v>
      </c>
      <c r="O136">
        <f>SUMIFS('Federal Data'!Z2:Z501,'Federal Data'!$G2:$G501,"Community and Regional Development",'Federal Data'!$D2:$D501,"Grant")</f>
        <v>3828125</v>
      </c>
      <c r="P136">
        <f>SUMIFS('Federal Data'!AA2:AA501,'Federal Data'!$G2:$G501,"Community and Regional Development",'Federal Data'!$D2:$D501,"Grant")</f>
        <v>4590796</v>
      </c>
      <c r="Q136">
        <f>SUMIFS('Federal Data'!AB2:AB501,'Federal Data'!$G2:$G501,"Community and Regional Development",'Federal Data'!$D2:$D501,"Grant")</f>
        <v>5458000</v>
      </c>
      <c r="R136">
        <f>SUMIFS('Federal Data'!AC2:AC501,'Federal Data'!$G2:$G501,"Community and Regional Development",'Federal Data'!$D2:$D501,"Grant")</f>
        <v>5953000</v>
      </c>
      <c r="S136">
        <f>SUMIFS('Federal Data'!AD2:AD501,'Federal Data'!$G2:$G501,"Community and Regional Development",'Federal Data'!$D2:$D501,"Grant")</f>
        <v>6012000</v>
      </c>
      <c r="T136">
        <f>SUMIFS('Federal Data'!AE2:AE501,'Federal Data'!$G2:$G501,"Community and Regional Development",'Federal Data'!$D2:$D501,"Grant")</f>
        <v>5904000</v>
      </c>
      <c r="U136">
        <f>SUMIFS('Federal Data'!AF2:AF501,'Federal Data'!$G2:$G501,"Community and Regional Development",'Federal Data'!$D2:$D501,"Grant")</f>
        <v>6067000</v>
      </c>
      <c r="V136">
        <f>SUMIFS('Federal Data'!AG2:AG501,'Federal Data'!$G2:$G501,"Community and Regional Development",'Federal Data'!$D2:$D501,"Grant")</f>
        <v>6226000</v>
      </c>
      <c r="W136">
        <f>SUMIFS('Federal Data'!AH2:AH501,'Federal Data'!$G2:$G501,"Community and Regional Development",'Federal Data'!$D2:$D501,"Grant")</f>
        <v>6475000</v>
      </c>
      <c r="X136">
        <f>SUMIFS('Federal Data'!AI2:AI501,'Federal Data'!$G2:$G501,"Community and Regional Development",'Federal Data'!$D2:$D501,"Grant")</f>
        <v>7045000</v>
      </c>
      <c r="Y136">
        <f>SUMIFS('Federal Data'!AJ2:AJ501,'Federal Data'!$G2:$G501,"Community and Regional Development",'Federal Data'!$D2:$D501,"Grant")</f>
        <v>7221000</v>
      </c>
      <c r="Z136">
        <f>SUMIFS('Federal Data'!AK2:AK501,'Federal Data'!$G2:$G501,"Community and Regional Development",'Federal Data'!$D2:$D501,"Grant")</f>
        <v>7114000</v>
      </c>
      <c r="AA136">
        <f>SUMIFS('Federal Data'!AL2:AL501,'Federal Data'!$G2:$G501,"Community and Regional Development",'Federal Data'!$D2:$D501,"Grant")</f>
        <v>6626000</v>
      </c>
      <c r="AB136">
        <f>SUMIFS('Federal Data'!AM2:AM501,'Federal Data'!$G2:$G501,"Community and Regional Development",'Federal Data'!$D2:$D501,"Grant")</f>
        <v>6554000</v>
      </c>
      <c r="AC136">
        <f>SUMIFS('Federal Data'!AN2:AN501,'Federal Data'!$G2:$G501,"Community and Regional Development",'Federal Data'!$D2:$D501,"Grant")</f>
        <v>12386000</v>
      </c>
      <c r="AD136">
        <f>SUMIFS('Federal Data'!AO2:AO501,'Federal Data'!$G2:$G501,"Community and Regional Development",'Federal Data'!$D2:$D501,"Grant")</f>
        <v>10591000</v>
      </c>
      <c r="AE136">
        <f>SUMIFS('Federal Data'!AP2:AP501,'Federal Data'!$G2:$G501,"Community and Regional Development",'Federal Data'!$D2:$D501,"Grant")</f>
        <v>8300000</v>
      </c>
      <c r="AF136">
        <f>SUMIFS('Federal Data'!AQ2:AQ501,'Federal Data'!$G2:$G501,"Community and Regional Development",'Federal Data'!$D2:$D501,"Grant")</f>
        <v>10425000</v>
      </c>
      <c r="AG136">
        <f>SUMIFS('Federal Data'!AR2:AR501,'Federal Data'!$G2:$G501,"Community and Regional Development",'Federal Data'!$D2:$D501,"Grant")</f>
        <v>10479000</v>
      </c>
      <c r="AH136">
        <f>SUMIFS('Federal Data'!AS2:AS501,'Federal Data'!$G2:$G501,"Community and Regional Development",'Federal Data'!$D2:$D501,"Grant")</f>
        <v>10052000</v>
      </c>
      <c r="AI136">
        <f>SUMIFS('Federal Data'!AT2:AT501,'Federal Data'!$G2:$G501,"Community and Regional Development",'Federal Data'!$D2:$D501,"Grant")</f>
        <v>8983000</v>
      </c>
      <c r="AJ136">
        <f>SUMIFS('Federal Data'!AU2:AU501,'Federal Data'!$G2:$G501,"Community and Regional Development",'Federal Data'!$D2:$D501,"Grant")</f>
        <v>8473000</v>
      </c>
      <c r="AK136">
        <f>SUMIFS('Federal Data'!AV2:AV501,'Federal Data'!$G2:$G501,"Community and Regional Development",'Federal Data'!$D2:$D501,"Grant")</f>
        <v>8433000</v>
      </c>
    </row>
    <row r="137" spans="1:37">
      <c r="A137" s="3" t="s">
        <v>60</v>
      </c>
      <c r="B137">
        <f>SUMIFS('Federal Data'!M2:M501,'Federal Data'!$G2:$G501,"Cash Programs",'Federal Data'!$D2:$D501,"Grant")</f>
        <v>377539</v>
      </c>
      <c r="C137">
        <f>SUMIFS('Federal Data'!N2:N501,'Federal Data'!$G2:$G501,"Cash Programs",'Federal Data'!$D2:$D501,"Grant")</f>
        <v>685805</v>
      </c>
      <c r="D137">
        <f>SUMIFS('Federal Data'!O2:O501,'Federal Data'!$G2:$G501,"Cash Programs",'Federal Data'!$D2:$D501,"Grant")</f>
        <v>897511</v>
      </c>
      <c r="E137">
        <f>SUMIFS('Federal Data'!P2:P501,'Federal Data'!$G2:$G501,"Cash Programs",'Federal Data'!$D2:$D501,"Grant")</f>
        <v>516822</v>
      </c>
      <c r="F137">
        <f>SUMIFS('Federal Data'!Q2:Q501,'Federal Data'!$G2:$G501,"Cash Programs",'Federal Data'!$D2:$D501,"Grant")</f>
        <v>592979</v>
      </c>
      <c r="G137">
        <f>SUMIFS('Federal Data'!R2:R501,'Federal Data'!$G2:$G501,"Cash Programs",'Federal Data'!$D2:$D501,"Grant")</f>
        <v>420057</v>
      </c>
      <c r="H137">
        <f>SUMIFS('Federal Data'!S2:S501,'Federal Data'!$G2:$G501,"Cash Programs",'Federal Data'!$D2:$D501,"Grant")</f>
        <v>422197</v>
      </c>
      <c r="I137">
        <f>SUMIFS('Federal Data'!T2:T501,'Federal Data'!$G2:$G501,"Cash Programs",'Federal Data'!$D2:$D501,"Grant")</f>
        <v>373808</v>
      </c>
      <c r="J137">
        <f>SUMIFS('Federal Data'!U2:U501,'Federal Data'!$G2:$G501,"Cash Programs",'Federal Data'!$D2:$D501,"Grant")</f>
        <v>311787</v>
      </c>
      <c r="K137">
        <f>SUMIFS('Federal Data'!V2:V501,'Federal Data'!$G2:$G501,"Cash Programs",'Federal Data'!$D2:$D501,"Grant")</f>
        <v>370255</v>
      </c>
      <c r="L137">
        <f>SUMIFS('Federal Data'!W2:W501,'Federal Data'!$G2:$G501,"Cash Programs",'Federal Data'!$D2:$D501,"Grant")</f>
        <v>391089</v>
      </c>
      <c r="M137">
        <f>SUMIFS('Federal Data'!X2:X501,'Federal Data'!$G2:$G501,"Cash Programs",'Federal Data'!$D2:$D501,"Grant")</f>
        <v>228336</v>
      </c>
      <c r="N137">
        <f>SUMIFS('Federal Data'!Y2:Y501,'Federal Data'!$G2:$G501,"Cash Programs",'Federal Data'!$D2:$D501,"Grant")</f>
        <v>304098</v>
      </c>
      <c r="O137">
        <f>SUMIFS('Federal Data'!Z2:Z501,'Federal Data'!$G2:$G501,"Cash Programs",'Federal Data'!$D2:$D501,"Grant")</f>
        <v>326585</v>
      </c>
      <c r="P137">
        <f>SUMIFS('Federal Data'!AA2:AA501,'Federal Data'!$G2:$G501,"Cash Programs",'Federal Data'!$D2:$D501,"Grant")</f>
        <v>332552</v>
      </c>
      <c r="Q137">
        <f>SUMIFS('Federal Data'!AB2:AB501,'Federal Data'!$G2:$G501,"Cash Programs",'Federal Data'!$D2:$D501,"Grant")</f>
        <v>346000</v>
      </c>
      <c r="R137">
        <f>SUMIFS('Federal Data'!AC2:AC501,'Federal Data'!$G2:$G501,"Cash Programs",'Federal Data'!$D2:$D501,"Grant")</f>
        <v>319000</v>
      </c>
      <c r="S137">
        <f>SUMIFS('Federal Data'!AD2:AD501,'Federal Data'!$G2:$G501,"Cash Programs",'Federal Data'!$D2:$D501,"Grant")</f>
        <v>10003000</v>
      </c>
      <c r="T137">
        <f>SUMIFS('Federal Data'!AE2:AE501,'Federal Data'!$G2:$G501,"Cash Programs",'Federal Data'!$D2:$D501,"Grant")</f>
        <v>13580000</v>
      </c>
      <c r="U137">
        <f>SUMIFS('Federal Data'!AF2:AF501,'Federal Data'!$G2:$G501,"Cash Programs",'Federal Data'!$D2:$D501,"Grant")</f>
        <v>14397000</v>
      </c>
      <c r="V137">
        <f>SUMIFS('Federal Data'!AG2:AG501,'Federal Data'!$G2:$G501,"Cash Programs",'Federal Data'!$D2:$D501,"Grant")</f>
        <v>15744000</v>
      </c>
      <c r="W137">
        <f>SUMIFS('Federal Data'!AH2:AH501,'Federal Data'!$G2:$G501,"Cash Programs",'Federal Data'!$D2:$D501,"Grant")</f>
        <v>18928000</v>
      </c>
      <c r="X137">
        <f>SUMIFS('Federal Data'!AI2:AI501,'Federal Data'!$G2:$G501,"Cash Programs",'Federal Data'!$D2:$D501,"Grant")</f>
        <v>19111000</v>
      </c>
      <c r="Y137">
        <f>SUMIFS('Federal Data'!AJ2:AJ501,'Federal Data'!$G2:$G501,"Cash Programs",'Federal Data'!$D2:$D501,"Grant")</f>
        <v>19704000</v>
      </c>
      <c r="Z137">
        <f>SUMIFS('Federal Data'!AK2:AK501,'Federal Data'!$G2:$G501,"Cash Programs",'Federal Data'!$D2:$D501,"Grant")</f>
        <v>18153000</v>
      </c>
      <c r="AA137">
        <f>SUMIFS('Federal Data'!AL2:AL501,'Federal Data'!$G2:$G501,"Cash Programs",'Federal Data'!$D2:$D501,"Grant")</f>
        <v>17819000</v>
      </c>
      <c r="AB137">
        <f>SUMIFS('Federal Data'!AM2:AM501,'Federal Data'!$G2:$G501,"Cash Programs",'Federal Data'!$D2:$D501,"Grant")</f>
        <v>17399000</v>
      </c>
      <c r="AC137">
        <f>SUMIFS('Federal Data'!AN2:AN501,'Federal Data'!$G2:$G501,"Cash Programs",'Federal Data'!$D2:$D501,"Grant")</f>
        <v>17321000</v>
      </c>
      <c r="AD137">
        <f>SUMIFS('Federal Data'!AO2:AO501,'Federal Data'!$G2:$G501,"Cash Programs",'Federal Data'!$D2:$D501,"Grant")</f>
        <v>19764000</v>
      </c>
      <c r="AE137">
        <f>SUMIFS('Federal Data'!AP2:AP501,'Federal Data'!$G2:$G501,"Cash Programs",'Federal Data'!$D2:$D501,"Grant")</f>
        <v>19477000</v>
      </c>
      <c r="AF137">
        <f>SUMIFS('Federal Data'!AQ2:AQ501,'Federal Data'!$G2:$G501,"Cash Programs",'Federal Data'!$D2:$D501,"Grant")</f>
        <v>20989000</v>
      </c>
      <c r="AG137">
        <f>SUMIFS('Federal Data'!AR2:AR501,'Federal Data'!$G2:$G501,"Cash Programs",'Federal Data'!$D2:$D501,"Grant")</f>
        <v>19704000</v>
      </c>
      <c r="AH137">
        <f>SUMIFS('Federal Data'!AS2:AS501,'Federal Data'!$G2:$G501,"Cash Programs",'Federal Data'!$D2:$D501,"Grant")</f>
        <v>17447000</v>
      </c>
      <c r="AI137">
        <f>SUMIFS('Federal Data'!AT2:AT501,'Federal Data'!$G2:$G501,"Cash Programs",'Federal Data'!$D2:$D501,"Grant")</f>
        <v>18094000</v>
      </c>
      <c r="AJ137">
        <f>SUMIFS('Federal Data'!AU2:AU501,'Federal Data'!$G2:$G501,"Cash Programs",'Federal Data'!$D2:$D501,"Grant")</f>
        <v>17559000</v>
      </c>
      <c r="AK137">
        <f>SUMIFS('Federal Data'!AV2:AV501,'Federal Data'!$G2:$G501,"Cash Programs",'Federal Data'!$D2:$D501,"Grant")</f>
        <v>17482000</v>
      </c>
    </row>
    <row r="138" spans="1:37">
      <c r="A138" s="4" t="s">
        <v>104</v>
      </c>
      <c r="B138">
        <f>SUMIFS('Federal Data'!M2:M501,'Federal Data'!$H2:$H501,"TANF",'Federal Data'!$D2:$D501,"Grant")</f>
        <v>0</v>
      </c>
      <c r="C138">
        <f>SUMIFS('Federal Data'!N2:N501,'Federal Data'!$H2:$H501,"TANF",'Federal Data'!$D2:$D501,"Grant")</f>
        <v>0</v>
      </c>
      <c r="D138">
        <f>SUMIFS('Federal Data'!O2:O501,'Federal Data'!$H2:$H501,"TANF",'Federal Data'!$D2:$D501,"Grant")</f>
        <v>0</v>
      </c>
      <c r="E138">
        <f>SUMIFS('Federal Data'!P2:P501,'Federal Data'!$H2:$H501,"TANF",'Federal Data'!$D2:$D501,"Grant")</f>
        <v>0</v>
      </c>
      <c r="F138">
        <f>SUMIFS('Federal Data'!Q2:Q501,'Federal Data'!$H2:$H501,"TANF",'Federal Data'!$D2:$D501,"Grant")</f>
        <v>0</v>
      </c>
      <c r="G138">
        <f>SUMIFS('Federal Data'!R2:R501,'Federal Data'!$H2:$H501,"TANF",'Federal Data'!$D2:$D501,"Grant")</f>
        <v>0</v>
      </c>
      <c r="H138">
        <f>SUMIFS('Federal Data'!S2:S501,'Federal Data'!$H2:$H501,"TANF",'Federal Data'!$D2:$D501,"Grant")</f>
        <v>0</v>
      </c>
      <c r="I138">
        <f>SUMIFS('Federal Data'!T2:T501,'Federal Data'!$H2:$H501,"TANF",'Federal Data'!$D2:$D501,"Grant")</f>
        <v>0</v>
      </c>
      <c r="J138">
        <f>SUMIFS('Federal Data'!U2:U501,'Federal Data'!$H2:$H501,"TANF",'Federal Data'!$D2:$D501,"Grant")</f>
        <v>0</v>
      </c>
      <c r="K138">
        <f>SUMIFS('Federal Data'!V2:V501,'Federal Data'!$H2:$H501,"TANF",'Federal Data'!$D2:$D501,"Grant")</f>
        <v>0</v>
      </c>
      <c r="L138">
        <f>SUMIFS('Federal Data'!W2:W501,'Federal Data'!$H2:$H501,"TANF",'Federal Data'!$D2:$D501,"Grant")</f>
        <v>0</v>
      </c>
      <c r="M138">
        <f>SUMIFS('Federal Data'!X2:X501,'Federal Data'!$H2:$H501,"TANF",'Federal Data'!$D2:$D501,"Grant")</f>
        <v>0</v>
      </c>
      <c r="N138">
        <f>SUMIFS('Federal Data'!Y2:Y501,'Federal Data'!$H2:$H501,"TANF",'Federal Data'!$D2:$D501,"Grant")</f>
        <v>0</v>
      </c>
      <c r="O138">
        <f>SUMIFS('Federal Data'!Z2:Z501,'Federal Data'!$H2:$H501,"TANF",'Federal Data'!$D2:$D501,"Grant")</f>
        <v>0</v>
      </c>
      <c r="P138">
        <f>SUMIFS('Federal Data'!AA2:AA501,'Federal Data'!$H2:$H501,"TANF",'Federal Data'!$D2:$D501,"Grant")</f>
        <v>0</v>
      </c>
      <c r="Q138">
        <f>SUMIFS('Federal Data'!AB2:AB501,'Federal Data'!$H2:$H501,"TANF",'Federal Data'!$D2:$D501,"Grant")</f>
        <v>0</v>
      </c>
      <c r="R138">
        <f>SUMIFS('Federal Data'!AC2:AC501,'Federal Data'!$H2:$H501,"TANF",'Federal Data'!$D2:$D501,"Grant")</f>
        <v>0</v>
      </c>
      <c r="S138">
        <f>SUMIFS('Federal Data'!AD2:AD501,'Federal Data'!$H2:$H501,"TANF",'Federal Data'!$D2:$D501,"Grant")</f>
        <v>9726000</v>
      </c>
      <c r="T138">
        <f>SUMIFS('Federal Data'!AE2:AE501,'Federal Data'!$H2:$H501,"TANF",'Federal Data'!$D2:$D501,"Grant")</f>
        <v>13286000</v>
      </c>
      <c r="U138">
        <f>SUMIFS('Federal Data'!AF2:AF501,'Federal Data'!$H2:$H501,"TANF",'Federal Data'!$D2:$D501,"Grant")</f>
        <v>14161000</v>
      </c>
      <c r="V138">
        <f>SUMIFS('Federal Data'!AG2:AG501,'Federal Data'!$H2:$H501,"TANF",'Federal Data'!$D2:$D501,"Grant")</f>
        <v>15464000</v>
      </c>
      <c r="W138">
        <f>SUMIFS('Federal Data'!AH2:AH501,'Federal Data'!$H2:$H501,"TANF",'Federal Data'!$D2:$D501,"Grant")</f>
        <v>18583000</v>
      </c>
      <c r="X138">
        <f>SUMIFS('Federal Data'!AI2:AI501,'Federal Data'!$H2:$H501,"TANF",'Federal Data'!$D2:$D501,"Grant")</f>
        <v>18749000</v>
      </c>
      <c r="Y138">
        <f>SUMIFS('Federal Data'!AJ2:AJ501,'Federal Data'!$H2:$H501,"TANF",'Federal Data'!$D2:$D501,"Grant")</f>
        <v>19352000</v>
      </c>
      <c r="Z138">
        <f>SUMIFS('Federal Data'!AK2:AK501,'Federal Data'!$H2:$H501,"TANF",'Federal Data'!$D2:$D501,"Grant")</f>
        <v>17725000</v>
      </c>
      <c r="AA138">
        <f>SUMIFS('Federal Data'!AL2:AL501,'Federal Data'!$H2:$H501,"TANF",'Federal Data'!$D2:$D501,"Grant")</f>
        <v>17400000</v>
      </c>
      <c r="AB138">
        <f>SUMIFS('Federal Data'!AM2:AM501,'Federal Data'!$H2:$H501,"TANF",'Federal Data'!$D2:$D501,"Grant")</f>
        <v>16974000</v>
      </c>
      <c r="AC138">
        <f>SUMIFS('Federal Data'!AN2:AN501,'Federal Data'!$H2:$H501,"TANF",'Federal Data'!$D2:$D501,"Grant")</f>
        <v>16932000</v>
      </c>
      <c r="AD138">
        <f>SUMIFS('Federal Data'!AO2:AO501,'Federal Data'!$H2:$H501,"TANF",'Federal Data'!$D2:$D501,"Grant")</f>
        <v>17880000</v>
      </c>
      <c r="AE138">
        <f>SUMIFS('Federal Data'!AP2:AP501,'Federal Data'!$H2:$H501,"TANF",'Federal Data'!$D2:$D501,"Grant")</f>
        <v>18933000</v>
      </c>
      <c r="AF138">
        <f>SUMIFS('Federal Data'!AQ2:AQ501,'Federal Data'!$H2:$H501,"TANF",'Federal Data'!$D2:$D501,"Grant")</f>
        <v>20418000</v>
      </c>
      <c r="AG138">
        <f>SUMIFS('Federal Data'!AR2:AR501,'Federal Data'!$H2:$H501,"TANF",'Federal Data'!$D2:$D501,"Grant")</f>
        <v>19072000</v>
      </c>
      <c r="AH138">
        <f>SUMIFS('Federal Data'!AS2:AS501,'Federal Data'!$H2:$H501,"TANF",'Federal Data'!$D2:$D501,"Grant")</f>
        <v>16814000</v>
      </c>
      <c r="AI138">
        <f>SUMIFS('Federal Data'!AT2:AT501,'Federal Data'!$H2:$H501,"TANF",'Federal Data'!$D2:$D501,"Grant")</f>
        <v>17806000</v>
      </c>
      <c r="AJ138">
        <f>SUMIFS('Federal Data'!AU2:AU501,'Federal Data'!$H2:$H501,"TANF",'Federal Data'!$D2:$D501,"Grant")</f>
        <v>16887000</v>
      </c>
      <c r="AK138">
        <f>SUMIFS('Federal Data'!AV2:AV501,'Federal Data'!$H2:$H501,"TANF",'Federal Data'!$D2:$D501,"Grant")</f>
        <v>16670000</v>
      </c>
    </row>
    <row r="139" spans="1:37">
      <c r="A139" s="3" t="s">
        <v>61</v>
      </c>
      <c r="B139">
        <f>SUMIFS('Federal Data'!M2:M501,'Federal Data'!$G2:$G501,"Non-Cash Programs",'Federal Data'!$D2:$D501,"Grant")</f>
        <v>23741906</v>
      </c>
      <c r="C139">
        <f>SUMIFS('Federal Data'!N2:N501,'Federal Data'!$G2:$G501,"Non-Cash Programs",'Federal Data'!$D2:$D501,"Grant")</f>
        <v>27789013</v>
      </c>
      <c r="D139">
        <f>SUMIFS('Federal Data'!O2:O501,'Federal Data'!$G2:$G501,"Non-Cash Programs",'Federal Data'!$D2:$D501,"Grant")</f>
        <v>29110479</v>
      </c>
      <c r="E139">
        <f>SUMIFS('Federal Data'!P2:P501,'Federal Data'!$G2:$G501,"Non-Cash Programs",'Federal Data'!$D2:$D501,"Grant")</f>
        <v>33224996</v>
      </c>
      <c r="F139">
        <f>SUMIFS('Federal Data'!Q2:Q501,'Federal Data'!$G2:$G501,"Non-Cash Programs",'Federal Data'!$D2:$D501,"Grant")</f>
        <v>34912481</v>
      </c>
      <c r="G139">
        <f>SUMIFS('Federal Data'!R2:R501,'Federal Data'!$G2:$G501,"Non-Cash Programs",'Federal Data'!$D2:$D501,"Grant")</f>
        <v>38767907</v>
      </c>
      <c r="H139">
        <f>SUMIFS('Federal Data'!S2:S501,'Federal Data'!$G2:$G501,"Non-Cash Programs",'Federal Data'!$D2:$D501,"Grant")</f>
        <v>42328497</v>
      </c>
      <c r="I139">
        <f>SUMIFS('Federal Data'!T2:T501,'Federal Data'!$G2:$G501,"Non-Cash Programs",'Federal Data'!$D2:$D501,"Grant")</f>
        <v>45046443</v>
      </c>
      <c r="J139">
        <f>SUMIFS('Federal Data'!U2:U501,'Federal Data'!$G2:$G501,"Non-Cash Programs",'Federal Data'!$D2:$D501,"Grant")</f>
        <v>49512977</v>
      </c>
      <c r="K139">
        <f>SUMIFS('Federal Data'!V2:V501,'Federal Data'!$G2:$G501,"Non-Cash Programs",'Federal Data'!$D2:$D501,"Grant")</f>
        <v>54105608</v>
      </c>
      <c r="L139">
        <f>SUMIFS('Federal Data'!W2:W501,'Federal Data'!$G2:$G501,"Non-Cash Programs",'Federal Data'!$D2:$D501,"Grant")</f>
        <v>62153907</v>
      </c>
      <c r="M139">
        <f>SUMIFS('Federal Data'!X2:X501,'Federal Data'!$G2:$G501,"Non-Cash Programs",'Federal Data'!$D2:$D501,"Grant")</f>
        <v>75922702</v>
      </c>
      <c r="N139">
        <f>SUMIFS('Federal Data'!Y2:Y501,'Federal Data'!$G2:$G501,"Non-Cash Programs",'Federal Data'!$D2:$D501,"Grant")</f>
        <v>93655799</v>
      </c>
      <c r="O139">
        <f>SUMIFS('Federal Data'!Z2:Z501,'Federal Data'!$G2:$G501,"Non-Cash Programs",'Federal Data'!$D2:$D501,"Grant")</f>
        <v>104527955</v>
      </c>
      <c r="P139">
        <f>SUMIFS('Federal Data'!AA2:AA501,'Federal Data'!$G2:$G501,"Non-Cash Programs",'Federal Data'!$D2:$D501,"Grant")</f>
        <v>114652431</v>
      </c>
      <c r="Q139">
        <f>SUMIFS('Federal Data'!AB2:AB501,'Federal Data'!$G2:$G501,"Non-Cash Programs",'Federal Data'!$D2:$D501,"Grant")</f>
        <v>124479000</v>
      </c>
      <c r="R139">
        <f>SUMIFS('Federal Data'!AC2:AC501,'Federal Data'!$G2:$G501,"Non-Cash Programs",'Federal Data'!$D2:$D501,"Grant")</f>
        <v>126157000</v>
      </c>
      <c r="S139">
        <f>SUMIFS('Federal Data'!AD2:AD501,'Federal Data'!$G2:$G501,"Non-Cash Programs",'Federal Data'!$D2:$D501,"Grant")</f>
        <v>132919000</v>
      </c>
      <c r="T139">
        <f>SUMIFS('Federal Data'!AE2:AE501,'Federal Data'!$G2:$G501,"Non-Cash Programs",'Federal Data'!$D2:$D501,"Grant")</f>
        <v>142081000</v>
      </c>
      <c r="U139">
        <f>SUMIFS('Federal Data'!AF2:AF501,'Federal Data'!$G2:$G501,"Non-Cash Programs",'Federal Data'!$D2:$D501,"Grant")</f>
        <v>153159000</v>
      </c>
      <c r="V139">
        <f>SUMIFS('Federal Data'!AG2:AG501,'Federal Data'!$G2:$G501,"Non-Cash Programs",'Federal Data'!$D2:$D501,"Grant")</f>
        <v>161356000</v>
      </c>
      <c r="W139">
        <f>SUMIFS('Federal Data'!AH2:AH501,'Federal Data'!$G2:$G501,"Non-Cash Programs",'Federal Data'!$D2:$D501,"Grant")</f>
        <v>178534000</v>
      </c>
      <c r="X139">
        <f>SUMIFS('Federal Data'!AI2:AI501,'Federal Data'!$G2:$G501,"Non-Cash Programs",'Federal Data'!$D2:$D501,"Grant")</f>
        <v>201114000</v>
      </c>
      <c r="Y139">
        <f>SUMIFS('Federal Data'!AJ2:AJ501,'Federal Data'!$G2:$G501,"Non-Cash Programs",'Federal Data'!$D2:$D501,"Grant")</f>
        <v>219476000</v>
      </c>
      <c r="Z139">
        <f>SUMIFS('Federal Data'!AK2:AK501,'Federal Data'!$G2:$G501,"Non-Cash Programs",'Federal Data'!$D2:$D501,"Grant")</f>
        <v>235976000</v>
      </c>
      <c r="AA139">
        <f>SUMIFS('Federal Data'!AL2:AL501,'Federal Data'!$G2:$G501,"Non-Cash Programs",'Federal Data'!$D2:$D501,"Grant")</f>
        <v>246452000</v>
      </c>
      <c r="AB139">
        <f>SUMIFS('Federal Data'!AM2:AM501,'Federal Data'!$G2:$G501,"Non-Cash Programs",'Federal Data'!$D2:$D501,"Grant")</f>
        <v>246808000</v>
      </c>
      <c r="AC139">
        <f>SUMIFS('Federal Data'!AN2:AN501,'Federal Data'!$G2:$G501,"Non-Cash Programs",'Federal Data'!$D2:$D501,"Grant")</f>
        <v>258279000</v>
      </c>
      <c r="AD139">
        <f>SUMIFS('Federal Data'!AO2:AO501,'Federal Data'!$G2:$G501,"Non-Cash Programs",'Federal Data'!$D2:$D501,"Grant")</f>
        <v>271575000</v>
      </c>
      <c r="AE139">
        <f>SUMIFS('Federal Data'!AP2:AP501,'Federal Data'!$G2:$G501,"Non-Cash Programs",'Federal Data'!$D2:$D501,"Grant")</f>
        <v>327595000</v>
      </c>
      <c r="AF139">
        <f>SUMIFS('Federal Data'!AQ2:AQ501,'Federal Data'!$G2:$G501,"Non-Cash Programs",'Federal Data'!$D2:$D501,"Grant")</f>
        <v>359201000</v>
      </c>
      <c r="AG139">
        <f>SUMIFS('Federal Data'!AR2:AR501,'Federal Data'!$G2:$G501,"Non-Cash Programs",'Federal Data'!$D2:$D501,"Grant")</f>
        <v>361724000</v>
      </c>
      <c r="AH139">
        <f>SUMIFS('Federal Data'!AS2:AS501,'Federal Data'!$G2:$G501,"Non-Cash Programs",'Federal Data'!$D2:$D501,"Grant")</f>
        <v>331889000</v>
      </c>
      <c r="AI139">
        <f>SUMIFS('Federal Data'!AT2:AT501,'Federal Data'!$G2:$G501,"Non-Cash Programs",'Federal Data'!$D2:$D501,"Grant")</f>
        <v>344922000</v>
      </c>
      <c r="AJ139">
        <f>SUMIFS('Federal Data'!AU2:AU501,'Federal Data'!$G2:$G501,"Non-Cash Programs",'Federal Data'!$D2:$D501,"Grant")</f>
        <v>380659000</v>
      </c>
      <c r="AK139">
        <f>SUMIFS('Federal Data'!AV2:AV501,'Federal Data'!$G2:$G501,"Non-Cash Programs",'Federal Data'!$D2:$D501,"Grant")</f>
        <v>430229000</v>
      </c>
    </row>
    <row r="140" spans="1:37">
      <c r="A140" s="4" t="s">
        <v>110</v>
      </c>
      <c r="B140">
        <f>SUMIFS('Federal Data'!M2:M501,'Federal Data'!$H2:$H501,"Child Care Assistance",'Federal Data'!$D2:$D501,"Grant")</f>
        <v>0</v>
      </c>
      <c r="C140">
        <f>SUMIFS('Federal Data'!N2:N501,'Federal Data'!$H2:$H501,"Child Care Assistance",'Federal Data'!$D2:$D501,"Grant")</f>
        <v>0</v>
      </c>
      <c r="D140">
        <f>SUMIFS('Federal Data'!O2:O501,'Federal Data'!$H2:$H501,"Child Care Assistance",'Federal Data'!$D2:$D501,"Grant")</f>
        <v>0</v>
      </c>
      <c r="E140">
        <f>SUMIFS('Federal Data'!P2:P501,'Federal Data'!$H2:$H501,"Child Care Assistance",'Federal Data'!$D2:$D501,"Grant")</f>
        <v>0</v>
      </c>
      <c r="F140">
        <f>SUMIFS('Federal Data'!Q2:Q501,'Federal Data'!$H2:$H501,"Child Care Assistance",'Federal Data'!$D2:$D501,"Grant")</f>
        <v>0</v>
      </c>
      <c r="G140">
        <f>SUMIFS('Federal Data'!R2:R501,'Federal Data'!$H2:$H501,"Child Care Assistance",'Federal Data'!$D2:$D501,"Grant")</f>
        <v>0</v>
      </c>
      <c r="H140">
        <f>SUMIFS('Federal Data'!S2:S501,'Federal Data'!$H2:$H501,"Child Care Assistance",'Federal Data'!$D2:$D501,"Grant")</f>
        <v>0</v>
      </c>
      <c r="I140">
        <f>SUMIFS('Federal Data'!T2:T501,'Federal Data'!$H2:$H501,"Child Care Assistance",'Federal Data'!$D2:$D501,"Grant")</f>
        <v>0</v>
      </c>
      <c r="J140">
        <f>SUMIFS('Federal Data'!U2:U501,'Federal Data'!$H2:$H501,"Child Care Assistance",'Federal Data'!$D2:$D501,"Grant")</f>
        <v>0</v>
      </c>
      <c r="K140">
        <f>SUMIFS('Federal Data'!V2:V501,'Federal Data'!$H2:$H501,"Child Care Assistance",'Federal Data'!$D2:$D501,"Grant")</f>
        <v>0</v>
      </c>
      <c r="L140">
        <f>SUMIFS('Federal Data'!W2:W501,'Federal Data'!$H2:$H501,"Child Care Assistance",'Federal Data'!$D2:$D501,"Grant")</f>
        <v>0</v>
      </c>
      <c r="M140">
        <f>SUMIFS('Federal Data'!X2:X501,'Federal Data'!$H2:$H501,"Child Care Assistance",'Federal Data'!$D2:$D501,"Grant")</f>
        <v>0</v>
      </c>
      <c r="N140">
        <f>SUMIFS('Federal Data'!Y2:Y501,'Federal Data'!$H2:$H501,"Child Care Assistance",'Federal Data'!$D2:$D501,"Grant")</f>
        <v>0</v>
      </c>
      <c r="O140">
        <f>SUMIFS('Federal Data'!Z2:Z501,'Federal Data'!$H2:$H501,"Child Care Assistance",'Federal Data'!$D2:$D501,"Grant")</f>
        <v>410841</v>
      </c>
      <c r="P140">
        <f>SUMIFS('Federal Data'!AA2:AA501,'Federal Data'!$H2:$H501,"Child Care Assistance",'Federal Data'!$D2:$D501,"Grant")</f>
        <v>786421</v>
      </c>
      <c r="Q140">
        <f>SUMIFS('Federal Data'!AB2:AB501,'Federal Data'!$H2:$H501,"Child Care Assistance",'Federal Data'!$D2:$D501,"Grant")</f>
        <v>933000</v>
      </c>
      <c r="R140">
        <f>SUMIFS('Federal Data'!AC2:AC501,'Federal Data'!$H2:$H501,"Child Care Assistance",'Federal Data'!$D2:$D501,"Grant")</f>
        <v>933000</v>
      </c>
      <c r="S140">
        <f>SUMIFS('Federal Data'!AD2:AD501,'Federal Data'!$H2:$H501,"Child Care Assistance",'Federal Data'!$D2:$D501,"Grant")</f>
        <v>2307000</v>
      </c>
      <c r="T140">
        <f>SUMIFS('Federal Data'!AE2:AE501,'Federal Data'!$H2:$H501,"Child Care Assistance",'Federal Data'!$D2:$D501,"Grant")</f>
        <v>3120000</v>
      </c>
      <c r="U140">
        <f>SUMIFS('Federal Data'!AF2:AF501,'Federal Data'!$H2:$H501,"Child Care Assistance",'Federal Data'!$D2:$D501,"Grant")</f>
        <v>3283000</v>
      </c>
      <c r="V140">
        <f>SUMIFS('Federal Data'!AG2:AG501,'Federal Data'!$H2:$H501,"Child Care Assistance",'Federal Data'!$D2:$D501,"Grant")</f>
        <v>3302000</v>
      </c>
      <c r="W140">
        <f>SUMIFS('Federal Data'!AH2:AH501,'Federal Data'!$H2:$H501,"Child Care Assistance",'Federal Data'!$D2:$D501,"Grant")</f>
        <v>3705000</v>
      </c>
      <c r="X140">
        <f>SUMIFS('Federal Data'!AI2:AI501,'Federal Data'!$H2:$H501,"Child Care Assistance",'Federal Data'!$D2:$D501,"Grant")</f>
        <v>4525000</v>
      </c>
      <c r="Y140">
        <f>SUMIFS('Federal Data'!AJ2:AJ501,'Federal Data'!$H2:$H501,"Child Care Assistance",'Federal Data'!$D2:$D501,"Grant")</f>
        <v>5189000</v>
      </c>
      <c r="Z140">
        <f>SUMIFS('Federal Data'!AK2:AK501,'Federal Data'!$H2:$H501,"Child Care Assistance",'Federal Data'!$D2:$D501,"Grant")</f>
        <v>4826000</v>
      </c>
      <c r="AA140">
        <f>SUMIFS('Federal Data'!AL2:AL501,'Federal Data'!$H2:$H501,"Child Care Assistance",'Federal Data'!$D2:$D501,"Grant")</f>
        <v>4894000</v>
      </c>
      <c r="AB140">
        <f>SUMIFS('Federal Data'!AM2:AM501,'Federal Data'!$H2:$H501,"Child Care Assistance",'Federal Data'!$D2:$D501,"Grant")</f>
        <v>5245000</v>
      </c>
      <c r="AC140">
        <f>SUMIFS('Federal Data'!AN2:AN501,'Federal Data'!$H2:$H501,"Child Care Assistance",'Federal Data'!$D2:$D501,"Grant")</f>
        <v>5122000</v>
      </c>
      <c r="AD140">
        <f>SUMIFS('Federal Data'!AO2:AO501,'Federal Data'!$H2:$H501,"Child Care Assistance",'Federal Data'!$D2:$D501,"Grant")</f>
        <v>4977000</v>
      </c>
      <c r="AE140">
        <f>SUMIFS('Federal Data'!AP2:AP501,'Federal Data'!$H2:$H501,"Child Care Assistance",'Federal Data'!$D2:$D501,"Grant")</f>
        <v>5298000</v>
      </c>
      <c r="AF140">
        <f>SUMIFS('Federal Data'!AQ2:AQ501,'Federal Data'!$H2:$H501,"Child Care Assistance",'Federal Data'!$D2:$D501,"Grant")</f>
        <v>5852000</v>
      </c>
      <c r="AG140">
        <f>SUMIFS('Federal Data'!AR2:AR501,'Federal Data'!$H2:$H501,"Child Care Assistance",'Federal Data'!$D2:$D501,"Grant")</f>
        <v>6075000</v>
      </c>
      <c r="AH140">
        <f>SUMIFS('Federal Data'!AS2:AS501,'Federal Data'!$H2:$H501,"Child Care Assistance",'Federal Data'!$D2:$D501,"Grant")</f>
        <v>5019000</v>
      </c>
      <c r="AI140">
        <f>SUMIFS('Federal Data'!AT2:AT501,'Federal Data'!$H2:$H501,"Child Care Assistance",'Federal Data'!$D2:$D501,"Grant")</f>
        <v>5040000</v>
      </c>
      <c r="AJ140">
        <f>SUMIFS('Federal Data'!AU2:AU501,'Federal Data'!$H2:$H501,"Child Care Assistance",'Federal Data'!$D2:$D501,"Grant")</f>
        <v>5055000</v>
      </c>
      <c r="AK140">
        <f>SUMIFS('Federal Data'!AV2:AV501,'Federal Data'!$H2:$H501,"Child Care Assistance",'Federal Data'!$D2:$D501,"Grant")</f>
        <v>5122000</v>
      </c>
    </row>
    <row r="141" spans="1:37">
      <c r="A141" s="4" t="s">
        <v>112</v>
      </c>
      <c r="B141">
        <f>SUMIFS('Federal Data'!M2:M501,'Federal Data'!$H2:$H501,"Medicaid and CHIP",'Federal Data'!$D2:$D501,"Grant")</f>
        <v>13956700</v>
      </c>
      <c r="C141">
        <f>SUMIFS('Federal Data'!N2:N501,'Federal Data'!$H2:$H501,"Medicaid and CHIP",'Federal Data'!$D2:$D501,"Grant")</f>
        <v>16833344</v>
      </c>
      <c r="D141">
        <f>SUMIFS('Federal Data'!O2:O501,'Federal Data'!$H2:$H501,"Medicaid and CHIP",'Federal Data'!$D2:$D501,"Grant")</f>
        <v>17390734</v>
      </c>
      <c r="E141">
        <f>SUMIFS('Federal Data'!P2:P501,'Federal Data'!$H2:$H501,"Medicaid and CHIP",'Federal Data'!$D2:$D501,"Grant")</f>
        <v>18985244</v>
      </c>
      <c r="F141">
        <f>SUMIFS('Federal Data'!Q2:Q501,'Federal Data'!$H2:$H501,"Medicaid and CHIP",'Federal Data'!$D2:$D501,"Grant")</f>
        <v>20060943</v>
      </c>
      <c r="G141">
        <f>SUMIFS('Federal Data'!R2:R501,'Federal Data'!$H2:$H501,"Medicaid and CHIP",'Federal Data'!$D2:$D501,"Grant")</f>
        <v>22654604</v>
      </c>
      <c r="H141">
        <f>SUMIFS('Federal Data'!S2:S501,'Federal Data'!$H2:$H501,"Medicaid and CHIP",'Federal Data'!$D2:$D501,"Grant")</f>
        <v>24995451</v>
      </c>
      <c r="I141">
        <f>SUMIFS('Federal Data'!T2:T501,'Federal Data'!$H2:$H501,"Medicaid and CHIP",'Federal Data'!$D2:$D501,"Grant")</f>
        <v>27435204</v>
      </c>
      <c r="J141">
        <f>SUMIFS('Federal Data'!U2:U501,'Federal Data'!$H2:$H501,"Medicaid and CHIP",'Federal Data'!$D2:$D501,"Grant")</f>
        <v>30461630</v>
      </c>
      <c r="K141">
        <f>SUMIFS('Federal Data'!V2:V501,'Federal Data'!$H2:$H501,"Medicaid and CHIP",'Federal Data'!$D2:$D501,"Grant")</f>
        <v>34603976</v>
      </c>
      <c r="L141">
        <f>SUMIFS('Federal Data'!W2:W501,'Federal Data'!$H2:$H501,"Medicaid and CHIP",'Federal Data'!$D2:$D501,"Grant")</f>
        <v>41103202</v>
      </c>
      <c r="M141">
        <f>SUMIFS('Federal Data'!X2:X501,'Federal Data'!$H2:$H501,"Medicaid and CHIP",'Federal Data'!$D2:$D501,"Grant")</f>
        <v>52532714</v>
      </c>
      <c r="N141">
        <f>SUMIFS('Federal Data'!Y2:Y501,'Federal Data'!$H2:$H501,"Medicaid and CHIP",'Federal Data'!$D2:$D501,"Grant")</f>
        <v>67827253</v>
      </c>
      <c r="O141">
        <f>SUMIFS('Federal Data'!Z2:Z501,'Federal Data'!$H2:$H501,"Medicaid and CHIP",'Federal Data'!$D2:$D501,"Grant")</f>
        <v>75774060</v>
      </c>
      <c r="P141">
        <f>SUMIFS('Federal Data'!AA2:AA501,'Federal Data'!$H2:$H501,"Medicaid and CHIP",'Federal Data'!$D2:$D501,"Grant")</f>
        <v>82033658</v>
      </c>
      <c r="Q141">
        <f>SUMIFS('Federal Data'!AB2:AB501,'Federal Data'!$H2:$H501,"Medicaid and CHIP",'Federal Data'!$D2:$D501,"Grant")</f>
        <v>89070000</v>
      </c>
      <c r="R141">
        <f>SUMIFS('Federal Data'!AC2:AC501,'Federal Data'!$H2:$H501,"Medicaid and CHIP",'Federal Data'!$D2:$D501,"Grant")</f>
        <v>91990000</v>
      </c>
      <c r="S141">
        <f>SUMIFS('Federal Data'!AD2:AD501,'Federal Data'!$H2:$H501,"Medicaid and CHIP",'Federal Data'!$D2:$D501,"Grant")</f>
        <v>95552000</v>
      </c>
      <c r="T141">
        <f>SUMIFS('Federal Data'!AE2:AE501,'Federal Data'!$H2:$H501,"Medicaid and CHIP",'Federal Data'!$D2:$D501,"Grant")</f>
        <v>101239000</v>
      </c>
      <c r="U141">
        <f>SUMIFS('Federal Data'!AF2:AF501,'Federal Data'!$H2:$H501,"Medicaid and CHIP",'Federal Data'!$D2:$D501,"Grant")</f>
        <v>108607000</v>
      </c>
      <c r="V141">
        <f>SUMIFS('Federal Data'!AG2:AG501,'Federal Data'!$H2:$H501,"Medicaid and CHIP",'Federal Data'!$D2:$D501,"Grant")</f>
        <v>119141000</v>
      </c>
      <c r="W141">
        <f>SUMIFS('Federal Data'!AH2:AH501,'Federal Data'!$H2:$H501,"Medicaid and CHIP",'Federal Data'!$D2:$D501,"Grant")</f>
        <v>133135000</v>
      </c>
      <c r="X141">
        <f>SUMIFS('Federal Data'!AI2:AI501,'Federal Data'!$H2:$H501,"Medicaid and CHIP",'Federal Data'!$D2:$D501,"Grant")</f>
        <v>151342000</v>
      </c>
      <c r="Y141">
        <f>SUMIFS('Federal Data'!AJ2:AJ501,'Federal Data'!$H2:$H501,"Medicaid and CHIP",'Federal Data'!$D2:$D501,"Grant")</f>
        <v>165175000</v>
      </c>
      <c r="Z141">
        <f>SUMIFS('Federal Data'!AK2:AK501,'Federal Data'!$H2:$H501,"Medicaid and CHIP",'Federal Data'!$D2:$D501,"Grant")</f>
        <v>180886000</v>
      </c>
      <c r="AA141">
        <f>SUMIFS('Federal Data'!AL2:AL501,'Federal Data'!$H2:$H501,"Medicaid and CHIP",'Federal Data'!$D2:$D501,"Grant")</f>
        <v>186933000</v>
      </c>
      <c r="AB141">
        <f>SUMIFS('Federal Data'!AM2:AM501,'Federal Data'!$H2:$H501,"Medicaid and CHIP",'Federal Data'!$D2:$D501,"Grant")</f>
        <v>187345000</v>
      </c>
      <c r="AC141">
        <f>SUMIFS('Federal Data'!AN2:AN501,'Federal Data'!$H2:$H501,"Medicaid and CHIP",'Federal Data'!$D2:$D501,"Grant")</f>
        <v>197899000</v>
      </c>
      <c r="AD141">
        <f>SUMIFS('Federal Data'!AO2:AO501,'Federal Data'!$H2:$H501,"Medicaid and CHIP",'Federal Data'!$D2:$D501,"Grant")</f>
        <v>208753000</v>
      </c>
      <c r="AE141">
        <f>SUMIFS('Federal Data'!AP2:AP501,'Federal Data'!$H2:$H501,"Medicaid and CHIP",'Federal Data'!$D2:$D501,"Grant")</f>
        <v>258969000</v>
      </c>
      <c r="AF141">
        <f>SUMIFS('Federal Data'!AQ2:AQ501,'Federal Data'!$H2:$H501,"Medicaid and CHIP",'Federal Data'!$D2:$D501,"Grant")</f>
        <v>281189000</v>
      </c>
      <c r="AG141">
        <f>SUMIFS('Federal Data'!AR2:AR501,'Federal Data'!$H2:$H501,"Medicaid and CHIP",'Federal Data'!$D2:$D501,"Grant")</f>
        <v>284159000</v>
      </c>
      <c r="AH141">
        <f>SUMIFS('Federal Data'!AS2:AS501,'Federal Data'!$H2:$H501,"Medicaid and CHIP",'Federal Data'!$D2:$D501,"Grant")</f>
        <v>260076000</v>
      </c>
      <c r="AI141">
        <f>SUMIFS('Federal Data'!AT2:AT501,'Federal Data'!$H2:$H501,"Medicaid and CHIP",'Federal Data'!$D2:$D501,"Grant")</f>
        <v>275392000</v>
      </c>
      <c r="AJ141">
        <f>SUMIFS('Federal Data'!AU2:AU501,'Federal Data'!$H2:$H501,"Medicaid and CHIP",'Federal Data'!$D2:$D501,"Grant")</f>
        <v>311297000</v>
      </c>
      <c r="AK141">
        <f>SUMIFS('Federal Data'!AV2:AV501,'Federal Data'!$H2:$H501,"Medicaid and CHIP",'Federal Data'!$D2:$D501,"Grant")</f>
        <v>359572000</v>
      </c>
    </row>
    <row r="142" spans="1:37">
      <c r="A142" s="4" t="s">
        <v>111</v>
      </c>
      <c r="B142">
        <f>SUMIFS('Federal Data'!M2:M501,'Federal Data'!$H2:$H501,"Housing Assistance",'Federal Data'!$D2:$D501,"Grant")</f>
        <v>3452878</v>
      </c>
      <c r="C142">
        <f>SUMIFS('Federal Data'!N2:N501,'Federal Data'!$H2:$H501,"Housing Assistance",'Federal Data'!$D2:$D501,"Grant")</f>
        <v>4058580</v>
      </c>
      <c r="D142">
        <f>SUMIFS('Federal Data'!O2:O501,'Federal Data'!$H2:$H501,"Housing Assistance",'Federal Data'!$D2:$D501,"Grant")</f>
        <v>4921918</v>
      </c>
      <c r="E142">
        <f>SUMIFS('Federal Data'!P2:P501,'Federal Data'!$H2:$H501,"Housing Assistance",'Federal Data'!$D2:$D501,"Grant")</f>
        <v>5718110</v>
      </c>
      <c r="F142">
        <f>SUMIFS('Federal Data'!Q2:Q501,'Federal Data'!$H2:$H501,"Housing Assistance",'Federal Data'!$D2:$D501,"Grant")</f>
        <v>5768935</v>
      </c>
      <c r="G142">
        <f>SUMIFS('Federal Data'!R2:R501,'Federal Data'!$H2:$H501,"Housing Assistance",'Federal Data'!$D2:$D501,"Grant")</f>
        <v>6417011</v>
      </c>
      <c r="H142">
        <f>SUMIFS('Federal Data'!S2:S501,'Federal Data'!$H2:$H501,"Housing Assistance",'Federal Data'!$D2:$D501,"Grant")</f>
        <v>7442787</v>
      </c>
      <c r="I142">
        <f>SUMIFS('Federal Data'!T2:T501,'Federal Data'!$H2:$H501,"Housing Assistance",'Federal Data'!$D2:$D501,"Grant")</f>
        <v>7400093</v>
      </c>
      <c r="J142">
        <f>SUMIFS('Federal Data'!U2:U501,'Federal Data'!$H2:$H501,"Housing Assistance",'Federal Data'!$D2:$D501,"Grant")</f>
        <v>8650829</v>
      </c>
      <c r="K142">
        <f>SUMIFS('Federal Data'!V2:V501,'Federal Data'!$H2:$H501,"Housing Assistance",'Federal Data'!$D2:$D501,"Grant")</f>
        <v>8553124</v>
      </c>
      <c r="L142">
        <f>SUMIFS('Federal Data'!W2:W501,'Federal Data'!$H2:$H501,"Housing Assistance",'Federal Data'!$D2:$D501,"Grant")</f>
        <v>9552419</v>
      </c>
      <c r="M142">
        <f>SUMIFS('Federal Data'!X2:X501,'Federal Data'!$H2:$H501,"Housing Assistance",'Federal Data'!$D2:$D501,"Grant")</f>
        <v>10466473</v>
      </c>
      <c r="N142">
        <f>SUMIFS('Federal Data'!Y2:Y501,'Federal Data'!$H2:$H501,"Housing Assistance",'Federal Data'!$D2:$D501,"Grant")</f>
        <v>12289667</v>
      </c>
      <c r="O142">
        <f>SUMIFS('Federal Data'!Z2:Z501,'Federal Data'!$H2:$H501,"Housing Assistance",'Federal Data'!$D2:$D501,"Grant")</f>
        <v>14125598</v>
      </c>
      <c r="P142">
        <f>SUMIFS('Federal Data'!AA2:AA501,'Federal Data'!$H2:$H501,"Housing Assistance",'Federal Data'!$D2:$D501,"Grant")</f>
        <v>15809694</v>
      </c>
      <c r="Q142">
        <f>SUMIFS('Federal Data'!AB2:AB501,'Federal Data'!$H2:$H501,"Housing Assistance",'Federal Data'!$D2:$D501,"Grant")</f>
        <v>18434000</v>
      </c>
      <c r="R142">
        <f>SUMIFS('Federal Data'!AC2:AC501,'Federal Data'!$H2:$H501,"Housing Assistance",'Federal Data'!$D2:$D501,"Grant")</f>
        <v>16789000</v>
      </c>
      <c r="S142">
        <f>SUMIFS('Federal Data'!AD2:AD501,'Federal Data'!$H2:$H501,"Housing Assistance",'Federal Data'!$D2:$D501,"Grant")</f>
        <v>17717000</v>
      </c>
      <c r="T142">
        <f>SUMIFS('Federal Data'!AE2:AE501,'Federal Data'!$H2:$H501,"Housing Assistance",'Federal Data'!$D2:$D501,"Grant")</f>
        <v>19668000</v>
      </c>
      <c r="U142">
        <f>SUMIFS('Federal Data'!AF2:AF501,'Federal Data'!$H2:$H501,"Housing Assistance",'Federal Data'!$D2:$D501,"Grant")</f>
        <v>22830000</v>
      </c>
      <c r="V142">
        <f>SUMIFS('Federal Data'!AG2:AG501,'Federal Data'!$H2:$H501,"Housing Assistance",'Federal Data'!$D2:$D501,"Grant")</f>
        <v>19974000</v>
      </c>
      <c r="W142">
        <f>SUMIFS('Federal Data'!AH2:AH501,'Federal Data'!$H2:$H501,"Housing Assistance",'Federal Data'!$D2:$D501,"Grant")</f>
        <v>21139000</v>
      </c>
      <c r="X142">
        <f>SUMIFS('Federal Data'!AI2:AI501,'Federal Data'!$H2:$H501,"Housing Assistance",'Federal Data'!$D2:$D501,"Grant")</f>
        <v>23661000</v>
      </c>
      <c r="Y142">
        <f>SUMIFS('Federal Data'!AJ2:AJ501,'Federal Data'!$H2:$H501,"Housing Assistance",'Federal Data'!$D2:$D501,"Grant")</f>
        <v>25975000</v>
      </c>
      <c r="Z142">
        <f>SUMIFS('Federal Data'!AK2:AK501,'Federal Data'!$H2:$H501,"Housing Assistance",'Federal Data'!$D2:$D501,"Grant")</f>
        <v>27038000</v>
      </c>
      <c r="AA142">
        <f>SUMIFS('Federal Data'!AL2:AL501,'Federal Data'!$H2:$H501,"Housing Assistance",'Federal Data'!$D2:$D501,"Grant")</f>
        <v>30203000</v>
      </c>
      <c r="AB142">
        <f>SUMIFS('Federal Data'!AM2:AM501,'Federal Data'!$H2:$H501,"Housing Assistance",'Federal Data'!$D2:$D501,"Grant")</f>
        <v>27957000</v>
      </c>
      <c r="AC142">
        <f>SUMIFS('Federal Data'!AN2:AN501,'Federal Data'!$H2:$H501,"Housing Assistance",'Federal Data'!$D2:$D501,"Grant")</f>
        <v>28883000</v>
      </c>
      <c r="AD142">
        <f>SUMIFS('Federal Data'!AO2:AO501,'Federal Data'!$H2:$H501,"Housing Assistance",'Federal Data'!$D2:$D501,"Grant")</f>
        <v>29184000</v>
      </c>
      <c r="AE142">
        <f>SUMIFS('Federal Data'!AP2:AP501,'Federal Data'!$H2:$H501,"Housing Assistance",'Federal Data'!$D2:$D501,"Grant")</f>
        <v>29965000</v>
      </c>
      <c r="AF142">
        <f>SUMIFS('Federal Data'!AQ2:AQ501,'Federal Data'!$H2:$H501,"Housing Assistance",'Federal Data'!$D2:$D501,"Grant")</f>
        <v>37505000</v>
      </c>
      <c r="AG142">
        <f>SUMIFS('Federal Data'!AR2:AR501,'Federal Data'!$H2:$H501,"Housing Assistance",'Federal Data'!$D2:$D501,"Grant")</f>
        <v>35850000</v>
      </c>
      <c r="AH142">
        <f>SUMIFS('Federal Data'!AS2:AS501,'Federal Data'!$H2:$H501,"Housing Assistance",'Federal Data'!$D2:$D501,"Grant")</f>
        <v>29875000</v>
      </c>
      <c r="AI142">
        <f>SUMIFS('Federal Data'!AT2:AT501,'Federal Data'!$H2:$H501,"Housing Assistance",'Federal Data'!$D2:$D501,"Grant")</f>
        <v>27941000</v>
      </c>
      <c r="AJ142">
        <f>SUMIFS('Federal Data'!AU2:AU501,'Federal Data'!$H2:$H501,"Housing Assistance",'Federal Data'!$D2:$D501,"Grant")</f>
        <v>28474000</v>
      </c>
      <c r="AK142">
        <f>SUMIFS('Federal Data'!AV2:AV501,'Federal Data'!$H2:$H501,"Housing Assistance",'Federal Data'!$D2:$D501,"Grant")</f>
        <v>28561000</v>
      </c>
    </row>
    <row r="143" spans="1:37">
      <c r="A143" s="3" t="s">
        <v>45</v>
      </c>
      <c r="B143">
        <f>SUMIFS('Federal Data'!M2:M501,'Federal Data'!$G2:$G501,"Elementary and Secondary Education",'Federal Data'!$D2:$D501,"Grant")</f>
        <v>5591633</v>
      </c>
      <c r="C143">
        <f>SUMIFS('Federal Data'!N2:N501,'Federal Data'!$G2:$G501,"Elementary and Secondary Education",'Federal Data'!$D2:$D501,"Grant")</f>
        <v>5909697</v>
      </c>
      <c r="D143">
        <f>SUMIFS('Federal Data'!O2:O501,'Federal Data'!$G2:$G501,"Elementary and Secondary Education",'Federal Data'!$D2:$D501,"Grant")</f>
        <v>5447226</v>
      </c>
      <c r="E143">
        <f>SUMIFS('Federal Data'!P2:P501,'Federal Data'!$G2:$G501,"Elementary and Secondary Education",'Federal Data'!$D2:$D501,"Grant")</f>
        <v>4994838</v>
      </c>
      <c r="F143">
        <f>SUMIFS('Federal Data'!Q2:Q501,'Federal Data'!$G2:$G501,"Elementary and Secondary Education",'Federal Data'!$D2:$D501,"Grant")</f>
        <v>5182428</v>
      </c>
      <c r="G143">
        <f>SUMIFS('Federal Data'!R2:R501,'Federal Data'!$G2:$G501,"Elementary and Secondary Education",'Federal Data'!$D2:$D501,"Grant")</f>
        <v>6426913</v>
      </c>
      <c r="H143">
        <f>SUMIFS('Federal Data'!S2:S501,'Federal Data'!$G2:$G501,"Elementary and Secondary Education",'Federal Data'!$D2:$D501,"Grant")</f>
        <v>6423797</v>
      </c>
      <c r="I143">
        <f>SUMIFS('Federal Data'!T2:T501,'Federal Data'!$G2:$G501,"Elementary and Secondary Education",'Federal Data'!$D2:$D501,"Grant")</f>
        <v>6007311</v>
      </c>
      <c r="J143">
        <f>SUMIFS('Federal Data'!U2:U501,'Federal Data'!$G2:$G501,"Elementary and Secondary Education",'Federal Data'!$D2:$D501,"Grant")</f>
        <v>6600524</v>
      </c>
      <c r="K143">
        <f>SUMIFS('Federal Data'!V2:V501,'Federal Data'!$G2:$G501,"Elementary and Secondary Education",'Federal Data'!$D2:$D501,"Grant")</f>
        <v>7722918</v>
      </c>
      <c r="L143">
        <f>SUMIFS('Federal Data'!W2:W501,'Federal Data'!$G2:$G501,"Elementary and Secondary Education",'Federal Data'!$D2:$D501,"Grant")</f>
        <v>8031494</v>
      </c>
      <c r="M143">
        <f>SUMIFS('Federal Data'!X2:X501,'Federal Data'!$G2:$G501,"Elementary and Secondary Education",'Federal Data'!$D2:$D501,"Grant")</f>
        <v>9415196</v>
      </c>
      <c r="N143">
        <f>SUMIFS('Federal Data'!Y2:Y501,'Federal Data'!$G2:$G501,"Elementary and Secondary Education",'Federal Data'!$D2:$D501,"Grant")</f>
        <v>10624501</v>
      </c>
      <c r="O143">
        <f>SUMIFS('Federal Data'!Z2:Z501,'Federal Data'!$G2:$G501,"Elementary and Secondary Education",'Federal Data'!$D2:$D501,"Grant")</f>
        <v>11568137</v>
      </c>
      <c r="P143">
        <f>SUMIFS('Federal Data'!AA2:AA501,'Federal Data'!$G2:$G501,"Elementary and Secondary Education",'Federal Data'!$D2:$D501,"Grant")</f>
        <v>12074714</v>
      </c>
      <c r="Q143">
        <f>SUMIFS('Federal Data'!AB2:AB501,'Federal Data'!$G2:$G501,"Elementary and Secondary Education",'Federal Data'!$D2:$D501,"Grant")</f>
        <v>12233000</v>
      </c>
      <c r="R143">
        <f>SUMIFS('Federal Data'!AC2:AC501,'Federal Data'!$G2:$G501,"Elementary and Secondary Education",'Federal Data'!$D2:$D501,"Grant")</f>
        <v>12684000</v>
      </c>
      <c r="S143">
        <f>SUMIFS('Federal Data'!AD2:AD501,'Federal Data'!$G2:$G501,"Elementary and Secondary Education",'Federal Data'!$D2:$D501,"Grant")</f>
        <v>12838000</v>
      </c>
      <c r="T143">
        <f>SUMIFS('Federal Data'!AE2:AE501,'Federal Data'!$G2:$G501,"Elementary and Secondary Education",'Federal Data'!$D2:$D501,"Grant")</f>
        <v>14296000</v>
      </c>
      <c r="U143">
        <f>SUMIFS('Federal Data'!AF2:AF501,'Federal Data'!$G2:$G501,"Elementary and Secondary Education",'Federal Data'!$D2:$D501,"Grant")</f>
        <v>15350000</v>
      </c>
      <c r="V143">
        <f>SUMIFS('Federal Data'!AG2:AG501,'Federal Data'!$G2:$G501,"Elementary and Secondary Education",'Federal Data'!$D2:$D501,"Grant")</f>
        <v>17912000</v>
      </c>
      <c r="W143">
        <f>SUMIFS('Federal Data'!AH2:AH501,'Federal Data'!$G2:$G501,"Elementary and Secondary Education",'Federal Data'!$D2:$D501,"Grant")</f>
        <v>19682000</v>
      </c>
      <c r="X143">
        <f>SUMIFS('Federal Data'!AI2:AI501,'Federal Data'!$G2:$G501,"Elementary and Secondary Education",'Federal Data'!$D2:$D501,"Grant")</f>
        <v>21935000</v>
      </c>
      <c r="Y143">
        <f>SUMIFS('Federal Data'!AJ2:AJ501,'Federal Data'!$G2:$G501,"Elementary and Secondary Education",'Federal Data'!$D2:$D501,"Grant")</f>
        <v>27669000</v>
      </c>
      <c r="Z143">
        <f>SUMIFS('Federal Data'!AK2:AK501,'Federal Data'!$G2:$G501,"Elementary and Secondary Education",'Federal Data'!$D2:$D501,"Grant")</f>
        <v>30691000</v>
      </c>
      <c r="AA143">
        <f>SUMIFS('Federal Data'!AL2:AL501,'Federal Data'!$G2:$G501,"Elementary and Secondary Education",'Federal Data'!$D2:$D501,"Grant")</f>
        <v>34557000</v>
      </c>
      <c r="AB143">
        <f>SUMIFS('Federal Data'!AM2:AM501,'Federal Data'!$G2:$G501,"Elementary and Secondary Education",'Federal Data'!$D2:$D501,"Grant")</f>
        <v>36075000</v>
      </c>
      <c r="AC143">
        <f>SUMIFS('Federal Data'!AN2:AN501,'Federal Data'!$G2:$G501,"Elementary and Secondary Education",'Federal Data'!$D2:$D501,"Grant")</f>
        <v>35016000</v>
      </c>
      <c r="AD143">
        <f>SUMIFS('Federal Data'!AO2:AO501,'Federal Data'!$G2:$G501,"Elementary and Secondary Education",'Federal Data'!$D2:$D501,"Grant")</f>
        <v>35591000</v>
      </c>
      <c r="AE143">
        <f>SUMIFS('Federal Data'!AP2:AP501,'Federal Data'!$G2:$G501,"Elementary and Secondary Education",'Federal Data'!$D2:$D501,"Grant")</f>
        <v>49645000</v>
      </c>
      <c r="AF143">
        <f>SUMIFS('Federal Data'!AQ2:AQ501,'Federal Data'!$G2:$G501,"Elementary and Secondary Education",'Federal Data'!$D2:$D501,"Grant")</f>
        <v>69746000</v>
      </c>
      <c r="AG143">
        <f>SUMIFS('Federal Data'!AR2:AR501,'Federal Data'!$G2:$G501,"Elementary and Secondary Education",'Federal Data'!$D2:$D501,"Grant")</f>
        <v>62618000</v>
      </c>
      <c r="AH143">
        <f>SUMIFS('Federal Data'!AS2:AS501,'Federal Data'!$G2:$G501,"Elementary and Secondary Education",'Federal Data'!$D2:$D501,"Grant")</f>
        <v>43661000</v>
      </c>
      <c r="AI143">
        <f>SUMIFS('Federal Data'!AT2:AT501,'Federal Data'!$G2:$G501,"Elementary and Secondary Education",'Federal Data'!$D2:$D501,"Grant")</f>
        <v>38498000</v>
      </c>
      <c r="AJ143">
        <f>SUMIFS('Federal Data'!AU2:AU501,'Federal Data'!$G2:$G501,"Elementary and Secondary Education",'Federal Data'!$D2:$D501,"Grant")</f>
        <v>37261000</v>
      </c>
      <c r="AK143">
        <f>SUMIFS('Federal Data'!AV2:AV501,'Federal Data'!$G2:$G501,"Elementary and Secondary Education",'Federal Data'!$D2:$D501,"Grant")</f>
        <v>36395000</v>
      </c>
    </row>
    <row r="144" spans="1:37">
      <c r="A144" s="3" t="s">
        <v>47</v>
      </c>
      <c r="B144">
        <f>SUMIFS('Federal Data'!M2:M501,'Federal Data'!$G2:$G501,"Vocational Education",'Federal Data'!$D2:$D501,"Grant")</f>
        <v>854115</v>
      </c>
      <c r="C144">
        <f>SUMIFS('Federal Data'!N2:N501,'Federal Data'!$G2:$G501,"Vocational Education",'Federal Data'!$D2:$D501,"Grant")</f>
        <v>722908</v>
      </c>
      <c r="D144">
        <f>SUMIFS('Federal Data'!O2:O501,'Federal Data'!$G2:$G501,"Vocational Education",'Federal Data'!$D2:$D501,"Grant")</f>
        <v>801905</v>
      </c>
      <c r="E144">
        <f>SUMIFS('Federal Data'!P2:P501,'Federal Data'!$G2:$G501,"Vocational Education",'Federal Data'!$D2:$D501,"Grant")</f>
        <v>705018</v>
      </c>
      <c r="F144">
        <f>SUMIFS('Federal Data'!Q2:Q501,'Federal Data'!$G2:$G501,"Vocational Education",'Federal Data'!$D2:$D501,"Grant")</f>
        <v>718696</v>
      </c>
      <c r="G144">
        <f>SUMIFS('Federal Data'!R2:R501,'Federal Data'!$G2:$G501,"Vocational Education",'Federal Data'!$D2:$D501,"Grant")</f>
        <v>633144</v>
      </c>
      <c r="H144">
        <f>SUMIFS('Federal Data'!S2:S501,'Federal Data'!$G2:$G501,"Vocational Education",'Federal Data'!$D2:$D501,"Grant")</f>
        <v>1007771</v>
      </c>
      <c r="I144">
        <f>SUMIFS('Federal Data'!T2:T501,'Federal Data'!$G2:$G501,"Vocational Education",'Federal Data'!$D2:$D501,"Grant")</f>
        <v>1224966</v>
      </c>
      <c r="J144">
        <f>SUMIFS('Federal Data'!U2:U501,'Federal Data'!$G2:$G501,"Vocational Education",'Federal Data'!$D2:$D501,"Grant")</f>
        <v>1261076</v>
      </c>
      <c r="K144">
        <f>SUMIFS('Federal Data'!V2:V501,'Federal Data'!$G2:$G501,"Vocational Education",'Federal Data'!$D2:$D501,"Grant")</f>
        <v>824083</v>
      </c>
      <c r="L144">
        <f>SUMIFS('Federal Data'!W2:W501,'Federal Data'!$G2:$G501,"Vocational Education",'Federal Data'!$D2:$D501,"Grant")</f>
        <v>1287089</v>
      </c>
      <c r="M144">
        <f>SUMIFS('Federal Data'!X2:X501,'Federal Data'!$G2:$G501,"Vocational Education",'Federal Data'!$D2:$D501,"Grant")</f>
        <v>1037506</v>
      </c>
      <c r="N144">
        <f>SUMIFS('Federal Data'!Y2:Y501,'Federal Data'!$G2:$G501,"Vocational Education",'Federal Data'!$D2:$D501,"Grant")</f>
        <v>1019814</v>
      </c>
      <c r="O144">
        <f>SUMIFS('Federal Data'!Z2:Z501,'Federal Data'!$G2:$G501,"Vocational Education",'Federal Data'!$D2:$D501,"Grant")</f>
        <v>1133120</v>
      </c>
      <c r="P144">
        <f>SUMIFS('Federal Data'!AA2:AA501,'Federal Data'!$G2:$G501,"Vocational Education",'Federal Data'!$D2:$D501,"Grant")</f>
        <v>1292212</v>
      </c>
      <c r="Q144">
        <f>SUMIFS('Federal Data'!AB2:AB501,'Federal Data'!$G2:$G501,"Vocational Education",'Federal Data'!$D2:$D501,"Grant")</f>
        <v>1449000</v>
      </c>
      <c r="R144">
        <f>SUMIFS('Federal Data'!AC2:AC501,'Federal Data'!$G2:$G501,"Vocational Education",'Federal Data'!$D2:$D501,"Grant")</f>
        <v>1323000</v>
      </c>
      <c r="S144">
        <f>SUMIFS('Federal Data'!AD2:AD501,'Federal Data'!$G2:$G501,"Vocational Education",'Federal Data'!$D2:$D501,"Grant")</f>
        <v>1382000</v>
      </c>
      <c r="T144">
        <f>SUMIFS('Federal Data'!AE2:AE501,'Federal Data'!$G2:$G501,"Vocational Education",'Federal Data'!$D2:$D501,"Grant")</f>
        <v>1425000</v>
      </c>
      <c r="U144">
        <f>SUMIFS('Federal Data'!AF2:AF501,'Federal Data'!$G2:$G501,"Vocational Education",'Federal Data'!$D2:$D501,"Grant")</f>
        <v>1338000</v>
      </c>
      <c r="V144">
        <f>SUMIFS('Federal Data'!AG2:AG501,'Federal Data'!$G2:$G501,"Vocational Education",'Federal Data'!$D2:$D501,"Grant")</f>
        <v>1448000</v>
      </c>
      <c r="W144">
        <f>SUMIFS('Federal Data'!AH2:AH501,'Federal Data'!$G2:$G501,"Vocational Education",'Federal Data'!$D2:$D501,"Grant")</f>
        <v>1651000</v>
      </c>
      <c r="X144">
        <f>SUMIFS('Federal Data'!AI2:AI501,'Federal Data'!$G2:$G501,"Vocational Education",'Federal Data'!$D2:$D501,"Grant")</f>
        <v>1742000</v>
      </c>
      <c r="Y144">
        <f>SUMIFS('Federal Data'!AJ2:AJ501,'Federal Data'!$G2:$G501,"Vocational Education",'Federal Data'!$D2:$D501,"Grant")</f>
        <v>1908000</v>
      </c>
      <c r="Z144">
        <f>SUMIFS('Federal Data'!AK2:AK501,'Federal Data'!$G2:$G501,"Vocational Education",'Federal Data'!$D2:$D501,"Grant")</f>
        <v>1909000</v>
      </c>
      <c r="AA144">
        <f>SUMIFS('Federal Data'!AL2:AL501,'Federal Data'!$G2:$G501,"Vocational Education",'Federal Data'!$D2:$D501,"Grant")</f>
        <v>1930000</v>
      </c>
      <c r="AB144">
        <f>SUMIFS('Federal Data'!AM2:AM501,'Federal Data'!$G2:$G501,"Vocational Education",'Federal Data'!$D2:$D501,"Grant")</f>
        <v>1958000</v>
      </c>
      <c r="AC144">
        <f>SUMIFS('Federal Data'!AN2:AN501,'Federal Data'!$G2:$G501,"Vocational Education",'Federal Data'!$D2:$D501,"Grant")</f>
        <v>1927000</v>
      </c>
      <c r="AD144">
        <f>SUMIFS('Federal Data'!AO2:AO501,'Federal Data'!$G2:$G501,"Vocational Education",'Federal Data'!$D2:$D501,"Grant")</f>
        <v>1871000</v>
      </c>
      <c r="AE144">
        <f>SUMIFS('Federal Data'!AP2:AP501,'Federal Data'!$G2:$G501,"Vocational Education",'Federal Data'!$D2:$D501,"Grant")</f>
        <v>2005000</v>
      </c>
      <c r="AF144">
        <f>SUMIFS('Federal Data'!AQ2:AQ501,'Federal Data'!$G2:$G501,"Vocational Education",'Federal Data'!$D2:$D501,"Grant")</f>
        <v>1989000</v>
      </c>
      <c r="AG144">
        <f>SUMIFS('Federal Data'!AR2:AR501,'Federal Data'!$G2:$G501,"Vocational Education",'Federal Data'!$D2:$D501,"Grant")</f>
        <v>1946000</v>
      </c>
      <c r="AH144">
        <f>SUMIFS('Federal Data'!AS2:AS501,'Federal Data'!$G2:$G501,"Vocational Education",'Federal Data'!$D2:$D501,"Grant")</f>
        <v>1846000</v>
      </c>
      <c r="AI144">
        <f>SUMIFS('Federal Data'!AT2:AT501,'Federal Data'!$G2:$G501,"Vocational Education",'Federal Data'!$D2:$D501,"Grant")</f>
        <v>1768000</v>
      </c>
      <c r="AJ144">
        <f>SUMIFS('Federal Data'!AU2:AU501,'Federal Data'!$G2:$G501,"Vocational Education",'Federal Data'!$D2:$D501,"Grant")</f>
        <v>1665000</v>
      </c>
      <c r="AK144">
        <f>SUMIFS('Federal Data'!AV2:AV501,'Federal Data'!$G2:$G501,"Vocational Education",'Federal Data'!$D2:$D501,"Grant")</f>
        <v>1637000</v>
      </c>
    </row>
    <row r="145" spans="1:37">
      <c r="A145" s="3"/>
    </row>
    <row r="146" spans="1:37">
      <c r="A146" s="3"/>
    </row>
    <row r="147" spans="1:37">
      <c r="A147" s="20" t="s">
        <v>321</v>
      </c>
    </row>
    <row r="148" spans="1:37">
      <c r="A148" s="4" t="s">
        <v>322</v>
      </c>
      <c r="B148">
        <v>242650</v>
      </c>
      <c r="C148">
        <v>14481127</v>
      </c>
      <c r="D148">
        <v>18849021</v>
      </c>
      <c r="E148">
        <v>25208250</v>
      </c>
      <c r="F148">
        <v>16062970</v>
      </c>
      <c r="G148">
        <v>27812129</v>
      </c>
      <c r="H148">
        <v>34080146</v>
      </c>
      <c r="I148">
        <v>28966500</v>
      </c>
      <c r="J148">
        <v>20476599</v>
      </c>
      <c r="K148">
        <v>21700553</v>
      </c>
      <c r="L148">
        <v>18269151</v>
      </c>
      <c r="M148">
        <v>21936029</v>
      </c>
      <c r="N148">
        <v>23330331</v>
      </c>
      <c r="O148">
        <v>28987862</v>
      </c>
      <c r="P148">
        <v>23765568</v>
      </c>
      <c r="Q148">
        <v>19159000</v>
      </c>
      <c r="R148">
        <v>20137000</v>
      </c>
      <c r="S148">
        <v>23458000</v>
      </c>
      <c r="T148">
        <v>27824000</v>
      </c>
      <c r="U148">
        <v>41122000</v>
      </c>
      <c r="V148">
        <v>59440000</v>
      </c>
      <c r="W148">
        <v>47303000</v>
      </c>
      <c r="X148">
        <v>45588000</v>
      </c>
      <c r="Y148">
        <v>46793000</v>
      </c>
      <c r="Z148">
        <v>49584000</v>
      </c>
      <c r="AA148">
        <v>53930000</v>
      </c>
      <c r="AB148">
        <v>51942000</v>
      </c>
      <c r="AC148">
        <v>43209000</v>
      </c>
      <c r="AD148">
        <v>46574000</v>
      </c>
      <c r="AE148">
        <v>53184000</v>
      </c>
      <c r="AF148">
        <v>62081000</v>
      </c>
      <c r="AG148">
        <v>57147000</v>
      </c>
      <c r="AH148">
        <v>50205000</v>
      </c>
      <c r="AI148">
        <v>58235000</v>
      </c>
      <c r="AJ148">
        <v>51222000</v>
      </c>
      <c r="AK148">
        <v>51222001</v>
      </c>
    </row>
    <row r="149" spans="1:37">
      <c r="A149" s="4" t="s">
        <v>323</v>
      </c>
    </row>
    <row r="150" spans="1:37">
      <c r="A150" s="4" t="s">
        <v>324</v>
      </c>
    </row>
    <row r="151" spans="1:37">
      <c r="A151" s="3"/>
    </row>
    <row r="152" spans="1:37">
      <c r="A152" s="3"/>
    </row>
    <row r="153" spans="1:37">
      <c r="A153" s="8" t="s">
        <v>137</v>
      </c>
    </row>
    <row r="154" spans="1:37">
      <c r="A154" s="11" t="s">
        <v>239</v>
      </c>
    </row>
    <row r="155" spans="1:37">
      <c r="A155" s="4" t="s">
        <v>154</v>
      </c>
    </row>
    <row r="156" spans="1:37">
      <c r="A156" s="4" t="s">
        <v>155</v>
      </c>
    </row>
    <row r="157" spans="1:37">
      <c r="A157" s="4" t="s">
        <v>156</v>
      </c>
    </row>
    <row r="158" spans="1:37">
      <c r="A158" s="11" t="s">
        <v>240</v>
      </c>
    </row>
    <row r="159" spans="1:37">
      <c r="A159" s="4" t="s">
        <v>154</v>
      </c>
    </row>
    <row r="160" spans="1:37">
      <c r="A160" s="4" t="s">
        <v>155</v>
      </c>
    </row>
    <row r="161" spans="1:1">
      <c r="A161" s="4" t="s">
        <v>156</v>
      </c>
    </row>
    <row r="162" spans="1:1">
      <c r="A162" s="11" t="s">
        <v>241</v>
      </c>
    </row>
    <row r="163" spans="1:1">
      <c r="A163" s="4" t="s">
        <v>154</v>
      </c>
    </row>
    <row r="164" spans="1:1">
      <c r="A164" s="4" t="s">
        <v>155</v>
      </c>
    </row>
    <row r="165" spans="1:1">
      <c r="A165" s="4" t="s">
        <v>156</v>
      </c>
    </row>
    <row r="166" spans="1:1">
      <c r="A166" s="11" t="s">
        <v>273</v>
      </c>
    </row>
    <row r="167" spans="1:1">
      <c r="A167" s="4" t="s">
        <v>154</v>
      </c>
    </row>
    <row r="168" spans="1:1">
      <c r="A168" s="4" t="s">
        <v>155</v>
      </c>
    </row>
    <row r="169" spans="1:1">
      <c r="A169" s="4" t="s">
        <v>156</v>
      </c>
    </row>
    <row r="170" spans="1:1">
      <c r="A170" s="11" t="s">
        <v>272</v>
      </c>
    </row>
    <row r="171" spans="1:1">
      <c r="A171" s="4" t="s">
        <v>154</v>
      </c>
    </row>
    <row r="172" spans="1:1">
      <c r="A172" s="4" t="s">
        <v>155</v>
      </c>
    </row>
    <row r="173" spans="1:1">
      <c r="A173" s="4" t="s">
        <v>156</v>
      </c>
    </row>
    <row r="174" spans="1:1">
      <c r="A174" s="11" t="s">
        <v>161</v>
      </c>
    </row>
    <row r="175" spans="1:1">
      <c r="A175" s="4" t="s">
        <v>154</v>
      </c>
    </row>
    <row r="176" spans="1:1">
      <c r="A176" s="4" t="s">
        <v>155</v>
      </c>
    </row>
    <row r="177" spans="1:37">
      <c r="A177" s="4" t="s">
        <v>156</v>
      </c>
    </row>
    <row r="178" spans="1:37">
      <c r="A178" s="4"/>
    </row>
    <row r="179" spans="1:37">
      <c r="A179" s="8" t="s">
        <v>141</v>
      </c>
    </row>
    <row r="180" spans="1:37">
      <c r="A180" s="4"/>
    </row>
    <row r="181" spans="1:37">
      <c r="A181" s="10" t="s">
        <v>139</v>
      </c>
      <c r="B181">
        <v>61772099</v>
      </c>
      <c r="C181">
        <v>126793870</v>
      </c>
      <c r="D181">
        <v>137718348</v>
      </c>
      <c r="E181">
        <v>147536115</v>
      </c>
      <c r="F181">
        <v>156453716</v>
      </c>
      <c r="G181">
        <v>171280143</v>
      </c>
      <c r="H181">
        <v>181858635</v>
      </c>
      <c r="I181">
        <v>193010667</v>
      </c>
      <c r="J181">
        <v>207850309</v>
      </c>
      <c r="K181">
        <v>222755347</v>
      </c>
      <c r="L181">
        <v>252207212</v>
      </c>
      <c r="M181">
        <v>276782482</v>
      </c>
      <c r="N181">
        <v>317502585</v>
      </c>
      <c r="O181">
        <v>343899563</v>
      </c>
      <c r="P181">
        <v>372604504</v>
      </c>
      <c r="Q181">
        <v>401590000</v>
      </c>
      <c r="R181">
        <v>419628000</v>
      </c>
      <c r="S181">
        <v>448067000</v>
      </c>
      <c r="T181">
        <v>461001000</v>
      </c>
      <c r="U181">
        <v>470820000</v>
      </c>
      <c r="V181">
        <v>501898000</v>
      </c>
      <c r="W181">
        <v>553544000</v>
      </c>
      <c r="X181">
        <v>603951000</v>
      </c>
      <c r="Y181">
        <v>660982000</v>
      </c>
      <c r="Z181">
        <v>716721000</v>
      </c>
      <c r="AA181">
        <v>770782000</v>
      </c>
      <c r="AB181">
        <v>838300000</v>
      </c>
      <c r="AC181">
        <v>883963000</v>
      </c>
      <c r="AD181">
        <v>924444000</v>
      </c>
      <c r="AE181">
        <v>1047688000</v>
      </c>
      <c r="AF181">
        <v>1120514000</v>
      </c>
      <c r="AG181">
        <v>1165724000</v>
      </c>
      <c r="AH181">
        <v>1122326000</v>
      </c>
      <c r="AI181">
        <v>1182696000</v>
      </c>
      <c r="AJ181">
        <v>1255703000</v>
      </c>
      <c r="AK181">
        <v>1394638000</v>
      </c>
    </row>
    <row r="182" spans="1:37">
      <c r="A182" s="3" t="s">
        <v>238</v>
      </c>
      <c r="B182">
        <v>6723273</v>
      </c>
      <c r="C182">
        <v>18478408</v>
      </c>
      <c r="D182">
        <v>15879834</v>
      </c>
      <c r="E182">
        <v>13460539</v>
      </c>
      <c r="F182">
        <v>14467551</v>
      </c>
      <c r="G182">
        <v>16128236</v>
      </c>
      <c r="H182">
        <v>15900865</v>
      </c>
      <c r="I182">
        <v>12497517</v>
      </c>
      <c r="J182">
        <v>14271832</v>
      </c>
      <c r="K182">
        <v>20010677</v>
      </c>
      <c r="L182">
        <v>21456890</v>
      </c>
      <c r="M182">
        <v>23198059</v>
      </c>
      <c r="N182">
        <v>19638798</v>
      </c>
      <c r="O182">
        <v>28036254</v>
      </c>
      <c r="P182">
        <v>9358671</v>
      </c>
      <c r="Q182">
        <v>28387000</v>
      </c>
      <c r="R182">
        <v>22820000</v>
      </c>
      <c r="S182">
        <v>22366000</v>
      </c>
      <c r="T182">
        <v>20303000</v>
      </c>
      <c r="U182">
        <v>13724000</v>
      </c>
      <c r="V182">
        <v>12056000</v>
      </c>
      <c r="W182">
        <v>8065000</v>
      </c>
      <c r="X182">
        <v>26027000</v>
      </c>
      <c r="Y182">
        <v>39572000</v>
      </c>
      <c r="Z182">
        <v>45650000</v>
      </c>
      <c r="AA182">
        <v>63660000</v>
      </c>
      <c r="AB182">
        <v>121521000</v>
      </c>
      <c r="AC182">
        <v>43613000</v>
      </c>
      <c r="AD182">
        <v>36085000</v>
      </c>
      <c r="AE182">
        <v>-56566000</v>
      </c>
      <c r="AF182">
        <v>-5631000</v>
      </c>
      <c r="AG182">
        <v>-72937000</v>
      </c>
      <c r="AH182">
        <v>-34047000</v>
      </c>
      <c r="AI182">
        <v>-70097000</v>
      </c>
      <c r="AJ182">
        <v>-6442000</v>
      </c>
      <c r="AK182">
        <v>90472000</v>
      </c>
    </row>
    <row r="183" spans="1:37">
      <c r="A183" s="10" t="s">
        <v>140</v>
      </c>
      <c r="B183">
        <v>1669867</v>
      </c>
      <c r="C183">
        <v>77817445</v>
      </c>
      <c r="D183">
        <v>80010650</v>
      </c>
      <c r="E183">
        <v>81128473</v>
      </c>
      <c r="F183">
        <v>71806829</v>
      </c>
      <c r="G183">
        <v>96954571</v>
      </c>
      <c r="H183">
        <v>88229061</v>
      </c>
      <c r="I183">
        <v>82316566</v>
      </c>
      <c r="J183">
        <v>82790900</v>
      </c>
      <c r="K183">
        <v>89947250</v>
      </c>
      <c r="L183">
        <v>91039856</v>
      </c>
      <c r="M183">
        <v>102266816</v>
      </c>
      <c r="N183">
        <v>113269447</v>
      </c>
      <c r="O183">
        <v>125690183</v>
      </c>
      <c r="P183">
        <v>115629625</v>
      </c>
      <c r="Q183">
        <v>124778000</v>
      </c>
      <c r="R183">
        <v>114928000</v>
      </c>
      <c r="S183">
        <v>119120000</v>
      </c>
      <c r="T183">
        <v>132415000</v>
      </c>
      <c r="U183">
        <v>147457000</v>
      </c>
      <c r="V183">
        <v>161409000</v>
      </c>
      <c r="W183">
        <v>159248000</v>
      </c>
      <c r="X183">
        <v>175904000</v>
      </c>
      <c r="Y183">
        <v>197304000</v>
      </c>
      <c r="Z183">
        <v>211515000</v>
      </c>
      <c r="AA183">
        <v>225558000</v>
      </c>
      <c r="AB183">
        <v>251999000</v>
      </c>
      <c r="AC183">
        <v>217357000</v>
      </c>
      <c r="AD183">
        <v>230697000</v>
      </c>
      <c r="AE183">
        <v>250946000</v>
      </c>
      <c r="AF183">
        <v>308657000</v>
      </c>
      <c r="AG183">
        <v>274412000</v>
      </c>
      <c r="AH183">
        <v>257958000</v>
      </c>
      <c r="AI183">
        <v>249504000</v>
      </c>
      <c r="AJ183">
        <v>250419000</v>
      </c>
      <c r="AK183">
        <v>293676000</v>
      </c>
    </row>
    <row r="184" spans="1:37">
      <c r="A184" s="1"/>
    </row>
    <row r="185" spans="1:37">
      <c r="A185" s="8" t="s">
        <v>252</v>
      </c>
    </row>
    <row r="186" spans="1:37">
      <c r="A186" s="3" t="s">
        <v>253</v>
      </c>
      <c r="B186">
        <f>SUMIFS('Federal Data'!M2:M501,'Federal Data'!$F2:$F501,"Contributions to Government Retirement and Disability Fund",'Federal Data'!$D2:$D501,"Nongrant")</f>
        <v>-14388585</v>
      </c>
      <c r="C186">
        <f>SUMIFS('Federal Data'!N2:N501,'Federal Data'!$F2:$F501,"Contributions to Government Retirement and Disability Fund",'Federal Data'!$D2:$D501,"Nongrant")</f>
        <v>-16141176</v>
      </c>
      <c r="D186">
        <f>SUMIFS('Federal Data'!O2:O501,'Federal Data'!$F2:$F501,"Contributions to Government Retirement and Disability Fund",'Federal Data'!$D2:$D501,"Nongrant")</f>
        <v>-17806303</v>
      </c>
      <c r="E186">
        <f>SUMIFS('Federal Data'!P2:P501,'Federal Data'!$F2:$F501,"Contributions to Government Retirement and Disability Fund",'Federal Data'!$D2:$D501,"Nongrant")</f>
        <v>-20652280</v>
      </c>
      <c r="F186">
        <f>SUMIFS('Federal Data'!Q2:Q501,'Federal Data'!$F2:$F501,"Contributions to Government Retirement and Disability Fund",'Federal Data'!$D2:$D501,"Nongrant")</f>
        <v>-21913457</v>
      </c>
      <c r="G186">
        <f>SUMIFS('Federal Data'!R2:R501,'Federal Data'!$F2:$F501,"Contributions to Government Retirement and Disability Fund",'Federal Data'!$D2:$D501,"Nongrant")</f>
        <v>-23198583</v>
      </c>
      <c r="H186">
        <f>SUMIFS('Federal Data'!S2:S501,'Federal Data'!$F2:$F501,"Contributions to Government Retirement and Disability Fund",'Federal Data'!$D2:$D501,"Nongrant")</f>
        <v>-23830209</v>
      </c>
      <c r="I186">
        <f>SUMIFS('Federal Data'!T2:T501,'Federal Data'!$F2:$F501,"Contributions to Government Retirement and Disability Fund",'Federal Data'!$D2:$D501,"Nongrant")</f>
        <v>-25559200</v>
      </c>
      <c r="J186">
        <f>SUMIFS('Federal Data'!U2:U501,'Federal Data'!$F2:$F501,"Contributions to Government Retirement and Disability Fund",'Federal Data'!$D2:$D501,"Nongrant")</f>
        <v>-27543842</v>
      </c>
      <c r="K186">
        <f>SUMIFS('Federal Data'!V2:V501,'Federal Data'!$F2:$F501,"Contributions to Government Retirement and Disability Fund",'Federal Data'!$D2:$D501,"Nongrant")</f>
        <v>-27838466</v>
      </c>
      <c r="L186">
        <f>SUMIFS('Federal Data'!W2:W501,'Federal Data'!$F2:$F501,"Contributions to Government Retirement and Disability Fund",'Federal Data'!$D2:$D501,"Nongrant")</f>
        <v>-26498406</v>
      </c>
      <c r="M186">
        <f>SUMIFS('Federal Data'!X2:X501,'Federal Data'!$F2:$F501,"Contributions to Government Retirement and Disability Fund",'Federal Data'!$D2:$D501,"Nongrant")</f>
        <v>-28679189</v>
      </c>
      <c r="N186">
        <f>SUMIFS('Federal Data'!Y2:Y501,'Federal Data'!$F2:$F501,"Contributions to Government Retirement and Disability Fund",'Federal Data'!$D2:$D501,"Nongrant")</f>
        <v>-28804719</v>
      </c>
      <c r="O186">
        <f>SUMIFS('Federal Data'!Z2:Z501,'Federal Data'!$F2:$F501,"Contributions to Government Retirement and Disability Fund",'Federal Data'!$D2:$D501,"Nongrant")</f>
        <v>-26231465</v>
      </c>
      <c r="P186">
        <f>SUMIFS('Federal Data'!AA2:AA501,'Federal Data'!$F2:$F501,"Contributions to Government Retirement and Disability Fund",'Federal Data'!$D2:$D501,"Nongrant")</f>
        <v>-26337981</v>
      </c>
      <c r="Q186">
        <f>SUMIFS('Federal Data'!AB2:AB501,'Federal Data'!$F2:$F501,"Contributions to Government Retirement and Disability Fund",'Federal Data'!$D2:$D501,"Nongrant")</f>
        <v>-25865000</v>
      </c>
      <c r="R186">
        <f>SUMIFS('Federal Data'!AC2:AC501,'Federal Data'!$F2:$F501,"Contributions to Government Retirement and Disability Fund",'Federal Data'!$D2:$D501,"Nongrant")</f>
        <v>-25260000</v>
      </c>
      <c r="S186">
        <f>SUMIFS('Federal Data'!AD2:AD501,'Federal Data'!$F2:$F501,"Contributions to Government Retirement and Disability Fund",'Federal Data'!$D2:$D501,"Nongrant")</f>
        <v>-25678000</v>
      </c>
      <c r="T186">
        <f>SUMIFS('Federal Data'!AE2:AE501,'Federal Data'!$F2:$F501,"Contributions to Government Retirement and Disability Fund",'Federal Data'!$D2:$D501,"Nongrant")</f>
        <v>-25670000</v>
      </c>
      <c r="U186">
        <f>SUMIFS('Federal Data'!AF2:AF501,'Federal Data'!$F2:$F501,"Contributions to Government Retirement and Disability Fund",'Federal Data'!$D2:$D501,"Nongrant")</f>
        <v>-25968000</v>
      </c>
      <c r="V186">
        <f>SUMIFS('Federal Data'!AG2:AG501,'Federal Data'!$F2:$F501,"Contributions to Government Retirement and Disability Fund",'Federal Data'!$D2:$D501,"Nongrant")</f>
        <v>-27595000</v>
      </c>
      <c r="W186">
        <f>SUMIFS('Federal Data'!AH2:AH501,'Federal Data'!$F2:$F501,"Contributions to Government Retirement and Disability Fund",'Federal Data'!$D2:$D501,"Nongrant")</f>
        <v>-28190000</v>
      </c>
      <c r="X186">
        <f>SUMIFS('Federal Data'!AI2:AI501,'Federal Data'!$F2:$F501,"Contributions to Government Retirement and Disability Fund",'Federal Data'!$D2:$D501,"Nongrant")</f>
        <v>-30576000</v>
      </c>
      <c r="Y186">
        <f>SUMIFS('Federal Data'!AJ2:AJ501,'Federal Data'!$F2:$F501,"Contributions to Government Retirement and Disability Fund",'Federal Data'!$D2:$D501,"Nongrant")</f>
        <v>-36702000</v>
      </c>
      <c r="Z186">
        <f>SUMIFS('Federal Data'!AK2:AK501,'Federal Data'!$F2:$F501,"Contributions to Government Retirement and Disability Fund",'Federal Data'!$D2:$D501,"Nongrant")</f>
        <v>-39580000</v>
      </c>
      <c r="AA186">
        <f>SUMIFS('Federal Data'!AL2:AL501,'Federal Data'!$F2:$F501,"Contributions to Government Retirement and Disability Fund",'Federal Data'!$D2:$D501,"Nongrant")</f>
        <v>-44675000</v>
      </c>
      <c r="AB186">
        <f>SUMIFS('Federal Data'!AM2:AM501,'Federal Data'!$F2:$F501,"Contributions to Government Retirement and Disability Fund",'Federal Data'!$D2:$D501,"Nongrant")</f>
        <v>-45827000</v>
      </c>
      <c r="AC186">
        <f>SUMIFS('Federal Data'!AN2:AN501,'Federal Data'!$F2:$F501,"Contributions to Government Retirement and Disability Fund",'Federal Data'!$D2:$D501,"Nongrant")</f>
        <v>-54296000</v>
      </c>
      <c r="AD186">
        <f>SUMIFS('Federal Data'!AO2:AO501,'Federal Data'!$F2:$F501,"Contributions to Government Retirement and Disability Fund",'Federal Data'!$D2:$D501,"Nongrant")</f>
        <v>-54931000</v>
      </c>
      <c r="AE186">
        <f>SUMIFS('Federal Data'!AP2:AP501,'Federal Data'!$F2:$F501,"Contributions to Government Retirement and Disability Fund",'Federal Data'!$D2:$D501,"Nongrant")</f>
        <v>-53896000</v>
      </c>
      <c r="AF186">
        <f>SUMIFS('Federal Data'!AQ2:AQ501,'Federal Data'!$F2:$F501,"Contributions to Government Retirement and Disability Fund",'Federal Data'!$D2:$D501,"Nongrant")</f>
        <v>-63558000</v>
      </c>
      <c r="AG186">
        <f>SUMIFS('Federal Data'!AR2:AR501,'Federal Data'!$F2:$F501,"Contributions to Government Retirement and Disability Fund",'Federal Data'!$D2:$D501,"Nongrant")</f>
        <v>-60556000</v>
      </c>
      <c r="AH186">
        <f>SUMIFS('Federal Data'!AS2:AS501,'Federal Data'!$F2:$F501,"Contributions to Government Retirement and Disability Fund",'Federal Data'!$D2:$D501,"Nongrant")</f>
        <v>-64254000</v>
      </c>
      <c r="AI186">
        <f>SUMIFS('Federal Data'!AT2:AT501,'Federal Data'!$F2:$F501,"Contributions to Government Retirement and Disability Fund",'Federal Data'!$D2:$D501,"Nongrant")</f>
        <v>-60977000</v>
      </c>
      <c r="AJ186">
        <f>SUMIFS('Federal Data'!AU2:AU501,'Federal Data'!$F2:$F501,"Contributions to Government Retirement and Disability Fund",'Federal Data'!$D2:$D501,"Nongrant")</f>
        <v>-59560000</v>
      </c>
      <c r="AK186">
        <f>SUMIFS('Federal Data'!AV2:AV501,'Federal Data'!$F2:$F501,"Contributions to Government Retirement and Disability Fund",'Federal Data'!$D2:$D501,"Nongrant")</f>
        <v>-61039000</v>
      </c>
    </row>
    <row r="187" spans="1:37">
      <c r="A187" s="3" t="s">
        <v>254</v>
      </c>
      <c r="B187">
        <f>SUMIFS('Federal Data'!M2:M501,'Federal Data'!$F2:$F501,"Employee Contributions for Retirement and DIsability")</f>
        <v>-3718733</v>
      </c>
      <c r="C187">
        <f>SUMIFS('Federal Data'!N2:N501,'Federal Data'!$F2:$F501,"Employee Contributions for Retirement and DIsability")</f>
        <v>-3984418</v>
      </c>
      <c r="D187">
        <f>SUMIFS('Federal Data'!O2:O501,'Federal Data'!$F2:$F501,"Employee Contributions for Retirement and DIsability")</f>
        <v>-4211749</v>
      </c>
      <c r="E187">
        <f>SUMIFS('Federal Data'!P2:P501,'Federal Data'!$F2:$F501,"Employee Contributions for Retirement and DIsability")</f>
        <v>-4428709</v>
      </c>
      <c r="F187">
        <f>SUMIFS('Federal Data'!Q2:Q501,'Federal Data'!$F2:$F501,"Employee Contributions for Retirement and DIsability")</f>
        <v>-4580301</v>
      </c>
      <c r="G187">
        <f>SUMIFS('Federal Data'!R2:R501,'Federal Data'!$F2:$F501,"Employee Contributions for Retirement and DIsability")</f>
        <v>-4758886</v>
      </c>
      <c r="H187">
        <f>SUMIFS('Federal Data'!S2:S501,'Federal Data'!$F2:$F501,"Employee Contributions for Retirement and DIsability")</f>
        <v>-4741637</v>
      </c>
      <c r="I187">
        <f>SUMIFS('Federal Data'!T2:T501,'Federal Data'!$F2:$F501,"Employee Contributions for Retirement and DIsability")</f>
        <v>-4714948</v>
      </c>
      <c r="J187">
        <f>SUMIFS('Federal Data'!U2:U501,'Federal Data'!$F2:$F501,"Employee Contributions for Retirement and DIsability")</f>
        <v>-4658432</v>
      </c>
      <c r="K187">
        <f>SUMIFS('Federal Data'!V2:V501,'Federal Data'!$F2:$F501,"Employee Contributions for Retirement and DIsability")</f>
        <v>-4546152</v>
      </c>
      <c r="L187">
        <f>SUMIFS('Federal Data'!W2:W501,'Federal Data'!$F2:$F501,"Employee Contributions for Retirement and DIsability")</f>
        <v>-4521568</v>
      </c>
      <c r="M187">
        <f>SUMIFS('Federal Data'!X2:X501,'Federal Data'!$F2:$F501,"Employee Contributions for Retirement and DIsability")</f>
        <v>-4567576</v>
      </c>
      <c r="N187">
        <f>SUMIFS('Federal Data'!Y2:Y501,'Federal Data'!$F2:$F501,"Employee Contributions for Retirement and DIsability")</f>
        <v>-4788098</v>
      </c>
      <c r="O187">
        <f>SUMIFS('Federal Data'!Z2:Z501,'Federal Data'!$F2:$F501,"Employee Contributions for Retirement and DIsability")</f>
        <v>-4804587</v>
      </c>
      <c r="P187">
        <f>SUMIFS('Federal Data'!AA2:AA501,'Federal Data'!$F2:$F501,"Employee Contributions for Retirement and DIsability")</f>
        <v>-4660949</v>
      </c>
      <c r="Q187">
        <f>SUMIFS('Federal Data'!AB2:AB501,'Federal Data'!$F2:$F501,"Employee Contributions for Retirement and DIsability")</f>
        <v>-4550000</v>
      </c>
      <c r="R187">
        <f>SUMIFS('Federal Data'!AC2:AC501,'Federal Data'!$F2:$F501,"Employee Contributions for Retirement and DIsability")</f>
        <v>-4469000</v>
      </c>
      <c r="S187">
        <f>SUMIFS('Federal Data'!AD2:AD501,'Federal Data'!$F2:$F501,"Employee Contributions for Retirement and DIsability")</f>
        <v>-4418000</v>
      </c>
      <c r="T187">
        <f>SUMIFS('Federal Data'!AE2:AE501,'Federal Data'!$F2:$F501,"Employee Contributions for Retirement and DIsability")</f>
        <v>-4333000</v>
      </c>
      <c r="U187">
        <f>SUMIFS('Federal Data'!AF2:AF501,'Federal Data'!$F2:$F501,"Employee Contributions for Retirement and DIsability")</f>
        <v>-4473000</v>
      </c>
      <c r="V187">
        <f>SUMIFS('Federal Data'!AG2:AG501,'Federal Data'!$F2:$F501,"Employee Contributions for Retirement and DIsability")</f>
        <v>-4761000</v>
      </c>
      <c r="W187">
        <f>SUMIFS('Federal Data'!AH2:AH501,'Federal Data'!$F2:$F501,"Employee Contributions for Retirement and DIsability")</f>
        <v>-4713000</v>
      </c>
      <c r="X187">
        <f>SUMIFS('Federal Data'!AI2:AI501,'Federal Data'!$F2:$F501,"Employee Contributions for Retirement and DIsability")</f>
        <v>-4594000</v>
      </c>
      <c r="Y187">
        <f>SUMIFS('Federal Data'!AJ2:AJ501,'Federal Data'!$F2:$F501,"Employee Contributions for Retirement and DIsability")</f>
        <v>-4631000</v>
      </c>
      <c r="Z187">
        <f>SUMIFS('Federal Data'!AK2:AK501,'Federal Data'!$F2:$F501,"Employee Contributions for Retirement and DIsability")</f>
        <v>-4594000</v>
      </c>
      <c r="AA187">
        <f>SUMIFS('Federal Data'!AL2:AL501,'Federal Data'!$F2:$F501,"Employee Contributions for Retirement and DIsability")</f>
        <v>-4459000</v>
      </c>
      <c r="AB187">
        <f>SUMIFS('Federal Data'!AM2:AM501,'Federal Data'!$F2:$F501,"Employee Contributions for Retirement and DIsability")</f>
        <v>-4358000</v>
      </c>
      <c r="AC187">
        <f>SUMIFS('Federal Data'!AN2:AN501,'Federal Data'!$F2:$F501,"Employee Contributions for Retirement and DIsability")</f>
        <v>-4258000</v>
      </c>
      <c r="AD187">
        <f>SUMIFS('Federal Data'!AO2:AO501,'Federal Data'!$F2:$F501,"Employee Contributions for Retirement and DIsability")</f>
        <v>-4169000</v>
      </c>
      <c r="AE187">
        <f>SUMIFS('Federal Data'!AP2:AP501,'Federal Data'!$F2:$F501,"Employee Contributions for Retirement and DIsability")</f>
        <v>-4143000</v>
      </c>
      <c r="AF187">
        <f>SUMIFS('Federal Data'!AQ2:AQ501,'Federal Data'!$F2:$F501,"Employee Contributions for Retirement and DIsability")</f>
        <v>-4097000</v>
      </c>
      <c r="AG187">
        <f>SUMIFS('Federal Data'!AR2:AR501,'Federal Data'!$F2:$F501,"Employee Contributions for Retirement and DIsability")</f>
        <v>-4035000</v>
      </c>
      <c r="AH187">
        <f>SUMIFS('Federal Data'!AS2:AS501,'Federal Data'!$F2:$F501,"Employee Contributions for Retirement and DIsability")</f>
        <v>-3740000</v>
      </c>
      <c r="AI187">
        <f>SUMIFS('Federal Data'!AT2:AT501,'Federal Data'!$F2:$F501,"Employee Contributions for Retirement and DIsability")</f>
        <v>-3564000</v>
      </c>
      <c r="AJ187">
        <f>SUMIFS('Federal Data'!AU2:AU501,'Federal Data'!$F2:$F501,"Employee Contributions for Retirement and DIsability")</f>
        <v>-3472000</v>
      </c>
      <c r="AK187">
        <f>SUMIFS('Federal Data'!AV2:AV501,'Federal Data'!$F2:$F501,"Employee Contributions for Retirement and DIsability")</f>
        <v>-3652000</v>
      </c>
    </row>
    <row r="188" spans="1:37">
      <c r="A188" s="3" t="s">
        <v>255</v>
      </c>
      <c r="B188">
        <f>SUMIFS('Federal Data'!M2:M501,'Federal Data'!$F2:$F501,"Employee Retirement and Disability Benefits",'Federal Data'!$D2:$D501,"Nongrant")</f>
        <v>27291545</v>
      </c>
      <c r="C188">
        <f>SUMIFS('Federal Data'!N2:N501,'Federal Data'!$F2:$F501,"Employee Retirement and Disability Benefits",'Federal Data'!$D2:$D501,"Nongrant")</f>
        <v>32183775</v>
      </c>
      <c r="D188">
        <f>SUMIFS('Federal Data'!O2:O501,'Federal Data'!$F2:$F501,"Employee Retirement and Disability Benefits",'Federal Data'!$D2:$D501,"Nongrant")</f>
        <v>35373841</v>
      </c>
      <c r="E188">
        <f>SUMIFS('Federal Data'!P2:P501,'Federal Data'!$F2:$F501,"Employee Retirement and Disability Benefits",'Federal Data'!$D2:$D501,"Nongrant")</f>
        <v>37623621</v>
      </c>
      <c r="F188">
        <f>SUMIFS('Federal Data'!Q2:Q501,'Federal Data'!$F2:$F501,"Employee Retirement and Disability Benefits",'Federal Data'!$D2:$D501,"Nongrant")</f>
        <v>39494300</v>
      </c>
      <c r="G188">
        <f>SUMIFS('Federal Data'!R2:R501,'Federal Data'!$F2:$F501,"Employee Retirement and Disability Benefits",'Federal Data'!$D2:$D501,"Nongrant")</f>
        <v>39912061</v>
      </c>
      <c r="H188">
        <f>SUMIFS('Federal Data'!S2:S501,'Federal Data'!$F2:$F501,"Employee Retirement and Disability Benefits",'Federal Data'!$D2:$D501,"Nongrant")</f>
        <v>42109868</v>
      </c>
      <c r="I188">
        <f>SUMIFS('Federal Data'!T2:T501,'Federal Data'!$F2:$F501,"Employee Retirement and Disability Benefits",'Federal Data'!$D2:$D501,"Nongrant")</f>
        <v>45663822</v>
      </c>
      <c r="J188">
        <f>SUMIFS('Federal Data'!U2:U501,'Federal Data'!$F2:$F501,"Employee Retirement and Disability Benefits",'Federal Data'!$D2:$D501,"Nongrant")</f>
        <v>48765083</v>
      </c>
      <c r="K188">
        <f>SUMIFS('Federal Data'!V2:V501,'Federal Data'!$F2:$F501,"Employee Retirement and Disability Benefits",'Federal Data'!$D2:$D501,"Nongrant")</f>
        <v>49928918</v>
      </c>
      <c r="L188">
        <f>SUMIFS('Federal Data'!W2:W501,'Federal Data'!$F2:$F501,"Employee Retirement and Disability Benefits",'Federal Data'!$D2:$D501,"Nongrant")</f>
        <v>53784454</v>
      </c>
      <c r="M188">
        <f>SUMIFS('Federal Data'!X2:X501,'Federal Data'!$F2:$F501,"Employee Retirement and Disability Benefits",'Federal Data'!$D2:$D501,"Nongrant")</f>
        <v>58578259</v>
      </c>
      <c r="N188">
        <f>SUMIFS('Federal Data'!Y2:Y501,'Federal Data'!$F2:$F501,"Employee Retirement and Disability Benefits",'Federal Data'!$D2:$D501,"Nongrant")</f>
        <v>60725666</v>
      </c>
      <c r="O188">
        <f>SUMIFS('Federal Data'!Z2:Z501,'Federal Data'!$F2:$F501,"Employee Retirement and Disability Benefits",'Federal Data'!$D2:$D501,"Nongrant")</f>
        <v>63105146</v>
      </c>
      <c r="P188">
        <f>SUMIFS('Federal Data'!AA2:AA501,'Federal Data'!$F2:$F501,"Employee Retirement and Disability Benefits",'Federal Data'!$D2:$D501,"Nongrant")</f>
        <v>65940147</v>
      </c>
      <c r="Q188">
        <f>SUMIFS('Federal Data'!AB2:AB501,'Federal Data'!$F2:$F501,"Employee Retirement and Disability Benefits",'Federal Data'!$D2:$D501,"Nongrant")</f>
        <v>69728000</v>
      </c>
      <c r="R188">
        <f>SUMIFS('Federal Data'!AC2:AC501,'Federal Data'!$F2:$F501,"Employee Retirement and Disability Benefits",'Federal Data'!$D2:$D501,"Nongrant")</f>
        <v>72395000</v>
      </c>
      <c r="S188">
        <f>SUMIFS('Federal Data'!AD2:AD501,'Federal Data'!$F2:$F501,"Employee Retirement and Disability Benefits",'Federal Data'!$D2:$D501,"Nongrant")</f>
        <v>76359000</v>
      </c>
      <c r="T188">
        <f>SUMIFS('Federal Data'!AE2:AE501,'Federal Data'!$F2:$F501,"Employee Retirement and Disability Benefits",'Federal Data'!$D2:$D501,"Nongrant")</f>
        <v>78205000</v>
      </c>
      <c r="U188">
        <f>SUMIFS('Federal Data'!AF2:AF501,'Federal Data'!$F2:$F501,"Employee Retirement and Disability Benefits",'Federal Data'!$D2:$D501,"Nongrant")</f>
        <v>80219000</v>
      </c>
      <c r="V188">
        <f>SUMIFS('Federal Data'!AG2:AG501,'Federal Data'!$F2:$F501,"Employee Retirement and Disability Benefits",'Federal Data'!$D2:$D501,"Nongrant")</f>
        <v>82209000</v>
      </c>
      <c r="W188">
        <f>SUMIFS('Federal Data'!AH2:AH501,'Federal Data'!$F2:$F501,"Employee Retirement and Disability Benefits",'Federal Data'!$D2:$D501,"Nongrant")</f>
        <v>85955000</v>
      </c>
      <c r="X188">
        <f>SUMIFS('Federal Data'!AI2:AI501,'Federal Data'!$F2:$F501,"Employee Retirement and Disability Benefits",'Federal Data'!$D2:$D501,"Nongrant")</f>
        <v>88726000</v>
      </c>
      <c r="Y188">
        <f>SUMIFS('Federal Data'!AJ2:AJ501,'Federal Data'!$F2:$F501,"Employee Retirement and Disability Benefits",'Federal Data'!$D2:$D501,"Nongrant")</f>
        <v>94896000</v>
      </c>
      <c r="Z188">
        <f>SUMIFS('Federal Data'!AK2:AK501,'Federal Data'!$F2:$F501,"Employee Retirement and Disability Benefits",'Federal Data'!$D2:$D501,"Nongrant")</f>
        <v>99772000</v>
      </c>
      <c r="AA188">
        <f>SUMIFS('Federal Data'!AL2:AL501,'Federal Data'!$F2:$F501,"Employee Retirement and Disability Benefits",'Federal Data'!$D2:$D501,"Nongrant")</f>
        <v>106036000</v>
      </c>
      <c r="AB188">
        <f>SUMIFS('Federal Data'!AM2:AM501,'Federal Data'!$F2:$F501,"Employee Retirement and Disability Benefits",'Federal Data'!$D2:$D501,"Nongrant")</f>
        <v>111780000</v>
      </c>
      <c r="AC188">
        <f>SUMIFS('Federal Data'!AN2:AN501,'Federal Data'!$F2:$F501,"Employee Retirement and Disability Benefits",'Federal Data'!$D2:$D501,"Nongrant")</f>
        <v>119412000</v>
      </c>
      <c r="AD188">
        <f>SUMIFS('Federal Data'!AO2:AO501,'Federal Data'!$F2:$F501,"Employee Retirement and Disability Benefits",'Federal Data'!$D2:$D501,"Nongrant")</f>
        <v>126354000</v>
      </c>
      <c r="AE188">
        <f>SUMIFS('Federal Data'!AP2:AP501,'Federal Data'!$F2:$F501,"Employee Retirement and Disability Benefits",'Federal Data'!$D2:$D501,"Nongrant")</f>
        <v>136156000</v>
      </c>
      <c r="AF188">
        <f>SUMIFS('Federal Data'!AQ2:AQ501,'Federal Data'!$F2:$F501,"Employee Retirement and Disability Benefits",'Federal Data'!$D2:$D501,"Nongrant")</f>
        <v>137337000</v>
      </c>
      <c r="AG188">
        <f>SUMIFS('Federal Data'!AR2:AR501,'Federal Data'!$F2:$F501,"Employee Retirement and Disability Benefits",'Federal Data'!$D2:$D501,"Nongrant")</f>
        <v>140749000</v>
      </c>
      <c r="AH188">
        <f>SUMIFS('Federal Data'!AS2:AS501,'Federal Data'!$F2:$F501,"Employee Retirement and Disability Benefits",'Federal Data'!$D2:$D501,"Nongrant")</f>
        <v>140183000</v>
      </c>
      <c r="AI188">
        <f>SUMIFS('Federal Data'!AT2:AT501,'Federal Data'!$F2:$F501,"Employee Retirement and Disability Benefits",'Federal Data'!$D2:$D501,"Nongrant")</f>
        <v>149200000</v>
      </c>
      <c r="AJ188">
        <f>SUMIFS('Federal Data'!AU2:AU501,'Federal Data'!$F2:$F501,"Employee Retirement and Disability Benefits",'Federal Data'!$D2:$D501,"Nongrant")</f>
        <v>155525000</v>
      </c>
      <c r="AK188">
        <f>SUMIFS('Federal Data'!AV2:AV501,'Federal Data'!$F2:$F501,"Employee Retirement and Disability Benefits",'Federal Data'!$D2:$D501,"Nongrant")</f>
        <v>161846000</v>
      </c>
    </row>
    <row r="191" spans="1:37">
      <c r="A191" s="1" t="s">
        <v>264</v>
      </c>
    </row>
    <row r="193" spans="1:1">
      <c r="A193" s="12" t="s">
        <v>265</v>
      </c>
    </row>
    <row r="194" spans="1:1">
      <c r="A194" s="14" t="s">
        <v>266</v>
      </c>
    </row>
    <row r="195" spans="1:1">
      <c r="A195" s="2" t="s">
        <v>267</v>
      </c>
    </row>
    <row r="196" spans="1:1">
      <c r="A196" s="2" t="s">
        <v>268</v>
      </c>
    </row>
    <row r="198" spans="1:1">
      <c r="A198" s="12" t="s">
        <v>269</v>
      </c>
    </row>
    <row r="199" spans="1:1">
      <c r="A199" s="14" t="s">
        <v>266</v>
      </c>
    </row>
    <row r="200" spans="1:1">
      <c r="A200" s="2" t="s">
        <v>267</v>
      </c>
    </row>
    <row r="201" spans="1:1">
      <c r="A201" s="2" t="s">
        <v>268</v>
      </c>
    </row>
    <row r="203" spans="1:1">
      <c r="A203" s="12" t="s">
        <v>270</v>
      </c>
    </row>
    <row r="204" spans="1:1">
      <c r="A204" s="14" t="s">
        <v>266</v>
      </c>
    </row>
    <row r="205" spans="1:1">
      <c r="A205" s="2" t="s">
        <v>267</v>
      </c>
    </row>
    <row r="206" spans="1:1">
      <c r="A206" s="2" t="s">
        <v>268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9"/>
  <sheetViews>
    <sheetView topLeftCell="A11" zoomScale="85" zoomScaleNormal="85" zoomScalePageLayoutView="85" workbookViewId="0">
      <selection activeCell="A94" sqref="A94"/>
    </sheetView>
  </sheetViews>
  <sheetFormatPr baseColWidth="10" defaultColWidth="8.83203125" defaultRowHeight="14" x14ac:dyDescent="0"/>
  <cols>
    <col min="1" max="1" width="75.33203125" bestFit="1" customWidth="1"/>
    <col min="2" max="2" width="10.1640625" customWidth="1"/>
    <col min="27" max="27" width="11.33203125" bestFit="1" customWidth="1"/>
    <col min="28" max="34" width="9.83203125" bestFit="1" customWidth="1"/>
    <col min="35" max="35" width="11.33203125" customWidth="1"/>
    <col min="36" max="36" width="11.83203125" customWidth="1"/>
  </cols>
  <sheetData>
    <row r="1" spans="1:36">
      <c r="A1" s="12" t="s">
        <v>242</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row>
    <row r="3" spans="1:36">
      <c r="A3" s="1" t="s">
        <v>0</v>
      </c>
      <c r="B3">
        <f>SUMIFS('S&amp;L Data'!N2:N500,'S&amp;L Data'!$B2:$B500,"Revenue")</f>
        <v>332580232</v>
      </c>
      <c r="C3">
        <f>SUMIFS('S&amp;L Data'!O2:O500,'S&amp;L Data'!$B2:$B500,"Revenue")</f>
        <v>367340355</v>
      </c>
      <c r="D3">
        <f>SUMIFS('S&amp;L Data'!P2:P500,'S&amp;L Data'!$B2:$B500,"Revenue")</f>
        <v>392213609</v>
      </c>
      <c r="E3">
        <f>SUMIFS('S&amp;L Data'!Q2:Q500,'S&amp;L Data'!$B2:$B500,"Revenue")</f>
        <v>422041154</v>
      </c>
      <c r="F3">
        <f>SUMIFS('S&amp;L Data'!R2:R500,'S&amp;L Data'!$B2:$B500,"Revenue")</f>
        <v>472883073</v>
      </c>
      <c r="G3">
        <f>SUMIFS('S&amp;L Data'!S2:S500,'S&amp;L Data'!$B2:$B500,"Revenue")</f>
        <v>521673966</v>
      </c>
      <c r="H3">
        <f>SUMIFS('S&amp;L Data'!T2:T500,'S&amp;L Data'!$B2:$B500,"Revenue")</f>
        <v>569569897</v>
      </c>
      <c r="I3">
        <f>SUMIFS('S&amp;L Data'!U2:U500,'S&amp;L Data'!$B2:$B500,"Revenue")</f>
        <v>614986381</v>
      </c>
      <c r="J3">
        <f>SUMIFS('S&amp;L Data'!V2:V500,'S&amp;L Data'!$B2:$B500,"Revenue")</f>
        <v>634019063</v>
      </c>
      <c r="K3">
        <f>SUMIFS('S&amp;L Data'!W2:W500,'S&amp;L Data'!$B2:$B500,"Revenue")</f>
        <v>677622906</v>
      </c>
      <c r="L3">
        <f>SUMIFS('S&amp;L Data'!X2:X500,'S&amp;L Data'!$B2:$B500,"Revenue")</f>
        <v>735090836</v>
      </c>
      <c r="M3">
        <f>SUMIFS('S&amp;L Data'!Y2:Y500,'S&amp;L Data'!$B2:$B500,"Revenue")</f>
        <v>768994038</v>
      </c>
      <c r="N3">
        <f>SUMIFS('S&amp;L Data'!Z2:Z500,'S&amp;L Data'!$B2:$B500,"Revenue")</f>
        <v>854279410</v>
      </c>
      <c r="O3">
        <f>SUMIFS('S&amp;L Data'!AA2:AA500,'S&amp;L Data'!$B2:$B500,"Revenue")</f>
        <v>916006055</v>
      </c>
      <c r="P3">
        <f>SUMIFS('S&amp;L Data'!AB2:AB500,'S&amp;L Data'!$B2:$B500,"Revenue")</f>
        <v>963324410</v>
      </c>
      <c r="Q3">
        <f>SUMIFS('S&amp;L Data'!AC2:AC500,'S&amp;L Data'!$B2:$B500,"Revenue")</f>
        <v>1020787563</v>
      </c>
      <c r="R3">
        <f>SUMIFS('S&amp;L Data'!AD2:AD500,'S&amp;L Data'!$B2:$B500,"Revenue")</f>
        <v>1099985730</v>
      </c>
      <c r="S3">
        <f>SUMIFS('S&amp;L Data'!AE2:AE500,'S&amp;L Data'!$B2:$B500,"Revenue")</f>
        <v>1184854271</v>
      </c>
      <c r="T3">
        <f>SUMIFS('S&amp;L Data'!AF2:AF500,'S&amp;L Data'!$B2:$B500,"Revenue")</f>
        <v>1286252899</v>
      </c>
      <c r="U3">
        <f>SUMIFS('S&amp;L Data'!AG2:AG500,'S&amp;L Data'!$B2:$B500,"Revenue")</f>
        <v>1344236247</v>
      </c>
      <c r="V3">
        <f>SUMIFS('S&amp;L Data'!AH2:AH500,'S&amp;L Data'!$B2:$B500,"Revenue")</f>
        <v>1468419578</v>
      </c>
      <c r="W3">
        <f>SUMIFS('S&amp;L Data'!AI2:AI500,'S&amp;L Data'!$B2:$B500,"Revenue")</f>
        <v>1377156539</v>
      </c>
      <c r="X3">
        <f>SUMIFS('S&amp;L Data'!AJ2:AJ500,'S&amp;L Data'!$B2:$B500,"Revenue")</f>
        <v>1275929976</v>
      </c>
      <c r="Y3">
        <f>SUMIFS('S&amp;L Data'!AK2:AK500,'S&amp;L Data'!$B2:$B500,"Revenue")</f>
        <v>1491940790</v>
      </c>
      <c r="Z3">
        <f>SUMIFS('S&amp;L Data'!AL2:AL500,'S&amp;L Data'!$B2:$B500,"Revenue")</f>
        <v>1846421945</v>
      </c>
      <c r="AA3">
        <f>SUMIFS('S&amp;L Data'!AM2:AM500,'S&amp;L Data'!$B2:$B500,"Revenue")</f>
        <v>1906488461</v>
      </c>
      <c r="AB3">
        <f>SUMIFS('S&amp;L Data'!AN2:AN500,'S&amp;L Data'!$B2:$B500,"Revenue")</f>
        <v>2060699366</v>
      </c>
      <c r="AC3">
        <f>SUMIFS('S&amp;L Data'!AO2:AO500,'S&amp;L Data'!$B2:$B500,"Revenue")</f>
        <v>2337460033</v>
      </c>
      <c r="AD3">
        <f>SUMIFS('S&amp;L Data'!AP2:AP500,'S&amp;L Data'!$B2:$B500,"Revenue")</f>
        <v>1857107202</v>
      </c>
      <c r="AE3">
        <f>SUMIFS('S&amp;L Data'!AQ2:AQ500,'S&amp;L Data'!$B2:$B500,"Revenue")</f>
        <v>1315990670</v>
      </c>
      <c r="AF3">
        <f>SUMIFS('S&amp;L Data'!AR2:AR500,'S&amp;L Data'!$B2:$B500,"Revenue")</f>
        <v>2366370265</v>
      </c>
      <c r="AG3">
        <f>SUMIFS('S&amp;L Data'!AS2:AS500,'S&amp;L Data'!$B2:$B500,"Revenue")</f>
        <v>2591873958</v>
      </c>
      <c r="AH3">
        <f>SUMIFS('S&amp;L Data'!AT2:AT500,'S&amp;L Data'!$B2:$B500,"Revenue")</f>
        <v>2197279318</v>
      </c>
      <c r="AI3">
        <f>SUMIFS('S&amp;L Data'!AU2:AU500,'S&amp;L Data'!$B2:$B500,"Revenue")</f>
        <v>2555340470</v>
      </c>
      <c r="AJ3">
        <f>SUMIFS('S&amp;L Data'!AV2:AV500,'S&amp;L Data'!$B2:$B500,"Revenue")</f>
        <v>2768561581</v>
      </c>
    </row>
    <row r="4" spans="1:36">
      <c r="A4" s="2" t="s">
        <v>1</v>
      </c>
      <c r="B4">
        <f>SUMIFS('S&amp;L Data'!N2:N500,'S&amp;L Data'!$C2:$C500,"Tax Revenue")</f>
        <v>224750420</v>
      </c>
      <c r="C4">
        <f>SUMIFS('S&amp;L Data'!O2:O500,'S&amp;L Data'!$C2:$C500,"Tax Revenue")</f>
        <v>245867614</v>
      </c>
      <c r="D4">
        <f>SUMIFS('S&amp;L Data'!P2:P500,'S&amp;L Data'!$C2:$C500,"Tax Revenue")</f>
        <v>267988794</v>
      </c>
      <c r="E4">
        <f>SUMIFS('S&amp;L Data'!Q2:Q500,'S&amp;L Data'!$C2:$C500,"Tax Revenue")</f>
        <v>286061026</v>
      </c>
      <c r="F4">
        <f>SUMIFS('S&amp;L Data'!R2:R500,'S&amp;L Data'!$C2:$C500,"Tax Revenue")</f>
        <v>322099215</v>
      </c>
      <c r="G4">
        <f>SUMIFS('S&amp;L Data'!S2:S500,'S&amp;L Data'!$C2:$C500,"Tax Revenue")</f>
        <v>352477089</v>
      </c>
      <c r="H4">
        <f>SUMIFS('S&amp;L Data'!T2:T500,'S&amp;L Data'!$C2:$C500,"Tax Revenue")</f>
        <v>375242153</v>
      </c>
      <c r="I4">
        <f>SUMIFS('S&amp;L Data'!U2:U500,'S&amp;L Data'!$C2:$C500,"Tax Revenue")</f>
        <v>407213848</v>
      </c>
      <c r="J4">
        <f>SUMIFS('S&amp;L Data'!V2:V500,'S&amp;L Data'!$C2:$C500,"Tax Revenue")</f>
        <v>438298831</v>
      </c>
      <c r="K4">
        <f>SUMIFS('S&amp;L Data'!W2:W500,'S&amp;L Data'!$C2:$C500,"Tax Revenue")</f>
        <v>471166068</v>
      </c>
      <c r="L4">
        <f>SUMIFS('S&amp;L Data'!X2:X500,'S&amp;L Data'!$C2:$C500,"Tax Revenue")</f>
        <v>504045161</v>
      </c>
      <c r="M4">
        <f>SUMIFS('S&amp;L Data'!Y2:Y500,'S&amp;L Data'!$C2:$C500,"Tax Revenue")</f>
        <v>527675385</v>
      </c>
      <c r="N4">
        <f>SUMIFS('S&amp;L Data'!Z2:Z500,'S&amp;L Data'!$C2:$C500,"Tax Revenue")</f>
        <v>562328331</v>
      </c>
      <c r="O4">
        <f>SUMIFS('S&amp;L Data'!AA2:AA500,'S&amp;L Data'!$C2:$C500,"Tax Revenue")</f>
        <v>596964377</v>
      </c>
      <c r="P4">
        <f>SUMIFS('S&amp;L Data'!AB2:AB500,'S&amp;L Data'!$C2:$C500,"Tax Revenue")</f>
        <v>628518432</v>
      </c>
      <c r="Q4">
        <f>SUMIFS('S&amp;L Data'!AC2:AC500,'S&amp;L Data'!$C2:$C500,"Tax Revenue")</f>
        <v>663682648</v>
      </c>
      <c r="R4">
        <f>SUMIFS('S&amp;L Data'!AD2:AD500,'S&amp;L Data'!$C2:$C500,"Tax Revenue")</f>
        <v>692114760</v>
      </c>
      <c r="S4">
        <f>SUMIFS('S&amp;L Data'!AE2:AE500,'S&amp;L Data'!$C2:$C500,"Tax Revenue")</f>
        <v>732032005</v>
      </c>
      <c r="T4">
        <f>SUMIFS('S&amp;L Data'!AF2:AF500,'S&amp;L Data'!$C2:$C500,"Tax Revenue")</f>
        <v>777740747</v>
      </c>
      <c r="U4">
        <f>SUMIFS('S&amp;L Data'!AG2:AG500,'S&amp;L Data'!$C2:$C500,"Tax Revenue")</f>
        <v>818969139</v>
      </c>
      <c r="V4">
        <f>SUMIFS('S&amp;L Data'!AH2:AH500,'S&amp;L Data'!$C2:$C500,"Tax Revenue")</f>
        <v>876166568</v>
      </c>
      <c r="W4">
        <f>SUMIFS('S&amp;L Data'!AI2:AI500,'S&amp;L Data'!$C2:$C500,"Tax Revenue")</f>
        <v>918051885</v>
      </c>
      <c r="X4">
        <f>SUMIFS('S&amp;L Data'!AJ2:AJ500,'S&amp;L Data'!$C2:$C500,"Tax Revenue")</f>
        <v>909880241</v>
      </c>
      <c r="Y4">
        <f>SUMIFS('S&amp;L Data'!AK2:AK500,'S&amp;L Data'!$C2:$C500,"Tax Revenue")</f>
        <v>944779994</v>
      </c>
      <c r="Z4">
        <f>SUMIFS('S&amp;L Data'!AL2:AL500,'S&amp;L Data'!$C2:$C500,"Tax Revenue")</f>
        <v>1016856625</v>
      </c>
      <c r="AA4">
        <f>SUMIFS('S&amp;L Data'!AM2:AM500,'S&amp;L Data'!$C2:$C500,"Tax Revenue")</f>
        <v>1104847536</v>
      </c>
      <c r="AB4">
        <f>SUMIFS('S&amp;L Data'!AN2:AN500,'S&amp;L Data'!$C2:$C500,"Tax Revenue")</f>
        <v>1212510134</v>
      </c>
      <c r="AC4">
        <f>SUMIFS('S&amp;L Data'!AO2:AO500,'S&amp;L Data'!$C2:$C500,"Tax Revenue")</f>
        <v>1290770635</v>
      </c>
      <c r="AD4">
        <f>SUMIFS('S&amp;L Data'!AP2:AP500,'S&amp;L Data'!$C2:$C500,"Tax Revenue")</f>
        <v>1337068599</v>
      </c>
      <c r="AE4">
        <f>SUMIFS('S&amp;L Data'!AQ2:AQ500,'S&amp;L Data'!$C2:$C500,"Tax Revenue")</f>
        <v>1288994466</v>
      </c>
      <c r="AF4">
        <f>SUMIFS('S&amp;L Data'!AR2:AR500,'S&amp;L Data'!$C2:$C500,"Tax Revenue")</f>
        <v>1285847717</v>
      </c>
      <c r="AG4">
        <f>SUMIFS('S&amp;L Data'!AS2:AS500,'S&amp;L Data'!$C2:$C500,"Tax Revenue")</f>
        <v>1351019860</v>
      </c>
      <c r="AH4">
        <f>SUMIFS('S&amp;L Data'!AT2:AT500,'S&amp;L Data'!$C2:$C500,"Tax Revenue")</f>
        <v>1395296821</v>
      </c>
      <c r="AI4">
        <f>SUMIFS('S&amp;L Data'!AU2:AU500,'S&amp;L Data'!$C2:$C500,"Tax Revenue")</f>
        <v>1458767411</v>
      </c>
      <c r="AJ4">
        <f>SUMIFS('S&amp;L Data'!AV2:AV500,'S&amp;L Data'!$C2:$C500,"Tax Revenue")</f>
        <v>1498597655</v>
      </c>
    </row>
    <row r="5" spans="1:36">
      <c r="A5" s="3" t="s">
        <v>3</v>
      </c>
      <c r="B5">
        <f>SUMIFS('S&amp;L Data'!N2:N500,'S&amp;L Data'!$D2:$D500,"Individual Income Taxes")</f>
        <v>42079764</v>
      </c>
      <c r="C5">
        <f>SUMIFS('S&amp;L Data'!O2:O500,'S&amp;L Data'!$D2:$D500,"Individual Income Taxes")</f>
        <v>46426426</v>
      </c>
      <c r="D5">
        <f>SUMIFS('S&amp;L Data'!P2:P500,'S&amp;L Data'!$D2:$D500,"Individual Income Taxes")</f>
        <v>50738164</v>
      </c>
      <c r="E5">
        <f>SUMIFS('S&amp;L Data'!Q2:Q500,'S&amp;L Data'!$D2:$D500,"Individual Income Taxes")</f>
        <v>55128927</v>
      </c>
      <c r="F5">
        <f>SUMIFS('S&amp;L Data'!R2:R500,'S&amp;L Data'!$D2:$D500,"Individual Income Taxes")</f>
        <v>64871351</v>
      </c>
      <c r="G5">
        <f>SUMIFS('S&amp;L Data'!S2:S500,'S&amp;L Data'!$D2:$D500,"Individual Income Taxes")</f>
        <v>70361403</v>
      </c>
      <c r="H5">
        <f>SUMIFS('S&amp;L Data'!T2:T500,'S&amp;L Data'!$D2:$D500,"Individual Income Taxes")</f>
        <v>74364912</v>
      </c>
      <c r="I5">
        <f>SUMIFS('S&amp;L Data'!U2:U500,'S&amp;L Data'!$D2:$D500,"Individual Income Taxes")</f>
        <v>83934727</v>
      </c>
      <c r="J5">
        <f>SUMIFS('S&amp;L Data'!V2:V500,'S&amp;L Data'!$D2:$D500,"Individual Income Taxes")</f>
        <v>88349539</v>
      </c>
      <c r="K5">
        <f>SUMIFS('S&amp;L Data'!W2:W500,'S&amp;L Data'!$D2:$D500,"Individual Income Taxes")</f>
        <v>97805749</v>
      </c>
      <c r="L5">
        <f>SUMIFS('S&amp;L Data'!X2:X500,'S&amp;L Data'!$D2:$D500,"Individual Income Taxes")</f>
        <v>105639737</v>
      </c>
      <c r="M5">
        <f>SUMIFS('S&amp;L Data'!Y2:Y500,'S&amp;L Data'!$D2:$D500,"Individual Income Taxes")</f>
        <v>109340832</v>
      </c>
      <c r="N5">
        <f>SUMIFS('S&amp;L Data'!Z2:Z500,'S&amp;L Data'!$D2:$D500,"Individual Income Taxes")</f>
        <v>115564827</v>
      </c>
      <c r="O5">
        <f>SUMIFS('S&amp;L Data'!AA2:AA500,'S&amp;L Data'!$D2:$D500,"Individual Income Taxes")</f>
        <v>123235406</v>
      </c>
      <c r="P5">
        <f>SUMIFS('S&amp;L Data'!AB2:AB500,'S&amp;L Data'!$D2:$D500,"Individual Income Taxes")</f>
        <v>128809920</v>
      </c>
      <c r="Q5">
        <f>SUMIFS('S&amp;L Data'!AC2:AC500,'S&amp;L Data'!$D2:$D500,"Individual Income Taxes")</f>
        <v>137930595</v>
      </c>
      <c r="R5">
        <f>SUMIFS('S&amp;L Data'!AD2:AD500,'S&amp;L Data'!$D2:$D500,"Individual Income Taxes")</f>
        <v>146842248</v>
      </c>
      <c r="S5">
        <f>SUMIFS('S&amp;L Data'!AE2:AE500,'S&amp;L Data'!$D2:$D500,"Individual Income Taxes")</f>
        <v>159069891</v>
      </c>
      <c r="T5">
        <f>SUMIFS('S&amp;L Data'!AF2:AF500,'S&amp;L Data'!$D2:$D500,"Individual Income Taxes")</f>
        <v>175630035</v>
      </c>
      <c r="U5">
        <f>SUMIFS('S&amp;L Data'!AG2:AG500,'S&amp;L Data'!$D2:$D500,"Individual Income Taxes")</f>
        <v>189308854</v>
      </c>
      <c r="V5">
        <f>SUMIFS('S&amp;L Data'!AH2:AH500,'S&amp;L Data'!$D2:$D500,"Individual Income Taxes")</f>
        <v>211660682</v>
      </c>
      <c r="W5">
        <f>SUMIFS('S&amp;L Data'!AI2:AI500,'S&amp;L Data'!$D2:$D500,"Individual Income Taxes")</f>
        <v>226333547</v>
      </c>
      <c r="X5">
        <f>SUMIFS('S&amp;L Data'!AJ2:AJ500,'S&amp;L Data'!$D2:$D500,"Individual Income Taxes")</f>
        <v>202832254</v>
      </c>
      <c r="Y5">
        <f>SUMIFS('S&amp;L Data'!AK2:AK500,'S&amp;L Data'!$D2:$D500,"Individual Income Taxes")</f>
        <v>199407020</v>
      </c>
      <c r="Z5">
        <f>SUMIFS('S&amp;L Data'!AL2:AL500,'S&amp;L Data'!$D2:$D500,"Individual Income Taxes")</f>
        <v>215214769</v>
      </c>
      <c r="AA5">
        <f>SUMIFS('S&amp;L Data'!AM2:AM500,'S&amp;L Data'!$D2:$D500,"Individual Income Taxes")</f>
        <v>242273042</v>
      </c>
      <c r="AB5">
        <f>SUMIFS('S&amp;L Data'!AN2:AN500,'S&amp;L Data'!$D2:$D500,"Individual Income Taxes")</f>
        <v>268667132</v>
      </c>
      <c r="AC5">
        <f>SUMIFS('S&amp;L Data'!AO2:AO500,'S&amp;L Data'!$D2:$D500,"Individual Income Taxes")</f>
        <v>290278113</v>
      </c>
      <c r="AD5">
        <f>SUMIFS('S&amp;L Data'!AP2:AP500,'S&amp;L Data'!$D2:$D500,"Individual Income Taxes")</f>
        <v>304902076</v>
      </c>
      <c r="AE5">
        <f>SUMIFS('S&amp;L Data'!AQ2:AQ500,'S&amp;L Data'!$D2:$D500,"Individual Income Taxes")</f>
        <v>270941521</v>
      </c>
      <c r="AF5">
        <f>SUMIFS('S&amp;L Data'!AR2:AR500,'S&amp;L Data'!$D2:$D500,"Individual Income Taxes")</f>
        <v>261510473</v>
      </c>
      <c r="AG5">
        <f>SUMIFS('S&amp;L Data'!AS2:AS500,'S&amp;L Data'!$D2:$D500,"Individual Income Taxes")</f>
        <v>285293135</v>
      </c>
      <c r="AH5">
        <f>SUMIFS('S&amp;L Data'!AT2:AT500,'S&amp;L Data'!$D2:$D500,"Individual Income Taxes")</f>
        <v>307255616</v>
      </c>
      <c r="AI5">
        <f>SUMIFS('S&amp;L Data'!AU2:AU500,'S&amp;L Data'!$D2:$D500,"Individual Income Taxes")</f>
        <v>338709576</v>
      </c>
      <c r="AJ5">
        <f>SUMIFS('S&amp;L Data'!AV2:AV500,'S&amp;L Data'!$D2:$D500,"Individual Income Taxes")</f>
        <v>341135706</v>
      </c>
    </row>
    <row r="6" spans="1:36">
      <c r="A6" s="3" t="s">
        <v>4</v>
      </c>
      <c r="B6">
        <f>SUMIFS('S&amp;L Data'!N2:N500,'S&amp;L Data'!$D2:$D500,"Corporate Income Taxes")</f>
        <v>13321331</v>
      </c>
      <c r="C6">
        <f>SUMIFS('S&amp;L Data'!O2:O500,'S&amp;L Data'!$D2:$D500,"Corporate Income Taxes")</f>
        <v>14143497</v>
      </c>
      <c r="D6">
        <f>SUMIFS('S&amp;L Data'!P2:P500,'S&amp;L Data'!$D2:$D500,"Corporate Income Taxes")</f>
        <v>15028326</v>
      </c>
      <c r="E6">
        <f>SUMIFS('S&amp;L Data'!Q2:Q500,'S&amp;L Data'!$D2:$D500,"Corporate Income Taxes")</f>
        <v>14257647</v>
      </c>
      <c r="F6">
        <f>SUMIFS('S&amp;L Data'!R2:R500,'S&amp;L Data'!$D2:$D500,"Corporate Income Taxes")</f>
        <v>16798087</v>
      </c>
      <c r="G6">
        <f>SUMIFS('S&amp;L Data'!S2:S500,'S&amp;L Data'!$D2:$D500,"Corporate Income Taxes")</f>
        <v>19152186</v>
      </c>
      <c r="H6">
        <f>SUMIFS('S&amp;L Data'!T2:T500,'S&amp;L Data'!$D2:$D500,"Corporate Income Taxes")</f>
        <v>19994145</v>
      </c>
      <c r="I6">
        <f>SUMIFS('S&amp;L Data'!U2:U500,'S&amp;L Data'!$D2:$D500,"Corporate Income Taxes")</f>
        <v>22424627</v>
      </c>
      <c r="J6">
        <f>SUMIFS('S&amp;L Data'!V2:V500,'S&amp;L Data'!$D2:$D500,"Corporate Income Taxes")</f>
        <v>23663438</v>
      </c>
      <c r="K6">
        <f>SUMIFS('S&amp;L Data'!W2:W500,'S&amp;L Data'!$D2:$D500,"Corporate Income Taxes")</f>
        <v>25925885</v>
      </c>
      <c r="L6">
        <f>SUMIFS('S&amp;L Data'!X2:X500,'S&amp;L Data'!$D2:$D500,"Corporate Income Taxes")</f>
        <v>23566322</v>
      </c>
      <c r="M6">
        <f>SUMIFS('S&amp;L Data'!Y2:Y500,'S&amp;L Data'!$D2:$D500,"Corporate Income Taxes")</f>
        <v>22242445</v>
      </c>
      <c r="N6">
        <f>SUMIFS('S&amp;L Data'!Z2:Z500,'S&amp;L Data'!$D2:$D500,"Corporate Income Taxes")</f>
        <v>23870449</v>
      </c>
      <c r="O6">
        <f>SUMIFS('S&amp;L Data'!AA2:AA500,'S&amp;L Data'!$D2:$D500,"Corporate Income Taxes")</f>
        <v>26417292</v>
      </c>
      <c r="P6">
        <f>SUMIFS('S&amp;L Data'!AB2:AB500,'S&amp;L Data'!$D2:$D500,"Corporate Income Taxes")</f>
        <v>28319516</v>
      </c>
      <c r="Q6">
        <f>SUMIFS('S&amp;L Data'!AC2:AC500,'S&amp;L Data'!$D2:$D500,"Corporate Income Taxes")</f>
        <v>31405814</v>
      </c>
      <c r="R6">
        <f>SUMIFS('S&amp;L Data'!AD2:AD500,'S&amp;L Data'!$D2:$D500,"Corporate Income Taxes")</f>
        <v>32009111</v>
      </c>
      <c r="S6">
        <f>SUMIFS('S&amp;L Data'!AE2:AE500,'S&amp;L Data'!$D2:$D500,"Corporate Income Taxes")</f>
        <v>33820422</v>
      </c>
      <c r="T6">
        <f>SUMIFS('S&amp;L Data'!AF2:AF500,'S&amp;L Data'!$D2:$D500,"Corporate Income Taxes")</f>
        <v>34411615</v>
      </c>
      <c r="U6">
        <f>SUMIFS('S&amp;L Data'!AG2:AG500,'S&amp;L Data'!$D2:$D500,"Corporate Income Taxes")</f>
        <v>33922371</v>
      </c>
      <c r="V6">
        <f>SUMIFS('S&amp;L Data'!AH2:AH500,'S&amp;L Data'!$D2:$D500,"Corporate Income Taxes")</f>
        <v>36058903</v>
      </c>
      <c r="W6">
        <f>SUMIFS('S&amp;L Data'!AI2:AI500,'S&amp;L Data'!$D2:$D500,"Corporate Income Taxes")</f>
        <v>35296152</v>
      </c>
      <c r="X6">
        <f>SUMIFS('S&amp;L Data'!AJ2:AJ500,'S&amp;L Data'!$D2:$D500,"Corporate Income Taxes")</f>
        <v>28151862</v>
      </c>
      <c r="Y6">
        <f>SUMIFS('S&amp;L Data'!AK2:AK500,'S&amp;L Data'!$D2:$D500,"Corporate Income Taxes")</f>
        <v>31369064</v>
      </c>
      <c r="Z6">
        <f>SUMIFS('S&amp;L Data'!AL2:AL500,'S&amp;L Data'!$D2:$D500,"Corporate Income Taxes")</f>
        <v>33715793</v>
      </c>
      <c r="AA6">
        <f>SUMIFS('S&amp;L Data'!AM2:AM500,'S&amp;L Data'!$D2:$D500,"Corporate Income Taxes")</f>
        <v>43255712</v>
      </c>
      <c r="AB6">
        <f>SUMIFS('S&amp;L Data'!AN2:AN500,'S&amp;L Data'!$D2:$D500,"Corporate Income Taxes")</f>
        <v>53080748</v>
      </c>
      <c r="AC6">
        <f>SUMIFS('S&amp;L Data'!AO2:AO500,'S&amp;L Data'!$D2:$D500,"Corporate Income Taxes")</f>
        <v>60954942</v>
      </c>
      <c r="AD6">
        <f>SUMIFS('S&amp;L Data'!AP2:AP500,'S&amp;L Data'!$D2:$D500,"Corporate Income Taxes")</f>
        <v>57230891</v>
      </c>
      <c r="AE6">
        <f>SUMIFS('S&amp;L Data'!AQ2:AQ500,'S&amp;L Data'!$D2:$D500,"Corporate Income Taxes")</f>
        <v>46279861</v>
      </c>
      <c r="AF6">
        <f>SUMIFS('S&amp;L Data'!AR2:AR500,'S&amp;L Data'!$D2:$D500,"Corporate Income Taxes")</f>
        <v>44107796</v>
      </c>
      <c r="AG6">
        <f>SUMIFS('S&amp;L Data'!AS2:AS500,'S&amp;L Data'!$D2:$D500,"Corporate Income Taxes")</f>
        <v>48421906</v>
      </c>
      <c r="AH6">
        <f>SUMIFS('S&amp;L Data'!AT2:AT500,'S&amp;L Data'!$D2:$D500,"Corporate Income Taxes")</f>
        <v>48933513</v>
      </c>
      <c r="AI6">
        <f>SUMIFS('S&amp;L Data'!AU2:AU500,'S&amp;L Data'!$D2:$D500,"Corporate Income Taxes")</f>
        <v>52908727</v>
      </c>
      <c r="AJ6">
        <f>SUMIFS('S&amp;L Data'!AV2:AV500,'S&amp;L Data'!$D2:$D500,"Corporate Income Taxes")</f>
        <v>54559763</v>
      </c>
    </row>
    <row r="7" spans="1:36">
      <c r="A7" s="3" t="s">
        <v>5</v>
      </c>
      <c r="B7">
        <f>SUMIFS('S&amp;L Data'!N2:N500,'S&amp;L Data'!$D2:$D500,"Sales and Excise Taxes")</f>
        <v>79926588</v>
      </c>
      <c r="C7">
        <f>SUMIFS('S&amp;L Data'!O2:O500,'S&amp;L Data'!$D2:$D500,"Sales and Excise Taxes")</f>
        <v>85971420</v>
      </c>
      <c r="D7">
        <f>SUMIFS('S&amp;L Data'!P2:P500,'S&amp;L Data'!$D2:$D500,"Sales and Excise Taxes")</f>
        <v>93612948</v>
      </c>
      <c r="E7">
        <f>SUMIFS('S&amp;L Data'!Q2:Q500,'S&amp;L Data'!$D2:$D500,"Sales and Excise Taxes")</f>
        <v>100246638</v>
      </c>
      <c r="F7">
        <f>SUMIFS('S&amp;L Data'!R2:R500,'S&amp;L Data'!$D2:$D500,"Sales and Excise Taxes")</f>
        <v>114097342</v>
      </c>
      <c r="G7">
        <f>SUMIFS('S&amp;L Data'!S2:S500,'S&amp;L Data'!$D2:$D500,"Sales and Excise Taxes")</f>
        <v>126375711</v>
      </c>
      <c r="H7">
        <f>SUMIFS('S&amp;L Data'!T2:T500,'S&amp;L Data'!$D2:$D500,"Sales and Excise Taxes")</f>
        <v>135004563</v>
      </c>
      <c r="I7">
        <f>SUMIFS('S&amp;L Data'!U2:U500,'S&amp;L Data'!$D2:$D500,"Sales and Excise Taxes")</f>
        <v>144090686</v>
      </c>
      <c r="J7">
        <f>SUMIFS('S&amp;L Data'!V2:V500,'S&amp;L Data'!$D2:$D500,"Sales and Excise Taxes")</f>
        <v>156452331</v>
      </c>
      <c r="K7">
        <f>SUMIFS('S&amp;L Data'!W2:W500,'S&amp;L Data'!$D2:$D500,"Sales and Excise Taxes")</f>
        <v>166335997</v>
      </c>
      <c r="L7">
        <f>SUMIFS('S&amp;L Data'!X2:X500,'S&amp;L Data'!$D2:$D500,"Sales and Excise Taxes")</f>
        <v>177884755</v>
      </c>
      <c r="M7">
        <f>SUMIFS('S&amp;L Data'!Y2:Y500,'S&amp;L Data'!$D2:$D500,"Sales and Excise Taxes")</f>
        <v>185570228</v>
      </c>
      <c r="N7">
        <f>SUMIFS('S&amp;L Data'!Z2:Z500,'S&amp;L Data'!$D2:$D500,"Sales and Excise Taxes")</f>
        <v>197726682</v>
      </c>
      <c r="O7">
        <f>SUMIFS('S&amp;L Data'!AA2:AA500,'S&amp;L Data'!$D2:$D500,"Sales and Excise Taxes")</f>
        <v>209648859</v>
      </c>
      <c r="P7">
        <f>SUMIFS('S&amp;L Data'!AB2:AB500,'S&amp;L Data'!$D2:$D500,"Sales and Excise Taxes")</f>
        <v>223628301</v>
      </c>
      <c r="Q7">
        <f>SUMIFS('S&amp;L Data'!AC2:AC500,'S&amp;L Data'!$D2:$D500,"Sales and Excise Taxes")</f>
        <v>237268397</v>
      </c>
      <c r="R7">
        <f>SUMIFS('S&amp;L Data'!AD2:AD500,'S&amp;L Data'!$D2:$D500,"Sales and Excise Taxes")</f>
        <v>248947062</v>
      </c>
      <c r="S7">
        <f>SUMIFS('S&amp;L Data'!AE2:AE500,'S&amp;L Data'!$D2:$D500,"Sales and Excise Taxes")</f>
        <v>261734150</v>
      </c>
      <c r="T7">
        <f>SUMIFS('S&amp;L Data'!AF2:AF500,'S&amp;L Data'!$D2:$D500,"Sales and Excise Taxes")</f>
        <v>274883406</v>
      </c>
      <c r="U7">
        <f>SUMIFS('S&amp;L Data'!AG2:AG500,'S&amp;L Data'!$D2:$D500,"Sales and Excise Taxes")</f>
        <v>290992942</v>
      </c>
      <c r="V7">
        <f>SUMIFS('S&amp;L Data'!AH2:AH500,'S&amp;L Data'!$D2:$D500,"Sales and Excise Taxes")</f>
        <v>309289792</v>
      </c>
      <c r="W7">
        <f>SUMIFS('S&amp;L Data'!AI2:AI500,'S&amp;L Data'!$D2:$D500,"Sales and Excise Taxes")</f>
        <v>320216988</v>
      </c>
      <c r="X7">
        <f>SUMIFS('S&amp;L Data'!AJ2:AJ500,'S&amp;L Data'!$D2:$D500,"Sales and Excise Taxes")</f>
        <v>324122506</v>
      </c>
      <c r="Y7">
        <f>SUMIFS('S&amp;L Data'!AK2:AK500,'S&amp;L Data'!$D2:$D500,"Sales and Excise Taxes")</f>
        <v>337786567</v>
      </c>
      <c r="Z7">
        <f>SUMIFS('S&amp;L Data'!AL2:AL500,'S&amp;L Data'!$D2:$D500,"Sales and Excise Taxes")</f>
        <v>361026946</v>
      </c>
      <c r="AA7">
        <f>SUMIFS('S&amp;L Data'!AM2:AM500,'S&amp;L Data'!$D2:$D500,"Sales and Excise Taxes")</f>
        <v>384266166</v>
      </c>
      <c r="AB7">
        <f>SUMIFS('S&amp;L Data'!AN2:AN500,'S&amp;L Data'!$D2:$D500,"Sales and Excise Taxes")</f>
        <v>417734525</v>
      </c>
      <c r="AC7">
        <f>SUMIFS('S&amp;L Data'!AO2:AO500,'S&amp;L Data'!$D2:$D500,"Sales and Excise Taxes")</f>
        <v>440469533</v>
      </c>
      <c r="AD7">
        <f>SUMIFS('S&amp;L Data'!AP2:AP500,'S&amp;L Data'!$D2:$D500,"Sales and Excise Taxes")</f>
        <v>449944957</v>
      </c>
      <c r="AE7">
        <f>SUMIFS('S&amp;L Data'!AQ2:AQ500,'S&amp;L Data'!$D2:$D500,"Sales and Excise Taxes")</f>
        <v>434128330</v>
      </c>
      <c r="AF7">
        <f>SUMIFS('S&amp;L Data'!AR2:AR500,'S&amp;L Data'!$D2:$D500,"Sales and Excise Taxes")</f>
        <v>435570729</v>
      </c>
      <c r="AG7">
        <f>SUMIFS('S&amp;L Data'!AS2:AS500,'S&amp;L Data'!$D2:$D500,"Sales and Excise Taxes")</f>
        <v>463979488</v>
      </c>
      <c r="AH7">
        <f>SUMIFS('S&amp;L Data'!AT2:AT500,'S&amp;L Data'!$D2:$D500,"Sales and Excise Taxes")</f>
        <v>476544283</v>
      </c>
      <c r="AI7">
        <f>SUMIFS('S&amp;L Data'!AU2:AU500,'S&amp;L Data'!$D2:$D500,"Sales and Excise Taxes")</f>
        <v>495238236</v>
      </c>
      <c r="AJ7">
        <f>SUMIFS('S&amp;L Data'!AV2:AV500,'S&amp;L Data'!$D2:$D500,"Sales and Excise Taxes")</f>
        <v>517368126</v>
      </c>
    </row>
    <row r="8" spans="1:36">
      <c r="A8" s="4" t="s">
        <v>21</v>
      </c>
      <c r="B8">
        <f>SUMIFS('S&amp;L Data'!N2:N500,'S&amp;L Data'!$E2:$E500,"General Sales Taxes")</f>
        <v>51327616</v>
      </c>
      <c r="C8">
        <f>SUMIFS('S&amp;L Data'!O2:O500,'S&amp;L Data'!$E2:$E500,"General Sales Taxes")</f>
        <v>55641390</v>
      </c>
      <c r="D8">
        <f>SUMIFS('S&amp;L Data'!P2:P500,'S&amp;L Data'!$E2:$E500,"General Sales Taxes")</f>
        <v>60573300</v>
      </c>
      <c r="E8">
        <f>SUMIFS('S&amp;L Data'!Q2:Q500,'S&amp;L Data'!$E2:$E500,"General Sales Taxes")</f>
        <v>64889896</v>
      </c>
      <c r="F8">
        <f>SUMIFS('S&amp;L Data'!R2:R500,'S&amp;L Data'!$E2:$E500,"General Sales Taxes")</f>
        <v>75211609</v>
      </c>
      <c r="G8">
        <f>SUMIFS('S&amp;L Data'!S2:S500,'S&amp;L Data'!$E2:$E500,"General Sales Taxes")</f>
        <v>84295648</v>
      </c>
      <c r="H8">
        <f>SUMIFS('S&amp;L Data'!T2:T500,'S&amp;L Data'!$E2:$E500,"General Sales Taxes")</f>
        <v>90694713</v>
      </c>
      <c r="I8">
        <f>SUMIFS('S&amp;L Data'!U2:U500,'S&amp;L Data'!$E2:$E500,"General Sales Taxes")</f>
        <v>96602538</v>
      </c>
      <c r="J8">
        <f>SUMIFS('S&amp;L Data'!V2:V500,'S&amp;L Data'!$E2:$E500,"General Sales Taxes")</f>
        <v>105237831</v>
      </c>
      <c r="K8">
        <f>SUMIFS('S&amp;L Data'!W2:W500,'S&amp;L Data'!$E2:$E500,"General Sales Taxes")</f>
        <v>112673222</v>
      </c>
      <c r="L8">
        <f>SUMIFS('S&amp;L Data'!X2:X500,'S&amp;L Data'!$E2:$E500,"General Sales Taxes")</f>
        <v>121286594</v>
      </c>
      <c r="M8">
        <f>SUMIFS('S&amp;L Data'!Y2:Y500,'S&amp;L Data'!$E2:$E500,"General Sales Taxes")</f>
        <v>125448814</v>
      </c>
      <c r="N8">
        <f>SUMIFS('S&amp;L Data'!Z2:Z500,'S&amp;L Data'!$E2:$E500,"General Sales Taxes")</f>
        <v>131978309</v>
      </c>
      <c r="O8">
        <f>SUMIFS('S&amp;L Data'!AA2:AA500,'S&amp;L Data'!$E2:$E500,"General Sales Taxes")</f>
        <v>138822010</v>
      </c>
      <c r="P8">
        <f>SUMIFS('S&amp;L Data'!AB2:AB500,'S&amp;L Data'!$E2:$E500,"General Sales Taxes")</f>
        <v>149039888</v>
      </c>
      <c r="Q8">
        <f>SUMIFS('S&amp;L Data'!AC2:AC500,'S&amp;L Data'!$E2:$E500,"General Sales Taxes")</f>
        <v>160166175</v>
      </c>
      <c r="R8">
        <f>SUMIFS('S&amp;L Data'!AD2:AD500,'S&amp;L Data'!$E2:$E500,"General Sales Taxes")</f>
        <v>169072372</v>
      </c>
      <c r="S8">
        <f>SUMIFS('S&amp;L Data'!AE2:AE500,'S&amp;L Data'!$E2:$E500,"General Sales Taxes")</f>
        <v>178746275</v>
      </c>
      <c r="T8">
        <f>SUMIFS('S&amp;L Data'!AF2:AF500,'S&amp;L Data'!$E2:$E500,"General Sales Taxes")</f>
        <v>188752895</v>
      </c>
      <c r="U8">
        <f>SUMIFS('S&amp;L Data'!AG2:AG500,'S&amp;L Data'!$E2:$E500,"General Sales Taxes")</f>
        <v>200626752</v>
      </c>
      <c r="V8">
        <f>SUMIFS('S&amp;L Data'!AH2:AH500,'S&amp;L Data'!$E2:$E500,"General Sales Taxes")</f>
        <v>215112414</v>
      </c>
      <c r="W8">
        <f>SUMIFS('S&amp;L Data'!AI2:AI500,'S&amp;L Data'!$E2:$E500,"General Sales Taxes")</f>
        <v>223428227</v>
      </c>
      <c r="X8">
        <f>SUMIFS('S&amp;L Data'!AJ2:AJ500,'S&amp;L Data'!$E2:$E500,"General Sales Taxes")</f>
        <v>222986687</v>
      </c>
      <c r="Y8">
        <f>SUMIFS('S&amp;L Data'!AK2:AK500,'S&amp;L Data'!$E2:$E500,"General Sales Taxes")</f>
        <v>229222301</v>
      </c>
      <c r="Z8">
        <f>SUMIFS('S&amp;L Data'!AL2:AL500,'S&amp;L Data'!$E2:$E500,"General Sales Taxes")</f>
        <v>245342513</v>
      </c>
      <c r="AA8">
        <f>SUMIFS('S&amp;L Data'!AM2:AM500,'S&amp;L Data'!$E2:$E500,"General Sales Taxes")</f>
        <v>262951838</v>
      </c>
      <c r="AB8">
        <f>SUMIFS('S&amp;L Data'!AN2:AN500,'S&amp;L Data'!$E2:$E500,"General Sales Taxes")</f>
        <v>285829129</v>
      </c>
      <c r="AC8">
        <f>SUMIFS('S&amp;L Data'!AO2:AO500,'S&amp;L Data'!$E2:$E500,"General Sales Taxes")</f>
        <v>300601232</v>
      </c>
      <c r="AD8">
        <f>SUMIFS('S&amp;L Data'!AP2:AP500,'S&amp;L Data'!$E2:$E500,"General Sales Taxes")</f>
        <v>304739498</v>
      </c>
      <c r="AE8">
        <f>SUMIFS('S&amp;L Data'!AQ2:AQ500,'S&amp;L Data'!$E2:$E500,"General Sales Taxes")</f>
        <v>291300296</v>
      </c>
      <c r="AF8">
        <f>SUMIFS('S&amp;L Data'!AR2:AR500,'S&amp;L Data'!$E2:$E500,"General Sales Taxes")</f>
        <v>288499186</v>
      </c>
      <c r="AG8">
        <f>SUMIFS('S&amp;L Data'!AS2:AS500,'S&amp;L Data'!$E2:$E500,"General Sales Taxes")</f>
        <v>304668034</v>
      </c>
      <c r="AH8">
        <f>SUMIFS('S&amp;L Data'!AT2:AT500,'S&amp;L Data'!$E2:$E500,"General Sales Taxes")</f>
        <v>314135839</v>
      </c>
      <c r="AI8">
        <f>SUMIFS('S&amp;L Data'!AU2:AU500,'S&amp;L Data'!$E2:$E500,"General Sales Taxes")</f>
        <v>327036761</v>
      </c>
      <c r="AJ8">
        <f>SUMIFS('S&amp;L Data'!AV2:AV500,'S&amp;L Data'!$E2:$E500,"General Sales Taxes")</f>
        <v>347183136</v>
      </c>
    </row>
    <row r="9" spans="1:36">
      <c r="A9" s="4" t="s">
        <v>22</v>
      </c>
      <c r="B9">
        <f>SUMIFS('S&amp;L Data'!N2:N500,'S&amp;L Data'!$E2:$E500,"Selective Sales Taxes")</f>
        <v>28598972</v>
      </c>
      <c r="C9">
        <f>SUMIFS('S&amp;L Data'!O2:O500,'S&amp;L Data'!$E2:$E500,"Selective Sales Taxes")</f>
        <v>30330030</v>
      </c>
      <c r="D9">
        <f>SUMIFS('S&amp;L Data'!P2:P500,'S&amp;L Data'!$E2:$E500,"Selective Sales Taxes")</f>
        <v>33039648</v>
      </c>
      <c r="E9">
        <f>SUMIFS('S&amp;L Data'!Q2:Q500,'S&amp;L Data'!$E2:$E500,"Selective Sales Taxes")</f>
        <v>35356742</v>
      </c>
      <c r="F9">
        <f>SUMIFS('S&amp;L Data'!R2:R500,'S&amp;L Data'!$E2:$E500,"Selective Sales Taxes")</f>
        <v>38885733</v>
      </c>
      <c r="G9">
        <f>SUMIFS('S&amp;L Data'!S2:S500,'S&amp;L Data'!$E2:$E500,"Selective Sales Taxes")</f>
        <v>42080063</v>
      </c>
      <c r="H9">
        <f>SUMIFS('S&amp;L Data'!T2:T500,'S&amp;L Data'!$E2:$E500,"Selective Sales Taxes")</f>
        <v>44309850</v>
      </c>
      <c r="I9">
        <f>SUMIFS('S&amp;L Data'!U2:U500,'S&amp;L Data'!$E2:$E500,"Selective Sales Taxes")</f>
        <v>47488148</v>
      </c>
      <c r="J9">
        <f>SUMIFS('S&amp;L Data'!V2:V500,'S&amp;L Data'!$E2:$E500,"Selective Sales Taxes")</f>
        <v>51214500</v>
      </c>
      <c r="K9">
        <f>SUMIFS('S&amp;L Data'!W2:W500,'S&amp;L Data'!$E2:$E500,"Selective Sales Taxes")</f>
        <v>53662775</v>
      </c>
      <c r="L9">
        <f>SUMIFS('S&amp;L Data'!X2:X500,'S&amp;L Data'!$E2:$E500,"Selective Sales Taxes")</f>
        <v>56598161</v>
      </c>
      <c r="M9">
        <f>SUMIFS('S&amp;L Data'!Y2:Y500,'S&amp;L Data'!$E2:$E500,"Selective Sales Taxes")</f>
        <v>60121414</v>
      </c>
      <c r="N9">
        <f>SUMIFS('S&amp;L Data'!Z2:Z500,'S&amp;L Data'!$E2:$E500,"Selective Sales Taxes")</f>
        <v>65748373</v>
      </c>
      <c r="O9">
        <f>SUMIFS('S&amp;L Data'!AA2:AA500,'S&amp;L Data'!$E2:$E500,"Selective Sales Taxes")</f>
        <v>70826849</v>
      </c>
      <c r="P9">
        <f>SUMIFS('S&amp;L Data'!AB2:AB500,'S&amp;L Data'!$E2:$E500,"Selective Sales Taxes")</f>
        <v>74588413</v>
      </c>
      <c r="Q9">
        <f>SUMIFS('S&amp;L Data'!AC2:AC500,'S&amp;L Data'!$E2:$E500,"Selective Sales Taxes")</f>
        <v>77102222</v>
      </c>
      <c r="R9">
        <f>SUMIFS('S&amp;L Data'!AD2:AD500,'S&amp;L Data'!$E2:$E500,"Selective Sales Taxes")</f>
        <v>79874690</v>
      </c>
      <c r="S9">
        <f>SUMIFS('S&amp;L Data'!AE2:AE500,'S&amp;L Data'!$E2:$E500,"Selective Sales Taxes")</f>
        <v>82987875</v>
      </c>
      <c r="T9">
        <f>SUMIFS('S&amp;L Data'!AF2:AF500,'S&amp;L Data'!$E2:$E500,"Selective Sales Taxes")</f>
        <v>86130511</v>
      </c>
      <c r="U9">
        <f>SUMIFS('S&amp;L Data'!AG2:AG500,'S&amp;L Data'!$E2:$E500,"Selective Sales Taxes")</f>
        <v>90366190</v>
      </c>
      <c r="V9">
        <f>SUMIFS('S&amp;L Data'!AH2:AH500,'S&amp;L Data'!$E2:$E500,"Selective Sales Taxes")</f>
        <v>94177378</v>
      </c>
      <c r="W9">
        <f>SUMIFS('S&amp;L Data'!AI2:AI500,'S&amp;L Data'!$E2:$E500,"Selective Sales Taxes")</f>
        <v>96788761</v>
      </c>
      <c r="X9">
        <f>SUMIFS('S&amp;L Data'!AJ2:AJ500,'S&amp;L Data'!$E2:$E500,"Selective Sales Taxes")</f>
        <v>101135819</v>
      </c>
      <c r="Y9">
        <f>SUMIFS('S&amp;L Data'!AK2:AK500,'S&amp;L Data'!$E2:$E500,"Selective Sales Taxes")</f>
        <v>108564266</v>
      </c>
      <c r="Z9">
        <f>SUMIFS('S&amp;L Data'!AL2:AL500,'S&amp;L Data'!$E2:$E500,"Selective Sales Taxes")</f>
        <v>115684433</v>
      </c>
      <c r="AA9">
        <f>SUMIFS('S&amp;L Data'!AM2:AM500,'S&amp;L Data'!$E2:$E500,"Selective Sales Taxes")</f>
        <v>121314328</v>
      </c>
      <c r="AB9">
        <f>SUMIFS('S&amp;L Data'!AN2:AN500,'S&amp;L Data'!$E2:$E500,"Selective Sales Taxes")</f>
        <v>131905396</v>
      </c>
      <c r="AC9">
        <f>SUMIFS('S&amp;L Data'!AO2:AO500,'S&amp;L Data'!$E2:$E500,"Selective Sales Taxes")</f>
        <v>139868301</v>
      </c>
      <c r="AD9">
        <f>SUMIFS('S&amp;L Data'!AP2:AP500,'S&amp;L Data'!$E2:$E500,"Selective Sales Taxes")</f>
        <v>145205459</v>
      </c>
      <c r="AE9">
        <f>SUMIFS('S&amp;L Data'!AQ2:AQ500,'S&amp;L Data'!$E2:$E500,"Selective Sales Taxes")</f>
        <v>142828034</v>
      </c>
      <c r="AF9">
        <f>SUMIFS('S&amp;L Data'!AR2:AR500,'S&amp;L Data'!$E2:$E500,"Selective Sales Taxes")</f>
        <v>147071543</v>
      </c>
      <c r="AG9">
        <f>SUMIFS('S&amp;L Data'!AS2:AS500,'S&amp;L Data'!$E2:$E500,"Selective Sales Taxes")</f>
        <v>159311454</v>
      </c>
      <c r="AH9">
        <f>SUMIFS('S&amp;L Data'!AT2:AT500,'S&amp;L Data'!$E2:$E500,"Selective Sales Taxes")</f>
        <v>162408444</v>
      </c>
      <c r="AI9">
        <f>SUMIFS('S&amp;L Data'!AU2:AU500,'S&amp;L Data'!$E2:$E500,"Selective Sales Taxes")</f>
        <v>168201475</v>
      </c>
      <c r="AJ9">
        <f>SUMIFS('S&amp;L Data'!AV2:AV500,'S&amp;L Data'!$E2:$E500,"Selective Sales Taxes")</f>
        <v>170184990</v>
      </c>
    </row>
    <row r="10" spans="1:36">
      <c r="A10" s="5" t="s">
        <v>75</v>
      </c>
      <c r="B10">
        <f>SUMIFS('S&amp;L Data'!N2:N500,'S&amp;L Data'!$F2:$F500,"Alcoholic Beverages")</f>
        <v>2641976</v>
      </c>
      <c r="C10">
        <f>SUMIFS('S&amp;L Data'!O2:O500,'S&amp;L Data'!$F2:$F500,"Alcoholic Beverages")</f>
        <v>2819826</v>
      </c>
      <c r="D10">
        <f>SUMIFS('S&amp;L Data'!P2:P500,'S&amp;L Data'!$F2:$F500,"Alcoholic Beverages")</f>
        <v>2946833</v>
      </c>
      <c r="E10">
        <f>SUMIFS('S&amp;L Data'!Q2:Q500,'S&amp;L Data'!$F2:$F500,"Alcoholic Beverages")</f>
        <v>2978016</v>
      </c>
      <c r="F10">
        <f>SUMIFS('S&amp;L Data'!R2:R500,'S&amp;L Data'!$F2:$F500,"Alcoholic Beverages")</f>
        <v>3149592</v>
      </c>
      <c r="G10">
        <f>SUMIFS('S&amp;L Data'!S2:S500,'S&amp;L Data'!$F2:$F500,"Alcoholic Beverages")</f>
        <v>3286482</v>
      </c>
      <c r="H10">
        <f>SUMIFS('S&amp;L Data'!T2:T500,'S&amp;L Data'!$F2:$F500,"Alcoholic Beverages")</f>
        <v>3332734</v>
      </c>
      <c r="I10">
        <f>SUMIFS('S&amp;L Data'!U2:U500,'S&amp;L Data'!$F2:$F500,"Alcoholic Beverages")</f>
        <v>3381485</v>
      </c>
      <c r="J10">
        <f>SUMIFS('S&amp;L Data'!V2:V500,'S&amp;L Data'!$F2:$F500,"Alcoholic Beverages")</f>
        <v>3481695</v>
      </c>
      <c r="K10">
        <f>SUMIFS('S&amp;L Data'!W2:W500,'S&amp;L Data'!$F2:$F500,"Alcoholic Beverages")</f>
        <v>3396842</v>
      </c>
      <c r="L10">
        <f>SUMIFS('S&amp;L Data'!X2:X500,'S&amp;L Data'!$F2:$F500,"Alcoholic Beverages")</f>
        <v>3469894</v>
      </c>
      <c r="M10">
        <f>SUMIFS('S&amp;L Data'!Y2:Y500,'S&amp;L Data'!$F2:$F500,"Alcoholic Beverages")</f>
        <v>3683241</v>
      </c>
      <c r="N10">
        <f>SUMIFS('S&amp;L Data'!Z2:Z500,'S&amp;L Data'!$F2:$F500,"Alcoholic Beverages")</f>
        <v>3882064</v>
      </c>
      <c r="O10">
        <f>SUMIFS('S&amp;L Data'!AA2:AA500,'S&amp;L Data'!$F2:$F500,"Alcoholic Beverages")</f>
        <v>3866390</v>
      </c>
      <c r="P10">
        <f>SUMIFS('S&amp;L Data'!AB2:AB500,'S&amp;L Data'!$F2:$F500,"Alcoholic Beverages")</f>
        <v>3903861</v>
      </c>
      <c r="Q10">
        <f>SUMIFS('S&amp;L Data'!AC2:AC500,'S&amp;L Data'!$F2:$F500,"Alcoholic Beverages")</f>
        <v>3905881</v>
      </c>
      <c r="R10">
        <f>SUMIFS('S&amp;L Data'!AD2:AD500,'S&amp;L Data'!$F2:$F500,"Alcoholic Beverages")</f>
        <v>3941334</v>
      </c>
      <c r="S10">
        <f>SUMIFS('S&amp;L Data'!AE2:AE500,'S&amp;L Data'!$F2:$F500,"Alcoholic Beverages")</f>
        <v>4021740</v>
      </c>
      <c r="T10">
        <f>SUMIFS('S&amp;L Data'!AF2:AF500,'S&amp;L Data'!$F2:$F500,"Alcoholic Beverages")</f>
        <v>4047022</v>
      </c>
      <c r="U10">
        <f>SUMIFS('S&amp;L Data'!AG2:AG500,'S&amp;L Data'!$F2:$F500,"Alcoholic Beverages")</f>
        <v>4191279</v>
      </c>
      <c r="V10">
        <f>SUMIFS('S&amp;L Data'!AH2:AH500,'S&amp;L Data'!$F2:$F500,"Alcoholic Beverages")</f>
        <v>4393193</v>
      </c>
      <c r="W10">
        <f>SUMIFS('S&amp;L Data'!AI2:AI500,'S&amp;L Data'!$F2:$F500,"Alcoholic Beverages")</f>
        <v>4521794</v>
      </c>
      <c r="X10">
        <f>SUMIFS('S&amp;L Data'!AJ2:AJ500,'S&amp;L Data'!$F2:$F500,"Alcoholic Beverages")</f>
        <v>4600156</v>
      </c>
      <c r="Y10">
        <f>SUMIFS('S&amp;L Data'!AK2:AK500,'S&amp;L Data'!$F2:$F500,"Alcoholic Beverages")</f>
        <v>4756547</v>
      </c>
      <c r="Z10">
        <f>SUMIFS('S&amp;L Data'!AL2:AL500,'S&amp;L Data'!$F2:$F500,"Alcoholic Beverages")</f>
        <v>4985706</v>
      </c>
      <c r="AA10">
        <f>SUMIFS('S&amp;L Data'!AM2:AM500,'S&amp;L Data'!$F2:$F500,"Alcoholic Beverages")</f>
        <v>5125140</v>
      </c>
      <c r="AB10">
        <f>SUMIFS('S&amp;L Data'!AN2:AN500,'S&amp;L Data'!$F2:$F500,"Alcoholic Beverages")</f>
        <v>5353816</v>
      </c>
      <c r="AC10">
        <f>SUMIFS('S&amp;L Data'!AO2:AO500,'S&amp;L Data'!$F2:$F500,"Alcoholic Beverages")</f>
        <v>5606480</v>
      </c>
      <c r="AD10">
        <f>SUMIFS('S&amp;L Data'!AP2:AP500,'S&amp;L Data'!$F2:$F500,"Alcoholic Beverages")</f>
        <v>5748447</v>
      </c>
      <c r="AE10">
        <f>SUMIFS('S&amp;L Data'!AQ2:AQ500,'S&amp;L Data'!$F2:$F500,"Alcoholic Beverages")</f>
        <v>5885424</v>
      </c>
      <c r="AF10">
        <f>SUMIFS('S&amp;L Data'!AR2:AR500,'S&amp;L Data'!$F2:$F500,"Alcoholic Beverages")</f>
        <v>6021465</v>
      </c>
      <c r="AG10">
        <f>SUMIFS('S&amp;L Data'!AS2:AS500,'S&amp;L Data'!$F2:$F500,"Alcoholic Beverages")</f>
        <v>6236852</v>
      </c>
      <c r="AH10">
        <f>SUMIFS('S&amp;L Data'!AT2:AT500,'S&amp;L Data'!$F2:$F500,"Alcoholic Beverages")</f>
        <v>6494714</v>
      </c>
      <c r="AI10">
        <f>SUMIFS('S&amp;L Data'!AU2:AU500,'S&amp;L Data'!$F2:$F500,"Alcoholic Beverages")</f>
        <v>6614214</v>
      </c>
      <c r="AJ10">
        <f>SUMIFS('S&amp;L Data'!AV2:AV500,'S&amp;L Data'!$F2:$F500,"Alcoholic Beverages")</f>
        <v>6725957</v>
      </c>
    </row>
    <row r="11" spans="1:36">
      <c r="A11" s="5" t="s">
        <v>76</v>
      </c>
      <c r="B11">
        <f>SUMIFS('S&amp;L Data'!N2:N500,'S&amp;L Data'!$F2:$F500,"Motor Fuel")</f>
        <v>9821603</v>
      </c>
      <c r="C11">
        <f>SUMIFS('S&amp;L Data'!O2:O500,'S&amp;L Data'!$F2:$F500,"Motor Fuel")</f>
        <v>9858532</v>
      </c>
      <c r="D11">
        <f>SUMIFS('S&amp;L Data'!P2:P500,'S&amp;L Data'!$F2:$F500,"Motor Fuel")</f>
        <v>10619673</v>
      </c>
      <c r="E11">
        <f>SUMIFS('S&amp;L Data'!Q2:Q500,'S&amp;L Data'!$F2:$F500,"Motor Fuel")</f>
        <v>10942477</v>
      </c>
      <c r="F11">
        <f>SUMIFS('S&amp;L Data'!R2:R500,'S&amp;L Data'!$F2:$F500,"Motor Fuel")</f>
        <v>12555442</v>
      </c>
      <c r="G11">
        <f>SUMIFS('S&amp;L Data'!S2:S500,'S&amp;L Data'!$F2:$F500,"Motor Fuel")</f>
        <v>13630659</v>
      </c>
      <c r="H11">
        <f>SUMIFS('S&amp;L Data'!T2:T500,'S&amp;L Data'!$F2:$F500,"Motor Fuel")</f>
        <v>14438826</v>
      </c>
      <c r="I11">
        <f>SUMIFS('S&amp;L Data'!U2:U500,'S&amp;L Data'!$F2:$F500,"Motor Fuel")</f>
        <v>16156344</v>
      </c>
      <c r="J11">
        <f>SUMIFS('S&amp;L Data'!V2:V500,'S&amp;L Data'!$F2:$F500,"Motor Fuel")</f>
        <v>17787382</v>
      </c>
      <c r="K11">
        <f>SUMIFS('S&amp;L Data'!W2:W500,'S&amp;L Data'!$F2:$F500,"Motor Fuel")</f>
        <v>18719149</v>
      </c>
      <c r="L11">
        <f>SUMIFS('S&amp;L Data'!X2:X500,'S&amp;L Data'!$F2:$F500,"Motor Fuel")</f>
        <v>20043185</v>
      </c>
      <c r="M11">
        <f>SUMIFS('S&amp;L Data'!Y2:Y500,'S&amp;L Data'!$F2:$F500,"Motor Fuel")</f>
        <v>21315691</v>
      </c>
      <c r="N11">
        <f>SUMIFS('S&amp;L Data'!Z2:Z500,'S&amp;L Data'!$F2:$F500,"Motor Fuel")</f>
        <v>22957804</v>
      </c>
      <c r="O11">
        <f>SUMIFS('S&amp;L Data'!AA2:AA500,'S&amp;L Data'!$F2:$F500,"Motor Fuel")</f>
        <v>24248667</v>
      </c>
      <c r="P11">
        <f>SUMIFS('S&amp;L Data'!AB2:AB500,'S&amp;L Data'!$F2:$F500,"Motor Fuel")</f>
        <v>25202592</v>
      </c>
      <c r="Q11">
        <f>SUMIFS('S&amp;L Data'!AC2:AC500,'S&amp;L Data'!$F2:$F500,"Motor Fuel")</f>
        <v>26205551</v>
      </c>
      <c r="R11">
        <f>SUMIFS('S&amp;L Data'!AD2:AD500,'S&amp;L Data'!$F2:$F500,"Motor Fuel")</f>
        <v>26832062</v>
      </c>
      <c r="S11">
        <f>SUMIFS('S&amp;L Data'!AE2:AE500,'S&amp;L Data'!$F2:$F500,"Motor Fuel")</f>
        <v>28094363</v>
      </c>
      <c r="T11">
        <f>SUMIFS('S&amp;L Data'!AF2:AF500,'S&amp;L Data'!$F2:$F500,"Motor Fuel")</f>
        <v>29246986</v>
      </c>
      <c r="U11">
        <f>SUMIFS('S&amp;L Data'!AG2:AG500,'S&amp;L Data'!$F2:$F500,"Motor Fuel")</f>
        <v>30094424</v>
      </c>
      <c r="V11">
        <f>SUMIFS('S&amp;L Data'!AH2:AH500,'S&amp;L Data'!$F2:$F500,"Motor Fuel")</f>
        <v>30938602</v>
      </c>
      <c r="W11">
        <f>SUMIFS('S&amp;L Data'!AI2:AI500,'S&amp;L Data'!$F2:$F500,"Motor Fuel")</f>
        <v>32045388</v>
      </c>
      <c r="X11">
        <f>SUMIFS('S&amp;L Data'!AJ2:AJ500,'S&amp;L Data'!$F2:$F500,"Motor Fuel")</f>
        <v>33044249</v>
      </c>
      <c r="Y11">
        <f>SUMIFS('S&amp;L Data'!AK2:AK500,'S&amp;L Data'!$F2:$F500,"Motor Fuel")</f>
        <v>33378664</v>
      </c>
      <c r="Z11">
        <f>SUMIFS('S&amp;L Data'!AL2:AL500,'S&amp;L Data'!$F2:$F500,"Motor Fuel")</f>
        <v>34943572</v>
      </c>
      <c r="AA11">
        <f>SUMIFS('S&amp;L Data'!AM2:AM500,'S&amp;L Data'!$F2:$F500,"Motor Fuel")</f>
        <v>35766701</v>
      </c>
      <c r="AB11">
        <f>SUMIFS('S&amp;L Data'!AN2:AN500,'S&amp;L Data'!$F2:$F500,"Motor Fuel")</f>
        <v>36979404</v>
      </c>
      <c r="AC11">
        <f>SUMIFS('S&amp;L Data'!AO2:AO500,'S&amp;L Data'!$F2:$F500,"Motor Fuel")</f>
        <v>37849041</v>
      </c>
      <c r="AD11">
        <f>SUMIFS('S&amp;L Data'!AP2:AP500,'S&amp;L Data'!$F2:$F500,"Motor Fuel")</f>
        <v>38960918</v>
      </c>
      <c r="AE11">
        <f>SUMIFS('S&amp;L Data'!AQ2:AQ500,'S&amp;L Data'!$F2:$F500,"Motor Fuel")</f>
        <v>37823608</v>
      </c>
      <c r="AF11">
        <f>SUMIFS('S&amp;L Data'!AR2:AR500,'S&amp;L Data'!$F2:$F500,"Motor Fuel")</f>
        <v>37922286</v>
      </c>
      <c r="AG11">
        <f>SUMIFS('S&amp;L Data'!AS2:AS500,'S&amp;L Data'!$F2:$F500,"Motor Fuel")</f>
        <v>41187374</v>
      </c>
      <c r="AH11">
        <f>SUMIFS('S&amp;L Data'!AT2:AT500,'S&amp;L Data'!$F2:$F500,"Motor Fuel")</f>
        <v>41420540</v>
      </c>
      <c r="AI11">
        <f>SUMIFS('S&amp;L Data'!AU2:AU500,'S&amp;L Data'!$F2:$F500,"Motor Fuel")</f>
        <v>41466573</v>
      </c>
      <c r="AJ11">
        <f>SUMIFS('S&amp;L Data'!AV2:AV500,'S&amp;L Data'!$F2:$F500,"Motor Fuel")</f>
        <v>42723453</v>
      </c>
    </row>
    <row r="12" spans="1:36">
      <c r="A12" s="5" t="s">
        <v>77</v>
      </c>
      <c r="B12">
        <f>SUMIFS('S&amp;L Data'!N2:N500,'S&amp;L Data'!$F2:$F500,"Tobacco Products")</f>
        <v>3874160</v>
      </c>
      <c r="C12">
        <f>SUMIFS('S&amp;L Data'!O2:O500,'S&amp;L Data'!$F2:$F500,"Tobacco Products")</f>
        <v>4046700</v>
      </c>
      <c r="D12">
        <f>SUMIFS('S&amp;L Data'!P2:P500,'S&amp;L Data'!$F2:$F500,"Tobacco Products")</f>
        <v>4133432</v>
      </c>
      <c r="E12">
        <f>SUMIFS('S&amp;L Data'!Q2:Q500,'S&amp;L Data'!$F2:$F500,"Tobacco Products")</f>
        <v>4182084</v>
      </c>
      <c r="F12">
        <f>SUMIFS('S&amp;L Data'!R2:R500,'S&amp;L Data'!$F2:$F500,"Tobacco Products")</f>
        <v>4327284</v>
      </c>
      <c r="G12">
        <f>SUMIFS('S&amp;L Data'!S2:S500,'S&amp;L Data'!$F2:$F500,"Tobacco Products")</f>
        <v>4557580</v>
      </c>
      <c r="H12">
        <f>SUMIFS('S&amp;L Data'!T2:T500,'S&amp;L Data'!$F2:$F500,"Tobacco Products")</f>
        <v>4649965</v>
      </c>
      <c r="I12">
        <f>SUMIFS('S&amp;L Data'!U2:U500,'S&amp;L Data'!$F2:$F500,"Tobacco Products")</f>
        <v>4791760</v>
      </c>
      <c r="J12">
        <f>SUMIFS('S&amp;L Data'!V2:V500,'S&amp;L Data'!$F2:$F500,"Tobacco Products")</f>
        <v>5040819</v>
      </c>
      <c r="K12">
        <f>SUMIFS('S&amp;L Data'!W2:W500,'S&amp;L Data'!$F2:$F500,"Tobacco Products")</f>
        <v>5252858</v>
      </c>
      <c r="L12">
        <f>SUMIFS('S&amp;L Data'!X2:X500,'S&amp;L Data'!$F2:$F500,"Tobacco Products")</f>
        <v>5734061</v>
      </c>
      <c r="M12">
        <f>SUMIFS('S&amp;L Data'!Y2:Y500,'S&amp;L Data'!$F2:$F500,"Tobacco Products")</f>
        <v>6170036</v>
      </c>
      <c r="N12">
        <f>SUMIFS('S&amp;L Data'!Z2:Z500,'S&amp;L Data'!$F2:$F500,"Tobacco Products")</f>
        <v>6311867</v>
      </c>
      <c r="O12">
        <f>SUMIFS('S&amp;L Data'!AA2:AA500,'S&amp;L Data'!$F2:$F500,"Tobacco Products")</f>
        <v>6421170</v>
      </c>
      <c r="P12">
        <f>SUMIFS('S&amp;L Data'!AB2:AB500,'S&amp;L Data'!$F2:$F500,"Tobacco Products")</f>
        <v>6903032</v>
      </c>
      <c r="Q12">
        <f>SUMIFS('S&amp;L Data'!AC2:AC500,'S&amp;L Data'!$F2:$F500,"Tobacco Products")</f>
        <v>7535681</v>
      </c>
      <c r="R12">
        <f>SUMIFS('S&amp;L Data'!AD2:AD500,'S&amp;L Data'!$F2:$F500,"Tobacco Products")</f>
        <v>7520357</v>
      </c>
      <c r="S12">
        <f>SUMIFS('S&amp;L Data'!AE2:AE500,'S&amp;L Data'!$F2:$F500,"Tobacco Products")</f>
        <v>7666546</v>
      </c>
      <c r="T12">
        <f>SUMIFS('S&amp;L Data'!AF2:AF500,'S&amp;L Data'!$F2:$F500,"Tobacco Products")</f>
        <v>7956232</v>
      </c>
      <c r="U12">
        <f>SUMIFS('S&amp;L Data'!AG2:AG500,'S&amp;L Data'!$F2:$F500,"Tobacco Products")</f>
        <v>8374871</v>
      </c>
      <c r="V12">
        <f>SUMIFS('S&amp;L Data'!AH2:AH500,'S&amp;L Data'!$F2:$F500,"Tobacco Products")</f>
        <v>8584773</v>
      </c>
      <c r="W12">
        <f>SUMIFS('S&amp;L Data'!AI2:AI500,'S&amp;L Data'!$F2:$F500,"Tobacco Products")</f>
        <v>8833438</v>
      </c>
      <c r="X12">
        <f>SUMIFS('S&amp;L Data'!AJ2:AJ500,'S&amp;L Data'!$F2:$F500,"Tobacco Products")</f>
        <v>9092865</v>
      </c>
      <c r="Y12">
        <f>SUMIFS('S&amp;L Data'!AK2:AK500,'S&amp;L Data'!$F2:$F500,"Tobacco Products")</f>
        <v>11806700</v>
      </c>
      <c r="Z12">
        <f>SUMIFS('S&amp;L Data'!AL2:AL500,'S&amp;L Data'!$F2:$F500,"Tobacco Products")</f>
        <v>12625780</v>
      </c>
      <c r="AA12">
        <f>SUMIFS('S&amp;L Data'!AM2:AM500,'S&amp;L Data'!$F2:$F500,"Tobacco Products")</f>
        <v>13337259</v>
      </c>
      <c r="AB12">
        <f>SUMIFS('S&amp;L Data'!AN2:AN500,'S&amp;L Data'!$F2:$F500,"Tobacco Products")</f>
        <v>15005828</v>
      </c>
      <c r="AC12">
        <f>SUMIFS('S&amp;L Data'!AO2:AO500,'S&amp;L Data'!$F2:$F500,"Tobacco Products")</f>
        <v>15828437</v>
      </c>
      <c r="AD12">
        <f>SUMIFS('S&amp;L Data'!AP2:AP500,'S&amp;L Data'!$F2:$F500,"Tobacco Products")</f>
        <v>16583060</v>
      </c>
      <c r="AE12">
        <f>SUMIFS('S&amp;L Data'!AQ2:AQ500,'S&amp;L Data'!$F2:$F500,"Tobacco Products")</f>
        <v>17162063</v>
      </c>
      <c r="AF12">
        <f>SUMIFS('S&amp;L Data'!AR2:AR500,'S&amp;L Data'!$F2:$F500,"Tobacco Products")</f>
        <v>17302708</v>
      </c>
      <c r="AG12">
        <f>SUMIFS('S&amp;L Data'!AS2:AS500,'S&amp;L Data'!$F2:$F500,"Tobacco Products")</f>
        <v>17664904</v>
      </c>
      <c r="AH12">
        <f>SUMIFS('S&amp;L Data'!AT2:AT500,'S&amp;L Data'!$F2:$F500,"Tobacco Products")</f>
        <v>18445393</v>
      </c>
      <c r="AI12">
        <f>SUMIFS('S&amp;L Data'!AU2:AU500,'S&amp;L Data'!$F2:$F500,"Tobacco Products")</f>
        <v>17493928</v>
      </c>
      <c r="AJ12">
        <f>SUMIFS('S&amp;L Data'!AV2:AV500,'S&amp;L Data'!$F2:$F500,"Tobacco Products")</f>
        <v>17409873</v>
      </c>
    </row>
    <row r="13" spans="1:36">
      <c r="A13" s="5" t="s">
        <v>78</v>
      </c>
      <c r="B13">
        <f>SUMIFS('S&amp;L Data'!N2:N500,'S&amp;L Data'!$F2:$F500,"Other Selective Sales Taxes")</f>
        <v>12261233</v>
      </c>
      <c r="C13">
        <f>SUMIFS('S&amp;L Data'!O2:O500,'S&amp;L Data'!$F2:$F500,"Other Selective Sales Taxes")</f>
        <v>13604972</v>
      </c>
      <c r="D13">
        <f>SUMIFS('S&amp;L Data'!P2:P500,'S&amp;L Data'!$F2:$F500,"Other Selective Sales Taxes")</f>
        <v>15339710</v>
      </c>
      <c r="E13">
        <f>SUMIFS('S&amp;L Data'!Q2:Q500,'S&amp;L Data'!$F2:$F500,"Other Selective Sales Taxes")</f>
        <v>17254165</v>
      </c>
      <c r="F13">
        <f>SUMIFS('S&amp;L Data'!R2:R500,'S&amp;L Data'!$F2:$F500,"Other Selective Sales Taxes")</f>
        <v>18853415</v>
      </c>
      <c r="G13">
        <f>SUMIFS('S&amp;L Data'!S2:S500,'S&amp;L Data'!$F2:$F500,"Other Selective Sales Taxes")</f>
        <v>20605342</v>
      </c>
      <c r="H13">
        <f>SUMIFS('S&amp;L Data'!T2:T500,'S&amp;L Data'!$F2:$F500,"Other Selective Sales Taxes")</f>
        <v>21888325</v>
      </c>
      <c r="I13">
        <f>SUMIFS('S&amp;L Data'!U2:U500,'S&amp;L Data'!$F2:$F500,"Other Selective Sales Taxes")</f>
        <v>23158559</v>
      </c>
      <c r="J13">
        <f>SUMIFS('S&amp;L Data'!V2:V500,'S&amp;L Data'!$F2:$F500,"Other Selective Sales Taxes")</f>
        <v>24904604</v>
      </c>
      <c r="K13">
        <f>SUMIFS('S&amp;L Data'!W2:W500,'S&amp;L Data'!$F2:$F500,"Other Selective Sales Taxes")</f>
        <v>26293926</v>
      </c>
      <c r="L13">
        <f>SUMIFS('S&amp;L Data'!X2:X500,'S&amp;L Data'!$F2:$F500,"Other Selective Sales Taxes")</f>
        <v>27351021</v>
      </c>
      <c r="M13">
        <f>SUMIFS('S&amp;L Data'!Y2:Y500,'S&amp;L Data'!$F2:$F500,"Other Selective Sales Taxes")</f>
        <v>28952446</v>
      </c>
      <c r="N13">
        <f>SUMIFS('S&amp;L Data'!Z2:Z500,'S&amp;L Data'!$F2:$F500,"Other Selective Sales Taxes")</f>
        <v>32596638</v>
      </c>
      <c r="O13">
        <f>SUMIFS('S&amp;L Data'!AA2:AA500,'S&amp;L Data'!$F2:$F500,"Other Selective Sales Taxes")</f>
        <v>36290622</v>
      </c>
      <c r="P13">
        <f>SUMIFS('S&amp;L Data'!AB2:AB500,'S&amp;L Data'!$F2:$F500,"Other Selective Sales Taxes")</f>
        <v>38578928</v>
      </c>
      <c r="Q13">
        <f>SUMIFS('S&amp;L Data'!AC2:AC500,'S&amp;L Data'!$F2:$F500,"Other Selective Sales Taxes")</f>
        <v>39455109</v>
      </c>
      <c r="R13">
        <f>SUMIFS('S&amp;L Data'!AD2:AD500,'S&amp;L Data'!$F2:$F500,"Other Selective Sales Taxes")</f>
        <v>41580937</v>
      </c>
      <c r="S13">
        <f>SUMIFS('S&amp;L Data'!AE2:AE500,'S&amp;L Data'!$F2:$F500,"Other Selective Sales Taxes")</f>
        <v>43205226</v>
      </c>
      <c r="T13">
        <f>SUMIFS('S&amp;L Data'!AF2:AF500,'S&amp;L Data'!$F2:$F500,"Other Selective Sales Taxes")</f>
        <v>44880271</v>
      </c>
      <c r="U13">
        <f>SUMIFS('S&amp;L Data'!AG2:AG500,'S&amp;L Data'!$F2:$F500,"Other Selective Sales Taxes")</f>
        <v>47705616</v>
      </c>
      <c r="V13">
        <f>SUMIFS('S&amp;L Data'!AH2:AH500,'S&amp;L Data'!$F2:$F500,"Other Selective Sales Taxes")</f>
        <v>50260810</v>
      </c>
      <c r="W13">
        <f>SUMIFS('S&amp;L Data'!AI2:AI500,'S&amp;L Data'!$F2:$F500,"Other Selective Sales Taxes")</f>
        <v>51388141</v>
      </c>
      <c r="X13">
        <f>SUMIFS('S&amp;L Data'!AJ2:AJ500,'S&amp;L Data'!$F2:$F500,"Other Selective Sales Taxes")</f>
        <v>54398549</v>
      </c>
      <c r="Y13">
        <f>SUMIFS('S&amp;L Data'!AK2:AK500,'S&amp;L Data'!$F2:$F500,"Other Selective Sales Taxes")</f>
        <v>58622355</v>
      </c>
      <c r="Z13">
        <f>SUMIFS('S&amp;L Data'!AL2:AL500,'S&amp;L Data'!$F2:$F500,"Other Selective Sales Taxes")</f>
        <v>63129375</v>
      </c>
      <c r="AA13">
        <f>SUMIFS('S&amp;L Data'!AM2:AM500,'S&amp;L Data'!$F2:$F500,"Other Selective Sales Taxes")</f>
        <v>67085228</v>
      </c>
      <c r="AB13">
        <f>SUMIFS('S&amp;L Data'!AN2:AN500,'S&amp;L Data'!$F2:$F500,"Other Selective Sales Taxes")</f>
        <v>74566348</v>
      </c>
      <c r="AC13">
        <f>SUMIFS('S&amp;L Data'!AO2:AO500,'S&amp;L Data'!$F2:$F500,"Other Selective Sales Taxes")</f>
        <v>80584343</v>
      </c>
      <c r="AD13">
        <f>SUMIFS('S&amp;L Data'!AP2:AP500,'S&amp;L Data'!$F2:$F500,"Other Selective Sales Taxes")</f>
        <v>83913034</v>
      </c>
      <c r="AE13">
        <f>SUMIFS('S&amp;L Data'!AQ2:AQ500,'S&amp;L Data'!$F2:$F500,"Other Selective Sales Taxes")</f>
        <v>81956939</v>
      </c>
      <c r="AF13">
        <f>SUMIFS('S&amp;L Data'!AR2:AR500,'S&amp;L Data'!$F2:$F500,"Other Selective Sales Taxes")</f>
        <v>85825084</v>
      </c>
      <c r="AG13">
        <f>SUMIFS('S&amp;L Data'!AS2:AS500,'S&amp;L Data'!$F2:$F500,"Other Selective Sales Taxes")</f>
        <v>94222324</v>
      </c>
      <c r="AH13">
        <f>SUMIFS('S&amp;L Data'!AT2:AT500,'S&amp;L Data'!$F2:$F500,"Other Selective Sales Taxes")</f>
        <v>96047797</v>
      </c>
      <c r="AI13">
        <f>SUMIFS('S&amp;L Data'!AU2:AU500,'S&amp;L Data'!$F2:$F500,"Other Selective Sales Taxes")</f>
        <v>102626760</v>
      </c>
      <c r="AJ13">
        <f>SUMIFS('S&amp;L Data'!AV2:AV500,'S&amp;L Data'!$F2:$F500,"Other Selective Sales Taxes")</f>
        <v>103325707</v>
      </c>
    </row>
    <row r="14" spans="1:36">
      <c r="A14" s="3" t="s">
        <v>7</v>
      </c>
      <c r="B14">
        <f>SUMIFS('S&amp;L Data'!N2:N500,'S&amp;L Data'!$D2:$D500,"Property Taxes")</f>
        <v>68498743</v>
      </c>
      <c r="C14">
        <f>SUMIFS('S&amp;L Data'!O2:O500,'S&amp;L Data'!$D2:$D500,"Property Taxes")</f>
        <v>74969444</v>
      </c>
      <c r="D14">
        <f>SUMIFS('S&amp;L Data'!P2:P500,'S&amp;L Data'!$D2:$D500,"Property Taxes")</f>
        <v>82067442</v>
      </c>
      <c r="E14">
        <f>SUMIFS('S&amp;L Data'!Q2:Q500,'S&amp;L Data'!$D2:$D500,"Property Taxes")</f>
        <v>89104863</v>
      </c>
      <c r="F14">
        <f>SUMIFS('S&amp;L Data'!R2:R500,'S&amp;L Data'!$D2:$D500,"Property Taxes")</f>
        <v>96456745</v>
      </c>
      <c r="G14">
        <f>SUMIFS('S&amp;L Data'!S2:S500,'S&amp;L Data'!$D2:$D500,"Property Taxes")</f>
        <v>103756624</v>
      </c>
      <c r="H14">
        <f>SUMIFS('S&amp;L Data'!T2:T500,'S&amp;L Data'!$D2:$D500,"Property Taxes")</f>
        <v>111709287</v>
      </c>
      <c r="I14">
        <f>SUMIFS('S&amp;L Data'!U2:U500,'S&amp;L Data'!$D2:$D500,"Property Taxes")</f>
        <v>121202638</v>
      </c>
      <c r="J14">
        <f>SUMIFS('S&amp;L Data'!V2:V500,'S&amp;L Data'!$D2:$D500,"Property Taxes")</f>
        <v>132212301</v>
      </c>
      <c r="K14">
        <f>SUMIFS('S&amp;L Data'!W2:W500,'S&amp;L Data'!$D2:$D500,"Property Taxes")</f>
        <v>142400237</v>
      </c>
      <c r="L14">
        <f>SUMIFS('S&amp;L Data'!X2:X500,'S&amp;L Data'!$D2:$D500,"Property Taxes")</f>
        <v>155613321</v>
      </c>
      <c r="M14">
        <f>SUMIFS('S&amp;L Data'!Y2:Y500,'S&amp;L Data'!$D2:$D500,"Property Taxes")</f>
        <v>167999489</v>
      </c>
      <c r="N14">
        <f>SUMIFS('S&amp;L Data'!Z2:Z500,'S&amp;L Data'!$D2:$D500,"Property Taxes")</f>
        <v>180320503</v>
      </c>
      <c r="O14">
        <f>SUMIFS('S&amp;L Data'!AA2:AA500,'S&amp;L Data'!$D2:$D500,"Property Taxes")</f>
        <v>189743930</v>
      </c>
      <c r="P14">
        <f>SUMIFS('S&amp;L Data'!AB2:AB500,'S&amp;L Data'!$D2:$D500,"Property Taxes")</f>
        <v>197141008</v>
      </c>
      <c r="Q14">
        <f>SUMIFS('S&amp;L Data'!AC2:AC500,'S&amp;L Data'!$D2:$D500,"Property Taxes")</f>
        <v>203451246</v>
      </c>
      <c r="R14">
        <f>SUMIFS('S&amp;L Data'!AD2:AD500,'S&amp;L Data'!$D2:$D500,"Property Taxes")</f>
        <v>209440794</v>
      </c>
      <c r="S14">
        <f>SUMIFS('S&amp;L Data'!AE2:AE500,'S&amp;L Data'!$D2:$D500,"Property Taxes")</f>
        <v>218760306</v>
      </c>
      <c r="T14">
        <f>SUMIFS('S&amp;L Data'!AF2:AF500,'S&amp;L Data'!$D2:$D500,"Property Taxes")</f>
        <v>230150058</v>
      </c>
      <c r="U14">
        <f>SUMIFS('S&amp;L Data'!AG2:AG500,'S&amp;L Data'!$D2:$D500,"Property Taxes")</f>
        <v>239671604</v>
      </c>
      <c r="V14">
        <f>SUMIFS('S&amp;L Data'!AH2:AH500,'S&amp;L Data'!$D2:$D500,"Property Taxes")</f>
        <v>249177604</v>
      </c>
      <c r="W14">
        <f>SUMIFS('S&amp;L Data'!AI2:AI500,'S&amp;L Data'!$D2:$D500,"Property Taxes")</f>
        <v>263689177</v>
      </c>
      <c r="X14">
        <f>SUMIFS('S&amp;L Data'!AJ2:AJ500,'S&amp;L Data'!$D2:$D500,"Property Taxes")</f>
        <v>279191478</v>
      </c>
      <c r="Y14">
        <f>SUMIFS('S&amp;L Data'!AK2:AK500,'S&amp;L Data'!$D2:$D500,"Property Taxes")</f>
        <v>296683185</v>
      </c>
      <c r="Z14">
        <f>SUMIFS('S&amp;L Data'!AL2:AL500,'S&amp;L Data'!$D2:$D500,"Property Taxes")</f>
        <v>317941413</v>
      </c>
      <c r="AA14">
        <f>SUMIFS('S&amp;L Data'!AM2:AM500,'S&amp;L Data'!$D2:$D500,"Property Taxes")</f>
        <v>335779002</v>
      </c>
      <c r="AB14">
        <f>SUMIFS('S&amp;L Data'!AN2:AN500,'S&amp;L Data'!$D2:$D500,"Property Taxes")</f>
        <v>364558999</v>
      </c>
      <c r="AC14">
        <f>SUMIFS('S&amp;L Data'!AO2:AO500,'S&amp;L Data'!$D2:$D500,"Property Taxes")</f>
        <v>388905357</v>
      </c>
      <c r="AD14">
        <f>SUMIFS('S&amp;L Data'!AP2:AP500,'S&amp;L Data'!$D2:$D500,"Property Taxes")</f>
        <v>409539657</v>
      </c>
      <c r="AE14">
        <f>SUMIFS('S&amp;L Data'!AQ2:AQ500,'S&amp;L Data'!$D2:$D500,"Property Taxes")</f>
        <v>434818264</v>
      </c>
      <c r="AF14">
        <f>SUMIFS('S&amp;L Data'!AR2:AR500,'S&amp;L Data'!$D2:$D500,"Property Taxes")</f>
        <v>443947292</v>
      </c>
      <c r="AG14">
        <f>SUMIFS('S&amp;L Data'!AS2:AS500,'S&amp;L Data'!$D2:$D500,"Property Taxes")</f>
        <v>445771236</v>
      </c>
      <c r="AH14">
        <f>SUMIFS('S&amp;L Data'!AT2:AT500,'S&amp;L Data'!$D2:$D500,"Property Taxes")</f>
        <v>447120120</v>
      </c>
      <c r="AI14">
        <f>SUMIFS('S&amp;L Data'!AU2:AU500,'S&amp;L Data'!$D2:$D500,"Property Taxes")</f>
        <v>453052504</v>
      </c>
      <c r="AJ14">
        <f>SUMIFS('S&amp;L Data'!AV2:AV500,'S&amp;L Data'!$D2:$D500,"Property Taxes")</f>
        <v>466391552</v>
      </c>
    </row>
    <row r="15" spans="1:36">
      <c r="A15" s="3" t="s">
        <v>8</v>
      </c>
      <c r="B15">
        <f>SUMIFS('S&amp;L Data'!N2:N500,'S&amp;L Data'!$D2:$D500,"Estate and Gift Taxes")</f>
        <v>2035269</v>
      </c>
      <c r="C15">
        <f>SUMIFS('S&amp;L Data'!O2:O500,'S&amp;L Data'!$D2:$D500,"Estate and Gift Taxes")</f>
        <v>2228968</v>
      </c>
      <c r="D15">
        <f>SUMIFS('S&amp;L Data'!P2:P500,'S&amp;L Data'!$D2:$D500,"Estate and Gift Taxes")</f>
        <v>2350092</v>
      </c>
      <c r="E15">
        <f>SUMIFS('S&amp;L Data'!Q2:Q500,'S&amp;L Data'!$D2:$D500,"Estate and Gift Taxes")</f>
        <v>2544640</v>
      </c>
      <c r="F15">
        <f>SUMIFS('S&amp;L Data'!R2:R500,'S&amp;L Data'!$D2:$D500,"Estate and Gift Taxes")</f>
        <v>2226041</v>
      </c>
      <c r="G15">
        <f>SUMIFS('S&amp;L Data'!S2:S500,'S&amp;L Data'!$D2:$D500,"Estate and Gift Taxes")</f>
        <v>2327515</v>
      </c>
      <c r="H15">
        <f>SUMIFS('S&amp;L Data'!T2:T500,'S&amp;L Data'!$D2:$D500,"Estate and Gift Taxes")</f>
        <v>2535464</v>
      </c>
      <c r="I15">
        <f>SUMIFS('S&amp;L Data'!U2:U500,'S&amp;L Data'!$D2:$D500,"Estate and Gift Taxes")</f>
        <v>3069132</v>
      </c>
      <c r="J15">
        <f>SUMIFS('S&amp;L Data'!V2:V500,'S&amp;L Data'!$D2:$D500,"Estate and Gift Taxes")</f>
        <v>3274394</v>
      </c>
      <c r="K15">
        <f>SUMIFS('S&amp;L Data'!W2:W500,'S&amp;L Data'!$D2:$D500,"Estate and Gift Taxes")</f>
        <v>3510286</v>
      </c>
      <c r="L15">
        <f>SUMIFS('S&amp;L Data'!X2:X500,'S&amp;L Data'!$D2:$D500,"Estate and Gift Taxes")</f>
        <v>3855278</v>
      </c>
      <c r="M15">
        <f>SUMIFS('S&amp;L Data'!Y2:Y500,'S&amp;L Data'!$D2:$D500,"Estate and Gift Taxes")</f>
        <v>4310627</v>
      </c>
      <c r="N15">
        <f>SUMIFS('S&amp;L Data'!Z2:Z500,'S&amp;L Data'!$D2:$D500,"Estate and Gift Taxes")</f>
        <v>4485629</v>
      </c>
      <c r="O15">
        <f>SUMIFS('S&amp;L Data'!AA2:AA500,'S&amp;L Data'!$D2:$D500,"Estate and Gift Taxes")</f>
        <v>4697637</v>
      </c>
      <c r="P15">
        <f>SUMIFS('S&amp;L Data'!AB2:AB500,'S&amp;L Data'!$D2:$D500,"Estate and Gift Taxes")</f>
        <v>5054028</v>
      </c>
      <c r="Q15">
        <f>SUMIFS('S&amp;L Data'!AC2:AC500,'S&amp;L Data'!$D2:$D500,"Estate and Gift Taxes")</f>
        <v>4921289</v>
      </c>
      <c r="R15">
        <f>SUMIFS('S&amp;L Data'!AD2:AD500,'S&amp;L Data'!$D2:$D500,"Estate and Gift Taxes")</f>
        <v>5352273</v>
      </c>
      <c r="S15">
        <f>SUMIFS('S&amp;L Data'!AE2:AE500,'S&amp;L Data'!$D2:$D500,"Estate and Gift Taxes")</f>
        <v>5940439</v>
      </c>
      <c r="T15">
        <f>SUMIFS('S&amp;L Data'!AF2:AF500,'S&amp;L Data'!$D2:$D500,"Estate and Gift Taxes")</f>
        <v>6971125</v>
      </c>
      <c r="U15">
        <f>SUMIFS('S&amp;L Data'!AG2:AG500,'S&amp;L Data'!$D2:$D500,"Estate and Gift Taxes")</f>
        <v>7519383</v>
      </c>
      <c r="V15">
        <f>SUMIFS('S&amp;L Data'!AH2:AH500,'S&amp;L Data'!$D2:$D500,"Estate and Gift Taxes")</f>
        <v>8034202</v>
      </c>
      <c r="W15">
        <f>SUMIFS('S&amp;L Data'!AI2:AI500,'S&amp;L Data'!$D2:$D500,"Estate and Gift Taxes")</f>
        <v>7550511</v>
      </c>
      <c r="X15">
        <f>SUMIFS('S&amp;L Data'!AJ2:AJ500,'S&amp;L Data'!$D2:$D500,"Estate and Gift Taxes")</f>
        <v>7510323</v>
      </c>
      <c r="Y15">
        <f>SUMIFS('S&amp;L Data'!AK2:AK500,'S&amp;L Data'!$D2:$D500,"Estate and Gift Taxes")</f>
        <v>6715248</v>
      </c>
      <c r="Z15">
        <f>SUMIFS('S&amp;L Data'!AL2:AL500,'S&amp;L Data'!$D2:$D500,"Estate and Gift Taxes")</f>
        <v>5758175</v>
      </c>
      <c r="AA15">
        <f>SUMIFS('S&amp;L Data'!AM2:AM500,'S&amp;L Data'!$D2:$D500,"Estate and Gift Taxes")</f>
        <v>5421759</v>
      </c>
      <c r="AB15">
        <f>SUMIFS('S&amp;L Data'!AN2:AN500,'S&amp;L Data'!$D2:$D500,"Estate and Gift Taxes")</f>
        <v>4960948</v>
      </c>
      <c r="AC15">
        <f>SUMIFS('S&amp;L Data'!AO2:AO500,'S&amp;L Data'!$D2:$D500,"Estate and Gift Taxes")</f>
        <v>5118279</v>
      </c>
      <c r="AD15">
        <f>SUMIFS('S&amp;L Data'!AP2:AP500,'S&amp;L Data'!$D2:$D500,"Estate and Gift Taxes")</f>
        <v>5349697</v>
      </c>
      <c r="AE15">
        <f>SUMIFS('S&amp;L Data'!AQ2:AQ500,'S&amp;L Data'!$D2:$D500,"Estate and Gift Taxes")</f>
        <v>4919680</v>
      </c>
      <c r="AF15">
        <f>SUMIFS('S&amp;L Data'!AR2:AR500,'S&amp;L Data'!$D2:$D500,"Estate and Gift Taxes")</f>
        <v>4153376</v>
      </c>
      <c r="AG15">
        <f>SUMIFS('S&amp;L Data'!AS2:AS500,'S&amp;L Data'!$D2:$D500,"Estate and Gift Taxes")</f>
        <v>4810811</v>
      </c>
      <c r="AH15">
        <f>SUMIFS('S&amp;L Data'!AT2:AT500,'S&amp;L Data'!$D2:$D500,"Estate and Gift Taxes")</f>
        <v>4871614</v>
      </c>
      <c r="AI15">
        <f>SUMIFS('S&amp;L Data'!AU2:AU500,'S&amp;L Data'!$D2:$D500,"Estate and Gift Taxes")</f>
        <v>5184122</v>
      </c>
      <c r="AJ15">
        <f>SUMIFS('S&amp;L Data'!AV2:AV500,'S&amp;L Data'!$D2:$D500,"Estate and Gift Taxes")</f>
        <v>5010825</v>
      </c>
    </row>
    <row r="16" spans="1:36">
      <c r="A16" s="3" t="s">
        <v>9</v>
      </c>
      <c r="B16">
        <f>SUMIFS('S&amp;L Data'!N2:N500,'S&amp;L Data'!$D2:$D500,"Severance Taxes")</f>
        <v>4167399</v>
      </c>
      <c r="C16">
        <f>SUMIFS('S&amp;L Data'!O2:O500,'S&amp;L Data'!$D2:$D500,"Severance Taxes")</f>
        <v>6379191</v>
      </c>
      <c r="D16">
        <f>SUMIFS('S&amp;L Data'!P2:P500,'S&amp;L Data'!$D2:$D500,"Severance Taxes")</f>
        <v>7829520</v>
      </c>
      <c r="E16">
        <f>SUMIFS('S&amp;L Data'!Q2:Q500,'S&amp;L Data'!$D2:$D500,"Severance Taxes")</f>
        <v>7405553</v>
      </c>
      <c r="F16">
        <f>SUMIFS('S&amp;L Data'!R2:R500,'S&amp;L Data'!$D2:$D500,"Severance Taxes")</f>
        <v>7266418</v>
      </c>
      <c r="G16">
        <f>SUMIFS('S&amp;L Data'!S2:S500,'S&amp;L Data'!$D2:$D500,"Severance Taxes")</f>
        <v>7211178</v>
      </c>
      <c r="H16">
        <f>SUMIFS('S&amp;L Data'!T2:T500,'S&amp;L Data'!$D2:$D500,"Severance Taxes")</f>
        <v>6125394</v>
      </c>
      <c r="I16">
        <f>SUMIFS('S&amp;L Data'!U2:U500,'S&amp;L Data'!$D2:$D500,"Severance Taxes")</f>
        <v>4050098</v>
      </c>
      <c r="J16">
        <f>SUMIFS('S&amp;L Data'!V2:V500,'S&amp;L Data'!$D2:$D500,"Severance Taxes")</f>
        <v>4330890</v>
      </c>
      <c r="K16">
        <f>SUMIFS('S&amp;L Data'!W2:W500,'S&amp;L Data'!$D2:$D500,"Severance Taxes")</f>
        <v>4144152</v>
      </c>
      <c r="L16">
        <f>SUMIFS('S&amp;L Data'!X2:X500,'S&amp;L Data'!$D2:$D500,"Severance Taxes")</f>
        <v>4682531</v>
      </c>
      <c r="M16">
        <f>SUMIFS('S&amp;L Data'!Y2:Y500,'S&amp;L Data'!$D2:$D500,"Severance Taxes")</f>
        <v>5366911</v>
      </c>
      <c r="N16">
        <f>SUMIFS('S&amp;L Data'!Z2:Z500,'S&amp;L Data'!$D2:$D500,"Severance Taxes")</f>
        <v>4647479</v>
      </c>
      <c r="O16">
        <f>SUMIFS('S&amp;L Data'!AA2:AA500,'S&amp;L Data'!$D2:$D500,"Severance Taxes")</f>
        <v>4907971</v>
      </c>
      <c r="P16">
        <f>SUMIFS('S&amp;L Data'!AB2:AB500,'S&amp;L Data'!$D2:$D500,"Severance Taxes")</f>
        <v>4298003</v>
      </c>
      <c r="Q16">
        <f>SUMIFS('S&amp;L Data'!AC2:AC500,'S&amp;L Data'!$D2:$D500,"Severance Taxes")</f>
        <v>4467629</v>
      </c>
      <c r="R16">
        <f>SUMIFS('S&amp;L Data'!AD2:AD500,'S&amp;L Data'!$D2:$D500,"Severance Taxes")</f>
        <v>4115529</v>
      </c>
      <c r="S16">
        <f>SUMIFS('S&amp;L Data'!AE2:AE500,'S&amp;L Data'!$D2:$D500,"Severance Taxes")</f>
        <v>4867898</v>
      </c>
      <c r="T16">
        <f>SUMIFS('S&amp;L Data'!AF2:AF500,'S&amp;L Data'!$D2:$D500,"Severance Taxes")</f>
        <v>4165773</v>
      </c>
      <c r="U16">
        <f>SUMIFS('S&amp;L Data'!AG2:AG500,'S&amp;L Data'!$D2:$D500,"Severance Taxes")</f>
        <v>3135150</v>
      </c>
      <c r="V16">
        <f>SUMIFS('S&amp;L Data'!AH2:AH500,'S&amp;L Data'!$D2:$D500,"Severance Taxes")</f>
        <v>4368012</v>
      </c>
      <c r="W16">
        <f>SUMIFS('S&amp;L Data'!AI2:AI500,'S&amp;L Data'!$D2:$D500,"Severance Taxes")</f>
        <v>6408733</v>
      </c>
      <c r="X16">
        <f>SUMIFS('S&amp;L Data'!AJ2:AJ500,'S&amp;L Data'!$D2:$D500,"Severance Taxes")</f>
        <v>4233989</v>
      </c>
      <c r="Y16">
        <f>SUMIFS('S&amp;L Data'!AK2:AK500,'S&amp;L Data'!$D2:$D500,"Severance Taxes")</f>
        <v>5321561</v>
      </c>
      <c r="Z16">
        <f>SUMIFS('S&amp;L Data'!AL2:AL500,'S&amp;L Data'!$D2:$D500,"Severance Taxes")</f>
        <v>6362179</v>
      </c>
      <c r="AA16">
        <f>SUMIFS('S&amp;L Data'!AM2:AM500,'S&amp;L Data'!$D2:$D500,"Severance Taxes")</f>
        <v>8176588</v>
      </c>
      <c r="AB16">
        <f>SUMIFS('S&amp;L Data'!AN2:AN500,'S&amp;L Data'!$D2:$D500,"Severance Taxes")</f>
        <v>10567667</v>
      </c>
      <c r="AC16">
        <f>SUMIFS('S&amp;L Data'!AO2:AO500,'S&amp;L Data'!$D2:$D500,"Severance Taxes")</f>
        <v>11141705</v>
      </c>
      <c r="AD16">
        <f>SUMIFS('S&amp;L Data'!AP2:AP500,'S&amp;L Data'!$D2:$D500,"Severance Taxes")</f>
        <v>17887975</v>
      </c>
      <c r="AE16">
        <f>SUMIFS('S&amp;L Data'!AQ2:AQ500,'S&amp;L Data'!$D2:$D500,"Severance Taxes")</f>
        <v>13490468</v>
      </c>
      <c r="AF16">
        <f>SUMIFS('S&amp;L Data'!AR2:AR500,'S&amp;L Data'!$D2:$D500,"Severance Taxes")</f>
        <v>11479671</v>
      </c>
      <c r="AG16">
        <f>SUMIFS('S&amp;L Data'!AS2:AS500,'S&amp;L Data'!$D2:$D500,"Severance Taxes")</f>
        <v>14714276</v>
      </c>
      <c r="AH16">
        <f>SUMIFS('S&amp;L Data'!AT2:AT500,'S&amp;L Data'!$D2:$D500,"Severance Taxes")</f>
        <v>17376037</v>
      </c>
      <c r="AI16">
        <f>SUMIFS('S&amp;L Data'!AU2:AU500,'S&amp;L Data'!$D2:$D500,"Severance Taxes")</f>
        <v>16569866</v>
      </c>
      <c r="AJ16">
        <f>SUMIFS('S&amp;L Data'!AV2:AV500,'S&amp;L Data'!$D2:$D500,"Severance Taxes")</f>
        <v>17869250</v>
      </c>
    </row>
    <row r="17" spans="1:36">
      <c r="A17" s="3" t="s">
        <v>11</v>
      </c>
      <c r="B17">
        <f>SUMIFS('S&amp;L Data'!N2:N500,'S&amp;L Data'!$D2:$D500,"Licenses")</f>
        <v>9078807</v>
      </c>
      <c r="C17">
        <f>SUMIFS('S&amp;L Data'!O2:O500,'S&amp;L Data'!$D2:$D500,"Licenses")</f>
        <v>9904838</v>
      </c>
      <c r="D17">
        <f>SUMIFS('S&amp;L Data'!P2:P500,'S&amp;L Data'!$D2:$D500,"Licenses")</f>
        <v>10530741</v>
      </c>
      <c r="E17">
        <f>SUMIFS('S&amp;L Data'!Q2:Q500,'S&amp;L Data'!$D2:$D500,"Licenses")</f>
        <v>11117117</v>
      </c>
      <c r="F17">
        <f>SUMIFS('S&amp;L Data'!R2:R500,'S&amp;L Data'!$D2:$D500,"Licenses")</f>
        <v>12402129</v>
      </c>
      <c r="G17">
        <f>SUMIFS('S&amp;L Data'!S2:S500,'S&amp;L Data'!$D2:$D500,"Licenses")</f>
        <v>14326555</v>
      </c>
      <c r="H17">
        <f>SUMIFS('S&amp;L Data'!T2:T500,'S&amp;L Data'!$D2:$D500,"Licenses")</f>
        <v>15494400</v>
      </c>
      <c r="I17">
        <f>SUMIFS('S&amp;L Data'!U2:U500,'S&amp;L Data'!$D2:$D500,"Licenses")</f>
        <v>16596116</v>
      </c>
      <c r="J17">
        <f>SUMIFS('S&amp;L Data'!V2:V500,'S&amp;L Data'!$D2:$D500,"Licenses")</f>
        <v>17673687</v>
      </c>
      <c r="K17">
        <f>SUMIFS('S&amp;L Data'!W2:W500,'S&amp;L Data'!$D2:$D500,"Licenses")</f>
        <v>18415462</v>
      </c>
      <c r="L17">
        <f>SUMIFS('S&amp;L Data'!X2:X500,'S&amp;L Data'!$D2:$D500,"Licenses")</f>
        <v>19634702</v>
      </c>
      <c r="M17">
        <f>SUMIFS('S&amp;L Data'!Y2:Y500,'S&amp;L Data'!$D2:$D500,"Licenses")</f>
        <v>20225962</v>
      </c>
      <c r="N17">
        <f>SUMIFS('S&amp;L Data'!Z2:Z500,'S&amp;L Data'!$D2:$D500,"Licenses")</f>
        <v>22466000</v>
      </c>
      <c r="O17">
        <f>SUMIFS('S&amp;L Data'!AA2:AA500,'S&amp;L Data'!$D2:$D500,"Licenses")</f>
        <v>24182294</v>
      </c>
      <c r="P17">
        <f>SUMIFS('S&amp;L Data'!AB2:AB500,'S&amp;L Data'!$D2:$D500,"Licenses")</f>
        <v>25047834</v>
      </c>
      <c r="Q17">
        <f>SUMIFS('S&amp;L Data'!AC2:AC500,'S&amp;L Data'!$D2:$D500,"Licenses")</f>
        <v>27210725</v>
      </c>
      <c r="R17">
        <f>SUMIFS('S&amp;L Data'!AD2:AD500,'S&amp;L Data'!$D2:$D500,"Licenses")</f>
        <v>28333996</v>
      </c>
      <c r="S17">
        <f>SUMIFS('S&amp;L Data'!AE2:AE500,'S&amp;L Data'!$D2:$D500,"Licenses")</f>
        <v>29293738</v>
      </c>
      <c r="T17">
        <f>SUMIFS('S&amp;L Data'!AF2:AF500,'S&amp;L Data'!$D2:$D500,"Licenses")</f>
        <v>30906539</v>
      </c>
      <c r="U17">
        <f>SUMIFS('S&amp;L Data'!AG2:AG500,'S&amp;L Data'!$D2:$D500,"Licenses")</f>
        <v>31727532</v>
      </c>
      <c r="V17">
        <f>SUMIFS('S&amp;L Data'!AH2:AH500,'S&amp;L Data'!$D2:$D500,"Licenses")</f>
        <v>33927319</v>
      </c>
      <c r="W17">
        <f>SUMIFS('S&amp;L Data'!AI2:AI500,'S&amp;L Data'!$D2:$D500,"Licenses")</f>
        <v>34197890</v>
      </c>
      <c r="X17">
        <f>SUMIFS('S&amp;L Data'!AJ2:AJ500,'S&amp;L Data'!$D2:$D500,"Licenses")</f>
        <v>36716191</v>
      </c>
      <c r="Y17">
        <f>SUMIFS('S&amp;L Data'!AK2:AK500,'S&amp;L Data'!$D2:$D500,"Licenses")</f>
        <v>37269481</v>
      </c>
      <c r="Z17">
        <f>SUMIFS('S&amp;L Data'!AL2:AL500,'S&amp;L Data'!$D2:$D500,"Licenses")</f>
        <v>41255979</v>
      </c>
      <c r="AA17">
        <f>SUMIFS('S&amp;L Data'!AM2:AM500,'S&amp;L Data'!$D2:$D500,"Licenses")</f>
        <v>56809940</v>
      </c>
      <c r="AB17">
        <f>SUMIFS('S&amp;L Data'!AN2:AN500,'S&amp;L Data'!$D2:$D500,"Licenses")</f>
        <v>61403130</v>
      </c>
      <c r="AC17">
        <f>SUMIFS('S&amp;L Data'!AO2:AO500,'S&amp;L Data'!$D2:$D500,"Licenses")</f>
        <v>63744902</v>
      </c>
      <c r="AD17">
        <f>SUMIFS('S&amp;L Data'!AP2:AP500,'S&amp;L Data'!$D2:$D500,"Licenses")</f>
        <v>65978268</v>
      </c>
      <c r="AE17">
        <f>SUMIFS('S&amp;L Data'!AQ2:AQ500,'S&amp;L Data'!$D2:$D500,"Licenses")</f>
        <v>64356905</v>
      </c>
      <c r="AF17">
        <f>SUMIFS('S&amp;L Data'!AR2:AR500,'S&amp;L Data'!$D2:$D500,"Licenses")</f>
        <v>64614156</v>
      </c>
      <c r="AG17">
        <f>SUMIFS('S&amp;L Data'!AS2:AS500,'S&amp;L Data'!$D2:$D500,"Licenses")</f>
        <v>66317275</v>
      </c>
      <c r="AH17">
        <f>SUMIFS('S&amp;L Data'!AT2:AT500,'S&amp;L Data'!$D2:$D500,"Licenses")</f>
        <v>69701116</v>
      </c>
      <c r="AI17">
        <f>SUMIFS('S&amp;L Data'!AU2:AU500,'S&amp;L Data'!$D2:$D500,"Licenses")</f>
        <v>71371532</v>
      </c>
      <c r="AJ17">
        <f>SUMIFS('S&amp;L Data'!AV2:AV500,'S&amp;L Data'!$D2:$D500,"Licenses")</f>
        <v>68015921</v>
      </c>
    </row>
    <row r="18" spans="1:36">
      <c r="A18" s="3" t="s">
        <v>12</v>
      </c>
      <c r="B18">
        <f>SUMIFS('S&amp;L Data'!N2:N500,'S&amp;L Data'!$D2:$D500,"Other Taxes")</f>
        <v>5642519</v>
      </c>
      <c r="C18">
        <f>SUMIFS('S&amp;L Data'!O2:O500,'S&amp;L Data'!$D2:$D500,"Other Taxes")</f>
        <v>5843830</v>
      </c>
      <c r="D18">
        <f>SUMIFS('S&amp;L Data'!P2:P500,'S&amp;L Data'!$D2:$D500,"Other Taxes")</f>
        <v>5831561</v>
      </c>
      <c r="E18">
        <f>SUMIFS('S&amp;L Data'!Q2:Q500,'S&amp;L Data'!$D2:$D500,"Other Taxes")</f>
        <v>6255641</v>
      </c>
      <c r="F18">
        <f>SUMIFS('S&amp;L Data'!R2:R500,'S&amp;L Data'!$D2:$D500,"Other Taxes")</f>
        <v>7981102</v>
      </c>
      <c r="G18">
        <f>SUMIFS('S&amp;L Data'!S2:S500,'S&amp;L Data'!$D2:$D500,"Other Taxes")</f>
        <v>8965917</v>
      </c>
      <c r="H18">
        <f>SUMIFS('S&amp;L Data'!T2:T500,'S&amp;L Data'!$D2:$D500,"Other Taxes")</f>
        <v>10013988</v>
      </c>
      <c r="I18">
        <f>SUMIFS('S&amp;L Data'!U2:U500,'S&amp;L Data'!$D2:$D500,"Other Taxes")</f>
        <v>11845824</v>
      </c>
      <c r="J18">
        <f>SUMIFS('S&amp;L Data'!V2:V500,'S&amp;L Data'!$D2:$D500,"Other Taxes")</f>
        <v>12342251</v>
      </c>
      <c r="K18">
        <f>SUMIFS('S&amp;L Data'!W2:W500,'S&amp;L Data'!$D2:$D500,"Other Taxes")</f>
        <v>12628300</v>
      </c>
      <c r="L18">
        <f>SUMIFS('S&amp;L Data'!X2:X500,'S&amp;L Data'!$D2:$D500,"Other Taxes")</f>
        <v>13168515</v>
      </c>
      <c r="M18">
        <f>SUMIFS('S&amp;L Data'!Y2:Y500,'S&amp;L Data'!$D2:$D500,"Other Taxes")</f>
        <v>12618891</v>
      </c>
      <c r="N18">
        <f>SUMIFS('S&amp;L Data'!Z2:Z500,'S&amp;L Data'!$D2:$D500,"Other Taxes")</f>
        <v>13246762</v>
      </c>
      <c r="O18">
        <f>SUMIFS('S&amp;L Data'!AA2:AA500,'S&amp;L Data'!$D2:$D500,"Other Taxes")</f>
        <v>14130988</v>
      </c>
      <c r="P18">
        <f>SUMIFS('S&amp;L Data'!AB2:AB500,'S&amp;L Data'!$D2:$D500,"Other Taxes")</f>
        <v>16219822</v>
      </c>
      <c r="Q18">
        <f>SUMIFS('S&amp;L Data'!AC2:AC500,'S&amp;L Data'!$D2:$D500,"Other Taxes")</f>
        <v>17026953</v>
      </c>
      <c r="R18">
        <f>SUMIFS('S&amp;L Data'!AD2:AD500,'S&amp;L Data'!$D2:$D500,"Other Taxes")</f>
        <v>17073747</v>
      </c>
      <c r="S18">
        <f>SUMIFS('S&amp;L Data'!AE2:AE500,'S&amp;L Data'!$D2:$D500,"Other Taxes")</f>
        <v>18545161</v>
      </c>
      <c r="T18">
        <f>SUMIFS('S&amp;L Data'!AF2:AF500,'S&amp;L Data'!$D2:$D500,"Other Taxes")</f>
        <v>20622196</v>
      </c>
      <c r="U18">
        <f>SUMIFS('S&amp;L Data'!AG2:AG500,'S&amp;L Data'!$D2:$D500,"Other Taxes")</f>
        <v>22691303</v>
      </c>
      <c r="V18">
        <f>SUMIFS('S&amp;L Data'!AH2:AH500,'S&amp;L Data'!$D2:$D500,"Other Taxes")</f>
        <v>23650054</v>
      </c>
      <c r="W18">
        <f>SUMIFS('S&amp;L Data'!AI2:AI500,'S&amp;L Data'!$D2:$D500,"Other Taxes")</f>
        <v>24358887</v>
      </c>
      <c r="X18">
        <f>SUMIFS('S&amp;L Data'!AJ2:AJ500,'S&amp;L Data'!$D2:$D500,"Other Taxes")</f>
        <v>27121638</v>
      </c>
      <c r="Y18">
        <f>SUMIFS('S&amp;L Data'!AK2:AK500,'S&amp;L Data'!$D2:$D500,"Other Taxes")</f>
        <v>30227868</v>
      </c>
      <c r="Z18">
        <f>SUMIFS('S&amp;L Data'!AL2:AL500,'S&amp;L Data'!$D2:$D500,"Other Taxes")</f>
        <v>35581371</v>
      </c>
      <c r="AA18">
        <f>SUMIFS('S&amp;L Data'!AM2:AM500,'S&amp;L Data'!$D2:$D500,"Other Taxes")</f>
        <v>28865327</v>
      </c>
      <c r="AB18">
        <f>SUMIFS('S&amp;L Data'!AN2:AN500,'S&amp;L Data'!$D2:$D500,"Other Taxes")</f>
        <v>31536985</v>
      </c>
      <c r="AC18">
        <f>SUMIFS('S&amp;L Data'!AO2:AO500,'S&amp;L Data'!$D2:$D500,"Other Taxes")</f>
        <v>30157804</v>
      </c>
      <c r="AD18">
        <f>SUMIFS('S&amp;L Data'!AP2:AP500,'S&amp;L Data'!$D2:$D500,"Other Taxes")</f>
        <v>26235078</v>
      </c>
      <c r="AE18">
        <f>SUMIFS('S&amp;L Data'!AQ2:AQ500,'S&amp;L Data'!$D2:$D500,"Other Taxes")</f>
        <v>20059437</v>
      </c>
      <c r="AF18">
        <f>SUMIFS('S&amp;L Data'!AR2:AR500,'S&amp;L Data'!$D2:$D500,"Other Taxes")</f>
        <v>20464224</v>
      </c>
      <c r="AG18">
        <f>SUMIFS('S&amp;L Data'!AS2:AS500,'S&amp;L Data'!$D2:$D500,"Other Taxes")</f>
        <v>21711733</v>
      </c>
      <c r="AH18">
        <f>SUMIFS('S&amp;L Data'!AT2:AT500,'S&amp;L Data'!$D2:$D500,"Other Taxes")</f>
        <v>23494522</v>
      </c>
      <c r="AI18">
        <f>SUMIFS('S&amp;L Data'!AU2:AU500,'S&amp;L Data'!$D2:$D500,"Other Taxes")</f>
        <v>25732848</v>
      </c>
      <c r="AJ18">
        <f>SUMIFS('S&amp;L Data'!AV2:AV500,'S&amp;L Data'!$D2:$D500,"Other Taxes")</f>
        <v>28246512</v>
      </c>
    </row>
    <row r="19" spans="1:36">
      <c r="A19" s="2" t="s">
        <v>2</v>
      </c>
      <c r="B19">
        <f>SUMIFS('S&amp;L Data'!N2:N500,'S&amp;L Data'!$C2:$C500,"Non-Tax Revenue")</f>
        <v>107829812</v>
      </c>
      <c r="C19">
        <f>SUMIFS('S&amp;L Data'!O2:O500,'S&amp;L Data'!$C2:$C500,"Non-Tax Revenue")</f>
        <v>121472741</v>
      </c>
      <c r="D19">
        <f>SUMIFS('S&amp;L Data'!P2:P500,'S&amp;L Data'!$C2:$C500,"Non-Tax Revenue")</f>
        <v>124224815</v>
      </c>
      <c r="E19">
        <f>SUMIFS('S&amp;L Data'!Q2:Q500,'S&amp;L Data'!$C2:$C500,"Non-Tax Revenue")</f>
        <v>135980128</v>
      </c>
      <c r="F19">
        <f>SUMIFS('S&amp;L Data'!R2:R500,'S&amp;L Data'!$C2:$C500,"Non-Tax Revenue")</f>
        <v>150783858</v>
      </c>
      <c r="G19">
        <f>SUMIFS('S&amp;L Data'!S2:S500,'S&amp;L Data'!$C2:$C500,"Non-Tax Revenue")</f>
        <v>169196877</v>
      </c>
      <c r="H19">
        <f>SUMIFS('S&amp;L Data'!T2:T500,'S&amp;L Data'!$C2:$C500,"Non-Tax Revenue")</f>
        <v>194327744</v>
      </c>
      <c r="I19">
        <f>SUMIFS('S&amp;L Data'!U2:U500,'S&amp;L Data'!$C2:$C500,"Non-Tax Revenue")</f>
        <v>207772533</v>
      </c>
      <c r="J19">
        <f>SUMIFS('S&amp;L Data'!V2:V500,'S&amp;L Data'!$C2:$C500,"Non-Tax Revenue")</f>
        <v>195720232</v>
      </c>
      <c r="K19">
        <f>SUMIFS('S&amp;L Data'!W2:W500,'S&amp;L Data'!$C2:$C500,"Non-Tax Revenue")</f>
        <v>206456838</v>
      </c>
      <c r="L19">
        <f>SUMIFS('S&amp;L Data'!X2:X500,'S&amp;L Data'!$C2:$C500,"Non-Tax Revenue")</f>
        <v>231045675</v>
      </c>
      <c r="M19">
        <f>SUMIFS('S&amp;L Data'!Y2:Y500,'S&amp;L Data'!$C2:$C500,"Non-Tax Revenue")</f>
        <v>241318653</v>
      </c>
      <c r="N19">
        <f>SUMIFS('S&amp;L Data'!Z2:Z500,'S&amp;L Data'!$C2:$C500,"Non-Tax Revenue")</f>
        <v>291951079</v>
      </c>
      <c r="O19">
        <f>SUMIFS('S&amp;L Data'!AA2:AA500,'S&amp;L Data'!$C2:$C500,"Non-Tax Revenue")</f>
        <v>319041678</v>
      </c>
      <c r="P19">
        <f>SUMIFS('S&amp;L Data'!AB2:AB500,'S&amp;L Data'!$C2:$C500,"Non-Tax Revenue")</f>
        <v>334805978</v>
      </c>
      <c r="Q19">
        <f>SUMIFS('S&amp;L Data'!AC2:AC500,'S&amp;L Data'!$C2:$C500,"Non-Tax Revenue")</f>
        <v>357104915</v>
      </c>
      <c r="R19">
        <f>SUMIFS('S&amp;L Data'!AD2:AD500,'S&amp;L Data'!$C2:$C500,"Non-Tax Revenue")</f>
        <v>407870970</v>
      </c>
      <c r="S19">
        <f>SUMIFS('S&amp;L Data'!AE2:AE500,'S&amp;L Data'!$C2:$C500,"Non-Tax Revenue")</f>
        <v>452822266</v>
      </c>
      <c r="T19">
        <f>SUMIFS('S&amp;L Data'!AF2:AF500,'S&amp;L Data'!$C2:$C500,"Non-Tax Revenue")</f>
        <v>508512152</v>
      </c>
      <c r="U19">
        <f>SUMIFS('S&amp;L Data'!AG2:AG500,'S&amp;L Data'!$C2:$C500,"Non-Tax Revenue")</f>
        <v>525267108</v>
      </c>
      <c r="V19">
        <f>SUMIFS('S&amp;L Data'!AH2:AH500,'S&amp;L Data'!$C2:$C500,"Non-Tax Revenue")</f>
        <v>592253010</v>
      </c>
      <c r="W19">
        <f>SUMIFS('S&amp;L Data'!AI2:AI500,'S&amp;L Data'!$C2:$C500,"Non-Tax Revenue")</f>
        <v>459104654</v>
      </c>
      <c r="X19">
        <f>SUMIFS('S&amp;L Data'!AJ2:AJ500,'S&amp;L Data'!$C2:$C500,"Non-Tax Revenue")</f>
        <v>366049735</v>
      </c>
      <c r="Y19">
        <f>SUMIFS('S&amp;L Data'!AK2:AK500,'S&amp;L Data'!$C2:$C500,"Non-Tax Revenue")</f>
        <v>547160796</v>
      </c>
      <c r="Z19">
        <f>SUMIFS('S&amp;L Data'!AL2:AL500,'S&amp;L Data'!$C2:$C500,"Non-Tax Revenue")</f>
        <v>829565320</v>
      </c>
      <c r="AA19">
        <f>SUMIFS('S&amp;L Data'!AM2:AM500,'S&amp;L Data'!$C2:$C500,"Non-Tax Revenue")</f>
        <v>801640925</v>
      </c>
      <c r="AB19">
        <f>SUMIFS('S&amp;L Data'!AN2:AN500,'S&amp;L Data'!$C2:$C500,"Non-Tax Revenue")</f>
        <v>848189232</v>
      </c>
      <c r="AC19">
        <f>SUMIFS('S&amp;L Data'!AO2:AO500,'S&amp;L Data'!$C2:$C500,"Non-Tax Revenue")</f>
        <v>1046689398</v>
      </c>
      <c r="AD19">
        <f>SUMIFS('S&amp;L Data'!AP2:AP500,'S&amp;L Data'!$C2:$C500,"Non-Tax Revenue")</f>
        <v>520038603</v>
      </c>
      <c r="AE19">
        <f>SUMIFS('S&amp;L Data'!AQ2:AQ500,'S&amp;L Data'!$C2:$C500,"Non-Tax Revenue")</f>
        <v>26996204</v>
      </c>
      <c r="AF19">
        <f>SUMIFS('S&amp;L Data'!AR2:AR500,'S&amp;L Data'!$C2:$C500,"Non-Tax Revenue")</f>
        <v>1080522548</v>
      </c>
      <c r="AG19">
        <f>SUMIFS('S&amp;L Data'!AS2:AS500,'S&amp;L Data'!$C2:$C500,"Non-Tax Revenue")</f>
        <v>1240854098</v>
      </c>
      <c r="AH19">
        <f>SUMIFS('S&amp;L Data'!AT2:AT500,'S&amp;L Data'!$C2:$C500,"Non-Tax Revenue")</f>
        <v>801982497</v>
      </c>
      <c r="AI19">
        <f>SUMIFS('S&amp;L Data'!AU2:AU500,'S&amp;L Data'!$C2:$C500,"Non-Tax Revenue")</f>
        <v>1096573059</v>
      </c>
      <c r="AJ19">
        <f>SUMIFS('S&amp;L Data'!AV2:AV500,'S&amp;L Data'!$C2:$C500,"Non-Tax Revenue")</f>
        <v>1269963926</v>
      </c>
    </row>
    <row r="20" spans="1:36">
      <c r="A20" s="3" t="s">
        <v>13</v>
      </c>
      <c r="B20">
        <f>SUMIFS('S&amp;L Data'!N2:N500,'S&amp;L Data'!$D2:$D500,"Sales of Government Resources")</f>
        <v>4164639</v>
      </c>
      <c r="C20">
        <f>SUMIFS('S&amp;L Data'!O2:O500,'S&amp;L Data'!$D2:$D500,"Sales of Government Resources")</f>
        <v>6161455</v>
      </c>
      <c r="D20">
        <f>SUMIFS('S&amp;L Data'!P2:P500,'S&amp;L Data'!$D2:$D500,"Sales of Government Resources")</f>
        <v>8031106</v>
      </c>
      <c r="E20">
        <f>SUMIFS('S&amp;L Data'!Q2:Q500,'S&amp;L Data'!$D2:$D500,"Sales of Government Resources")</f>
        <v>10057631</v>
      </c>
      <c r="F20">
        <f>SUMIFS('S&amp;L Data'!R2:R500,'S&amp;L Data'!$D2:$D500,"Sales of Government Resources")</f>
        <v>12918217</v>
      </c>
      <c r="G20">
        <f>SUMIFS('S&amp;L Data'!S2:S500,'S&amp;L Data'!$D2:$D500,"Sales of Government Resources")</f>
        <v>15040053</v>
      </c>
      <c r="H20">
        <f>SUMIFS('S&amp;L Data'!T2:T500,'S&amp;L Data'!$D2:$D500,"Sales of Government Resources")</f>
        <v>16540403</v>
      </c>
      <c r="I20">
        <f>SUMIFS('S&amp;L Data'!U2:U500,'S&amp;L Data'!$D2:$D500,"Sales of Government Resources")</f>
        <v>17927586</v>
      </c>
      <c r="J20">
        <f>SUMIFS('S&amp;L Data'!V2:V500,'S&amp;L Data'!$D2:$D500,"Sales of Government Resources")</f>
        <v>5563505</v>
      </c>
      <c r="K20">
        <f>SUMIFS('S&amp;L Data'!W2:W500,'S&amp;L Data'!$D2:$D500,"Sales of Government Resources")</f>
        <v>4801018</v>
      </c>
      <c r="L20">
        <f>SUMIFS('S&amp;L Data'!X2:X500,'S&amp;L Data'!$D2:$D500,"Sales of Government Resources")</f>
        <v>5484490</v>
      </c>
      <c r="M20">
        <f>SUMIFS('S&amp;L Data'!Y2:Y500,'S&amp;L Data'!$D2:$D500,"Sales of Government Resources")</f>
        <v>5575617</v>
      </c>
      <c r="N20">
        <f>SUMIFS('S&amp;L Data'!Z2:Z500,'S&amp;L Data'!$D2:$D500,"Sales of Government Resources")</f>
        <v>4948152</v>
      </c>
      <c r="O20">
        <f>SUMIFS('S&amp;L Data'!AA2:AA500,'S&amp;L Data'!$D2:$D500,"Sales of Government Resources")</f>
        <v>5418897</v>
      </c>
      <c r="P20">
        <f>SUMIFS('S&amp;L Data'!AB2:AB500,'S&amp;L Data'!$D2:$D500,"Sales of Government Resources")</f>
        <v>5129292</v>
      </c>
      <c r="Q20">
        <f>SUMIFS('S&amp;L Data'!AC2:AC500,'S&amp;L Data'!$D2:$D500,"Sales of Government Resources")</f>
        <v>5733469</v>
      </c>
      <c r="R20">
        <f>SUMIFS('S&amp;L Data'!AD2:AD500,'S&amp;L Data'!$D2:$D500,"Sales of Government Resources")</f>
        <v>5607514</v>
      </c>
      <c r="S20">
        <f>SUMIFS('S&amp;L Data'!AE2:AE500,'S&amp;L Data'!$D2:$D500,"Sales of Government Resources")</f>
        <v>7593251</v>
      </c>
      <c r="T20">
        <f>SUMIFS('S&amp;L Data'!AF2:AF500,'S&amp;L Data'!$D2:$D500,"Sales of Government Resources")</f>
        <v>8042909</v>
      </c>
      <c r="U20">
        <f>SUMIFS('S&amp;L Data'!AG2:AG500,'S&amp;L Data'!$D2:$D500,"Sales of Government Resources")</f>
        <v>7236440</v>
      </c>
      <c r="V20">
        <f>SUMIFS('S&amp;L Data'!AH2:AH500,'S&amp;L Data'!$D2:$D500,"Sales of Government Resources")</f>
        <v>8817982</v>
      </c>
      <c r="W20">
        <f>SUMIFS('S&amp;L Data'!AI2:AI500,'S&amp;L Data'!$D2:$D500,"Sales of Government Resources")</f>
        <v>10778913</v>
      </c>
      <c r="X20">
        <f>SUMIFS('S&amp;L Data'!AJ2:AJ500,'S&amp;L Data'!$D2:$D500,"Sales of Government Resources")</f>
        <v>9167566</v>
      </c>
      <c r="Y20">
        <f>SUMIFS('S&amp;L Data'!AK2:AK500,'S&amp;L Data'!$D2:$D500,"Sales of Government Resources")</f>
        <v>9688791</v>
      </c>
      <c r="Z20">
        <f>SUMIFS('S&amp;L Data'!AL2:AL500,'S&amp;L Data'!$D2:$D500,"Sales of Government Resources")</f>
        <v>11082321</v>
      </c>
      <c r="AA20">
        <f>SUMIFS('S&amp;L Data'!AM2:AM500,'S&amp;L Data'!$D2:$D500,"Sales of Government Resources")</f>
        <v>13769120</v>
      </c>
      <c r="AB20">
        <f>SUMIFS('S&amp;L Data'!AN2:AN500,'S&amp;L Data'!$D2:$D500,"Sales of Government Resources")</f>
        <v>13963858</v>
      </c>
      <c r="AC20">
        <f>SUMIFS('S&amp;L Data'!AO2:AO500,'S&amp;L Data'!$D2:$D500,"Sales of Government Resources")</f>
        <v>17576530</v>
      </c>
      <c r="AD20">
        <f>SUMIFS('S&amp;L Data'!AP2:AP500,'S&amp;L Data'!$D2:$D500,"Sales of Government Resources")</f>
        <v>19513412</v>
      </c>
      <c r="AE20">
        <f>SUMIFS('S&amp;L Data'!AQ2:AQ500,'S&amp;L Data'!$D2:$D500,"Sales of Government Resources")</f>
        <v>17814688</v>
      </c>
      <c r="AF20">
        <f>SUMIFS('S&amp;L Data'!AR2:AR500,'S&amp;L Data'!$D2:$D500,"Sales of Government Resources")</f>
        <v>16823058</v>
      </c>
      <c r="AG20">
        <f>SUMIFS('S&amp;L Data'!AS2:AS500,'S&amp;L Data'!$D2:$D500,"Sales of Government Resources")</f>
        <v>17740432</v>
      </c>
      <c r="AH20">
        <f>SUMIFS('S&amp;L Data'!AT2:AT500,'S&amp;L Data'!$D2:$D500,"Sales of Government Resources")</f>
        <v>18763913</v>
      </c>
      <c r="AI20">
        <f>SUMIFS('S&amp;L Data'!AU2:AU500,'S&amp;L Data'!$D2:$D500,"Sales of Government Resources")</f>
        <v>19135512</v>
      </c>
      <c r="AJ20">
        <f>SUMIFS('S&amp;L Data'!AV2:AV500,'S&amp;L Data'!$D2:$D500,"Sales of Government Resources")</f>
        <v>19735919</v>
      </c>
    </row>
    <row r="21" spans="1:36">
      <c r="A21" s="3" t="s">
        <v>299</v>
      </c>
      <c r="B21">
        <f>SUMIFS('S&amp;L Data'!N2:N500,'S&amp;L Data'!$D2:$D500,"Earnings on Investments")</f>
        <v>14031154</v>
      </c>
      <c r="C21">
        <f>SUMIFS('S&amp;L Data'!O2:O500,'S&amp;L Data'!$D2:$D500,"Earnings on Investments")</f>
        <v>17240949</v>
      </c>
      <c r="D21">
        <f>SUMIFS('S&amp;L Data'!P2:P500,'S&amp;L Data'!$D2:$D500,"Earnings on Investments")</f>
        <v>20233222</v>
      </c>
      <c r="E21">
        <f>SUMIFS('S&amp;L Data'!Q2:Q500,'S&amp;L Data'!$D2:$D500,"Earnings on Investments")</f>
        <v>27416969</v>
      </c>
      <c r="F21">
        <f>SUMIFS('S&amp;L Data'!R2:R500,'S&amp;L Data'!$D2:$D500,"Earnings on Investments")</f>
        <v>30610640</v>
      </c>
      <c r="G21">
        <f>SUMIFS('S&amp;L Data'!S2:S500,'S&amp;L Data'!$D2:$D500,"Earnings on Investments")</f>
        <v>36285574</v>
      </c>
      <c r="H21">
        <f>SUMIFS('S&amp;L Data'!T2:T500,'S&amp;L Data'!$D2:$D500,"Earnings on Investments")</f>
        <v>50888782</v>
      </c>
      <c r="I21">
        <f>SUMIFS('S&amp;L Data'!U2:U500,'S&amp;L Data'!$D2:$D500,"Earnings on Investments")</f>
        <v>59605976</v>
      </c>
      <c r="J21">
        <f>SUMIFS('S&amp;L Data'!V2:V500,'S&amp;L Data'!$D2:$D500,"Earnings on Investments")</f>
        <v>57234466</v>
      </c>
      <c r="K21">
        <f>SUMIFS('S&amp;L Data'!W2:W500,'S&amp;L Data'!$D2:$D500,"Earnings on Investments")</f>
        <v>58979925</v>
      </c>
      <c r="L21">
        <f>SUMIFS('S&amp;L Data'!X2:X500,'S&amp;L Data'!$D2:$D500,"Earnings on Investments")</f>
        <v>70279883</v>
      </c>
      <c r="M21">
        <f>SUMIFS('S&amp;L Data'!Y2:Y500,'S&amp;L Data'!$D2:$D500,"Earnings on Investments")</f>
        <v>61496254</v>
      </c>
      <c r="N21">
        <f>SUMIFS('S&amp;L Data'!Z2:Z500,'S&amp;L Data'!$D2:$D500,"Earnings on Investments")</f>
        <v>80548468</v>
      </c>
      <c r="O21">
        <f>SUMIFS('S&amp;L Data'!AA2:AA500,'S&amp;L Data'!$D2:$D500,"Earnings on Investments")</f>
        <v>86823768</v>
      </c>
      <c r="P21">
        <f>SUMIFS('S&amp;L Data'!AB2:AB500,'S&amp;L Data'!$D2:$D500,"Earnings on Investments")</f>
        <v>86148733</v>
      </c>
      <c r="Q21">
        <f>SUMIFS('S&amp;L Data'!AC2:AC500,'S&amp;L Data'!$D2:$D500,"Earnings on Investments")</f>
        <v>91445381</v>
      </c>
      <c r="R21">
        <f>SUMIFS('S&amp;L Data'!AD2:AD500,'S&amp;L Data'!$D2:$D500,"Earnings on Investments")</f>
        <v>133003671</v>
      </c>
      <c r="S21">
        <f>SUMIFS('S&amp;L Data'!AE2:AE500,'S&amp;L Data'!$D2:$D500,"Earnings on Investments")</f>
        <v>163630677</v>
      </c>
      <c r="T21">
        <f>SUMIFS('S&amp;L Data'!AF2:AF500,'S&amp;L Data'!$D2:$D500,"Earnings on Investments")</f>
        <v>202869262</v>
      </c>
      <c r="U21">
        <f>SUMIFS('S&amp;L Data'!AG2:AG500,'S&amp;L Data'!$D2:$D500,"Earnings on Investments")</f>
        <v>202892663</v>
      </c>
      <c r="V21">
        <f>SUMIFS('S&amp;L Data'!AH2:AH500,'S&amp;L Data'!$D2:$D500,"Earnings on Investments")</f>
        <v>237185135</v>
      </c>
      <c r="W21">
        <f>SUMIFS('S&amp;L Data'!AI2:AI500,'S&amp;L Data'!$D2:$D500,"Earnings on Investments")</f>
        <v>65366063</v>
      </c>
      <c r="X21">
        <f>SUMIFS('S&amp;L Data'!AJ2:AJ500,'S&amp;L Data'!$D2:$D500,"Earnings on Investments")</f>
        <v>-70639641</v>
      </c>
      <c r="Y21">
        <f>SUMIFS('S&amp;L Data'!AK2:AK500,'S&amp;L Data'!$D2:$D500,"Earnings on Investments")</f>
        <v>76243075</v>
      </c>
      <c r="Z21">
        <f>SUMIFS('S&amp;L Data'!AL2:AL500,'S&amp;L Data'!$D2:$D500,"Earnings on Investments")</f>
        <v>319821409</v>
      </c>
      <c r="AA21">
        <f>SUMIFS('S&amp;L Data'!AM2:AM500,'S&amp;L Data'!$D2:$D500,"Earnings on Investments")</f>
        <v>268012830</v>
      </c>
      <c r="AB21">
        <f>SUMIFS('S&amp;L Data'!AN2:AN500,'S&amp;L Data'!$D2:$D500,"Earnings on Investments")</f>
        <v>295140122</v>
      </c>
      <c r="AC21">
        <f>SUMIFS('S&amp;L Data'!AO2:AO500,'S&amp;L Data'!$D2:$D500,"Earnings on Investments")</f>
        <v>477666015</v>
      </c>
      <c r="AD21">
        <f>SUMIFS('S&amp;L Data'!AP2:AP500,'S&amp;L Data'!$D2:$D500,"Earnings on Investments")</f>
        <v>-65516951</v>
      </c>
      <c r="AE21">
        <f>SUMIFS('S&amp;L Data'!AQ2:AQ500,'S&amp;L Data'!$D2:$D500,"Earnings on Investments")</f>
        <v>-617535968</v>
      </c>
      <c r="AF21">
        <f>SUMIFS('S&amp;L Data'!AR2:AR500,'S&amp;L Data'!$D2:$D500,"Earnings on Investments")</f>
        <v>351703928</v>
      </c>
      <c r="AG21">
        <f>SUMIFS('S&amp;L Data'!AS2:AS500,'S&amp;L Data'!$D2:$D500,"Earnings on Investments")</f>
        <v>485354988</v>
      </c>
      <c r="AH21">
        <f>SUMIFS('S&amp;L Data'!AT2:AT500,'S&amp;L Data'!$D2:$D500,"Earnings on Investments")</f>
        <v>97715350</v>
      </c>
      <c r="AI21">
        <f>SUMIFS('S&amp;L Data'!AU2:AU500,'S&amp;L Data'!$D2:$D500,"Earnings on Investments")</f>
        <v>388306592</v>
      </c>
      <c r="AJ21">
        <f>SUMIFS('S&amp;L Data'!AV2:AV500,'S&amp;L Data'!$D2:$D500,"Earnings on Investments")</f>
        <v>538987532</v>
      </c>
    </row>
    <row r="22" spans="1:36">
      <c r="A22" s="3" t="s">
        <v>17</v>
      </c>
      <c r="B22">
        <f>SUMIFS('S&amp;L Data'!N2:N500,'S&amp;L Data'!$D2:$D500,"Other Non-Tax Revenue")</f>
        <v>8341390</v>
      </c>
      <c r="C22">
        <f>SUMIFS('S&amp;L Data'!O2:O500,'S&amp;L Data'!$D2:$D500,"Other Non-Tax Revenue")</f>
        <v>9633000</v>
      </c>
      <c r="D22">
        <f>SUMIFS('S&amp;L Data'!P2:P500,'S&amp;L Data'!$D2:$D500,"Other Non-Tax Revenue")</f>
        <v>10457653</v>
      </c>
      <c r="E22">
        <f>SUMIFS('S&amp;L Data'!Q2:Q500,'S&amp;L Data'!$D2:$D500,"Other Non-Tax Revenue")</f>
        <v>10247525</v>
      </c>
      <c r="F22">
        <f>SUMIFS('S&amp;L Data'!R2:R500,'S&amp;L Data'!$D2:$D500,"Other Non-Tax Revenue")</f>
        <v>12023811</v>
      </c>
      <c r="G22">
        <f>SUMIFS('S&amp;L Data'!S2:S500,'S&amp;L Data'!$D2:$D500,"Other Non-Tax Revenue")</f>
        <v>13669050</v>
      </c>
      <c r="H22">
        <f>SUMIFS('S&amp;L Data'!T2:T500,'S&amp;L Data'!$D2:$D500,"Other Non-Tax Revenue")</f>
        <v>15883433</v>
      </c>
      <c r="I22">
        <f>SUMIFS('S&amp;L Data'!U2:U500,'S&amp;L Data'!$D2:$D500,"Other Non-Tax Revenue")</f>
        <v>17811925</v>
      </c>
      <c r="J22">
        <f>SUMIFS('S&amp;L Data'!V2:V500,'S&amp;L Data'!$D2:$D500,"Other Non-Tax Revenue")</f>
        <v>17952801</v>
      </c>
      <c r="K22">
        <f>SUMIFS('S&amp;L Data'!W2:W500,'S&amp;L Data'!$D2:$D500,"Other Non-Tax Revenue")</f>
        <v>19768596</v>
      </c>
      <c r="L22">
        <f>SUMIFS('S&amp;L Data'!X2:X500,'S&amp;L Data'!$D2:$D500,"Other Non-Tax Revenue")</f>
        <v>21711247</v>
      </c>
      <c r="M22">
        <f>SUMIFS('S&amp;L Data'!Y2:Y500,'S&amp;L Data'!$D2:$D500,"Other Non-Tax Revenue")</f>
        <v>23585687</v>
      </c>
      <c r="N22">
        <f>SUMIFS('S&amp;L Data'!Z2:Z500,'S&amp;L Data'!$D2:$D500,"Other Non-Tax Revenue")</f>
        <v>30982334</v>
      </c>
      <c r="O22">
        <f>SUMIFS('S&amp;L Data'!AA2:AA500,'S&amp;L Data'!$D2:$D500,"Other Non-Tax Revenue")</f>
        <v>31763213</v>
      </c>
      <c r="P22">
        <f>SUMIFS('S&amp;L Data'!AB2:AB500,'S&amp;L Data'!$D2:$D500,"Other Non-Tax Revenue")</f>
        <v>31683191</v>
      </c>
      <c r="Q22">
        <f>SUMIFS('S&amp;L Data'!AC2:AC500,'S&amp;L Data'!$D2:$D500,"Other Non-Tax Revenue")</f>
        <v>34829550</v>
      </c>
      <c r="R22">
        <f>SUMIFS('S&amp;L Data'!AD2:AD500,'S&amp;L Data'!$D2:$D500,"Other Non-Tax Revenue")</f>
        <v>38289284</v>
      </c>
      <c r="S22">
        <f>SUMIFS('S&amp;L Data'!AE2:AE500,'S&amp;L Data'!$D2:$D500,"Other Non-Tax Revenue")</f>
        <v>40854610</v>
      </c>
      <c r="T22">
        <f>SUMIFS('S&amp;L Data'!AF2:AF500,'S&amp;L Data'!$D2:$D500,"Other Non-Tax Revenue")</f>
        <v>46097777</v>
      </c>
      <c r="U22">
        <f>SUMIFS('S&amp;L Data'!AG2:AG500,'S&amp;L Data'!$D2:$D500,"Other Non-Tax Revenue")</f>
        <v>48346003</v>
      </c>
      <c r="V22">
        <f>SUMIFS('S&amp;L Data'!AH2:AH500,'S&amp;L Data'!$D2:$D500,"Other Non-Tax Revenue")</f>
        <v>58329216</v>
      </c>
      <c r="W22">
        <f>SUMIFS('S&amp;L Data'!AI2:AI500,'S&amp;L Data'!$D2:$D500,"Other Non-Tax Revenue")</f>
        <v>63232225</v>
      </c>
      <c r="X22">
        <f>SUMIFS('S&amp;L Data'!AJ2:AJ500,'S&amp;L Data'!$D2:$D500,"Other Non-Tax Revenue")</f>
        <v>71363075</v>
      </c>
      <c r="Y22">
        <f>SUMIFS('S&amp;L Data'!AK2:AK500,'S&amp;L Data'!$D2:$D500,"Other Non-Tax Revenue")</f>
        <v>77250722</v>
      </c>
      <c r="Z22">
        <f>SUMIFS('S&amp;L Data'!AL2:AL500,'S&amp;L Data'!$D2:$D500,"Other Non-Tax Revenue")</f>
        <v>80177239</v>
      </c>
      <c r="AA22">
        <f>SUMIFS('S&amp;L Data'!AM2:AM500,'S&amp;L Data'!$D2:$D500,"Other Non-Tax Revenue")</f>
        <v>85921028</v>
      </c>
      <c r="AB22">
        <f>SUMIFS('S&amp;L Data'!AN2:AN500,'S&amp;L Data'!$D2:$D500,"Other Non-Tax Revenue")</f>
        <v>93010454</v>
      </c>
      <c r="AC22">
        <f>SUMIFS('S&amp;L Data'!AO2:AO500,'S&amp;L Data'!$D2:$D500,"Other Non-Tax Revenue")</f>
        <v>98257486</v>
      </c>
      <c r="AD22">
        <f>SUMIFS('S&amp;L Data'!AP2:AP500,'S&amp;L Data'!$D2:$D500,"Other Non-Tax Revenue")</f>
        <v>100276363</v>
      </c>
      <c r="AE22">
        <f>SUMIFS('S&amp;L Data'!AQ2:AQ500,'S&amp;L Data'!$D2:$D500,"Other Non-Tax Revenue")</f>
        <v>101027894</v>
      </c>
      <c r="AF22">
        <f>SUMIFS('S&amp;L Data'!AR2:AR500,'S&amp;L Data'!$D2:$D500,"Other Non-Tax Revenue")</f>
        <v>97570930</v>
      </c>
      <c r="AG22">
        <f>SUMIFS('S&amp;L Data'!AS2:AS500,'S&amp;L Data'!$D2:$D500,"Other Non-Tax Revenue")</f>
        <v>100368537</v>
      </c>
      <c r="AH22">
        <f>SUMIFS('S&amp;L Data'!AT2:AT500,'S&amp;L Data'!$D2:$D500,"Other Non-Tax Revenue")</f>
        <v>104532561</v>
      </c>
      <c r="AI22">
        <f>SUMIFS('S&amp;L Data'!AU2:AU500,'S&amp;L Data'!$D2:$D500,"Other Non-Tax Revenue")</f>
        <v>109553183</v>
      </c>
      <c r="AJ22">
        <f>SUMIFS('S&amp;L Data'!AV2:AV500,'S&amp;L Data'!$D2:$D500,"Other Non-Tax Revenue")</f>
        <v>112399651</v>
      </c>
    </row>
    <row r="23" spans="1:36">
      <c r="A23" s="3" t="s">
        <v>236</v>
      </c>
      <c r="B23">
        <f>SUMIFS('S&amp;L Data'!N2:N500,'S&amp;L Data'!$D2:$D500,"Payments from Federal Government (Net)")</f>
        <v>81292629</v>
      </c>
      <c r="C23">
        <f>SUMIFS('S&amp;L Data'!O2:O500,'S&amp;L Data'!$D2:$D500,"Payments from Federal Government (Net)")</f>
        <v>88437337</v>
      </c>
      <c r="D23">
        <f>SUMIFS('S&amp;L Data'!P2:P500,'S&amp;L Data'!$D2:$D500,"Payments from Federal Government (Net)")</f>
        <v>85502834</v>
      </c>
      <c r="E23">
        <f>SUMIFS('S&amp;L Data'!Q2:Q500,'S&amp;L Data'!$D2:$D500,"Payments from Federal Government (Net)")</f>
        <v>88258003</v>
      </c>
      <c r="F23">
        <f>SUMIFS('S&amp;L Data'!R2:R500,'S&amp;L Data'!$D2:$D500,"Payments from Federal Government (Net)")</f>
        <v>95231190</v>
      </c>
      <c r="G23">
        <f>SUMIFS('S&amp;L Data'!S2:S500,'S&amp;L Data'!$D2:$D500,"Payments from Federal Government (Net)")</f>
        <v>104202200</v>
      </c>
      <c r="H23">
        <f>SUMIFS('S&amp;L Data'!T2:T500,'S&amp;L Data'!$D2:$D500,"Payments from Federal Government (Net)")</f>
        <v>111015126</v>
      </c>
      <c r="I23">
        <f>SUMIFS('S&amp;L Data'!U2:U500,'S&amp;L Data'!$D2:$D500,"Payments from Federal Government (Net)")</f>
        <v>112427046</v>
      </c>
      <c r="J23">
        <f>SUMIFS('S&amp;L Data'!V2:V500,'S&amp;L Data'!$D2:$D500,"Payments from Federal Government (Net)")</f>
        <v>114969460</v>
      </c>
      <c r="K23">
        <f>SUMIFS('S&amp;L Data'!W2:W500,'S&amp;L Data'!$D2:$D500,"Payments from Federal Government (Net)")</f>
        <v>122907299</v>
      </c>
      <c r="L23">
        <f>SUMIFS('S&amp;L Data'!X2:X500,'S&amp;L Data'!$D2:$D500,"Payments from Federal Government (Net)")</f>
        <v>133570055</v>
      </c>
      <c r="M23">
        <f>SUMIFS('S&amp;L Data'!Y2:Y500,'S&amp;L Data'!$D2:$D500,"Payments from Federal Government (Net)")</f>
        <v>150661095</v>
      </c>
      <c r="N23">
        <f>SUMIFS('S&amp;L Data'!Z2:Z500,'S&amp;L Data'!$D2:$D500,"Payments from Federal Government (Net)")</f>
        <v>175472125</v>
      </c>
      <c r="O23">
        <f>SUMIFS('S&amp;L Data'!AA2:AA500,'S&amp;L Data'!$D2:$D500,"Payments from Federal Government (Net)")</f>
        <v>195035800</v>
      </c>
      <c r="P23">
        <f>SUMIFS('S&amp;L Data'!AB2:AB500,'S&amp;L Data'!$D2:$D500,"Payments from Federal Government (Net)")</f>
        <v>211844762</v>
      </c>
      <c r="Q23">
        <f>SUMIFS('S&amp;L Data'!AC2:AC500,'S&amp;L Data'!$D2:$D500,"Payments from Federal Government (Net)")</f>
        <v>225096515</v>
      </c>
      <c r="R23">
        <f>SUMIFS('S&amp;L Data'!AD2:AD500,'S&amp;L Data'!$D2:$D500,"Payments from Federal Government (Net)")</f>
        <v>230970501</v>
      </c>
      <c r="S23">
        <f>SUMIFS('S&amp;L Data'!AE2:AE500,'S&amp;L Data'!$D2:$D500,"Payments from Federal Government (Net)")</f>
        <v>240743728</v>
      </c>
      <c r="T23">
        <f>SUMIFS('S&amp;L Data'!AF2:AF500,'S&amp;L Data'!$D2:$D500,"Payments from Federal Government (Net)")</f>
        <v>251502204</v>
      </c>
      <c r="U23">
        <f>SUMIFS('S&amp;L Data'!AG2:AG500,'S&amp;L Data'!$D2:$D500,"Payments from Federal Government (Net)")</f>
        <v>266792002</v>
      </c>
      <c r="V23">
        <f>SUMIFS('S&amp;L Data'!AH2:AH500,'S&amp;L Data'!$D2:$D500,"Payments from Federal Government (Net)")</f>
        <v>287920677</v>
      </c>
      <c r="W23">
        <f>SUMIFS('S&amp;L Data'!AI2:AI500,'S&amp;L Data'!$D2:$D500,"Payments from Federal Government (Net)")</f>
        <v>319727453</v>
      </c>
      <c r="X23">
        <f>SUMIFS('S&amp;L Data'!AJ2:AJ500,'S&amp;L Data'!$D2:$D500,"Payments from Federal Government (Net)")</f>
        <v>356158735</v>
      </c>
      <c r="Y23">
        <f>SUMIFS('S&amp;L Data'!AK2:AK500,'S&amp;L Data'!$D2:$D500,"Payments from Federal Government (Net)")</f>
        <v>383978208</v>
      </c>
      <c r="Z23">
        <f>SUMIFS('S&amp;L Data'!AL2:AL500,'S&amp;L Data'!$D2:$D500,"Payments from Federal Government (Net)")</f>
        <v>418484351</v>
      </c>
      <c r="AA23">
        <f>SUMIFS('S&amp;L Data'!AM2:AM500,'S&amp;L Data'!$D2:$D500,"Payments from Federal Government (Net)")</f>
        <v>433937947</v>
      </c>
      <c r="AB23">
        <f>SUMIFS('S&amp;L Data'!AN2:AN500,'S&amp;L Data'!$D2:$D500,"Payments from Federal Government (Net)")</f>
        <v>446074798</v>
      </c>
      <c r="AC23">
        <f>SUMIFS('S&amp;L Data'!AO2:AO500,'S&amp;L Data'!$D2:$D500,"Payments from Federal Government (Net)")</f>
        <v>453189367</v>
      </c>
      <c r="AD23">
        <f>SUMIFS('S&amp;L Data'!AP2:AP500,'S&amp;L Data'!$D2:$D500,"Payments from Federal Government (Net)")</f>
        <v>465765779</v>
      </c>
      <c r="AE23">
        <f>SUMIFS('S&amp;L Data'!AQ2:AQ500,'S&amp;L Data'!$D2:$D500,"Payments from Federal Government (Net)")</f>
        <v>525689590</v>
      </c>
      <c r="AF23">
        <f>SUMIFS('S&amp;L Data'!AR2:AR500,'S&amp;L Data'!$D2:$D500,"Payments from Federal Government (Net)")</f>
        <v>614424632</v>
      </c>
      <c r="AG23">
        <f>SUMIFS('S&amp;L Data'!AS2:AS500,'S&amp;L Data'!$D2:$D500,"Payments from Federal Government (Net)")</f>
        <v>637390141</v>
      </c>
      <c r="AH23">
        <f>SUMIFS('S&amp;L Data'!AT2:AT500,'S&amp;L Data'!$D2:$D500,"Payments from Federal Government (Net)")</f>
        <v>580970673</v>
      </c>
      <c r="AI23">
        <f>SUMIFS('S&amp;L Data'!AU2:AU500,'S&amp;L Data'!$D2:$D500,"Payments from Federal Government (Net)")</f>
        <v>579577772</v>
      </c>
      <c r="AJ23">
        <f>SUMIFS('S&amp;L Data'!AV2:AV500,'S&amp;L Data'!$D2:$D500,"Payments from Federal Government (Net)")</f>
        <v>598840824</v>
      </c>
    </row>
    <row r="24" spans="1:36">
      <c r="A24" s="1"/>
    </row>
    <row r="25" spans="1:36">
      <c r="A25" s="9" t="s">
        <v>233</v>
      </c>
      <c r="B25">
        <f>SUMIFS('S&amp;L Data'!N2:N500,'S&amp;L Data'!$B2:$B500,"Spending")</f>
        <v>331647901</v>
      </c>
      <c r="C25">
        <f>SUMIFS('S&amp;L Data'!O2:O500,'S&amp;L Data'!$B2:$B500,"Spending")</f>
        <v>365432410</v>
      </c>
      <c r="D25">
        <f>SUMIFS('S&amp;L Data'!P2:P500,'S&amp;L Data'!$B2:$B500,"Spending")</f>
        <v>388040231</v>
      </c>
      <c r="E25">
        <f>SUMIFS('S&amp;L Data'!Q2:Q500,'S&amp;L Data'!$B2:$B500,"Spending")</f>
        <v>418635720</v>
      </c>
      <c r="F25">
        <f>SUMIFS('S&amp;L Data'!R2:R500,'S&amp;L Data'!$B2:$B500,"Spending")</f>
        <v>454283466</v>
      </c>
      <c r="G25">
        <f>SUMIFS('S&amp;L Data'!S2:S500,'S&amp;L Data'!$B2:$B500,"Spending")</f>
        <v>497234344</v>
      </c>
      <c r="H25">
        <f>SUMIFS('S&amp;L Data'!T2:T500,'S&amp;L Data'!$B2:$B500,"Spending")</f>
        <v>546848656</v>
      </c>
      <c r="I25">
        <f>SUMIFS('S&amp;L Data'!U2:U500,'S&amp;L Data'!$B2:$B500,"Spending")</f>
        <v>596538937</v>
      </c>
      <c r="J25">
        <f>SUMIFS('S&amp;L Data'!V2:V500,'S&amp;L Data'!$B2:$B500,"Spending")</f>
        <v>628741437</v>
      </c>
      <c r="K25">
        <f>SUMIFS('S&amp;L Data'!W2:W500,'S&amp;L Data'!$B2:$B500,"Spending")</f>
        <v>671548374</v>
      </c>
      <c r="L25">
        <f>SUMIFS('S&amp;L Data'!X2:X500,'S&amp;L Data'!$B2:$B500,"Spending")</f>
        <v>734258445</v>
      </c>
      <c r="M25">
        <f>SUMIFS('S&amp;L Data'!Y2:Y500,'S&amp;L Data'!$B2:$B500,"Spending")</f>
        <v>801421255</v>
      </c>
      <c r="N25">
        <f>SUMIFS('S&amp;L Data'!Z2:Z500,'S&amp;L Data'!$B2:$B500,"Spending")</f>
        <v>826981477</v>
      </c>
      <c r="O25">
        <f>SUMIFS('S&amp;L Data'!AA2:AA500,'S&amp;L Data'!$B2:$B500,"Spending")</f>
        <v>871281434</v>
      </c>
      <c r="P25">
        <f>SUMIFS('S&amp;L Data'!AB2:AB500,'S&amp;L Data'!$B2:$B500,"Spending")</f>
        <v>911311398</v>
      </c>
      <c r="Q25">
        <f>SUMIFS('S&amp;L Data'!AC2:AC500,'S&amp;L Data'!$B2:$B500,"Spending")</f>
        <v>972077211</v>
      </c>
      <c r="R25">
        <f>SUMIFS('S&amp;L Data'!AD2:AD500,'S&amp;L Data'!$B2:$B500,"Spending")</f>
        <v>1004883341</v>
      </c>
      <c r="S25">
        <f>SUMIFS('S&amp;L Data'!AE2:AE500,'S&amp;L Data'!$B2:$B500,"Spending")</f>
        <v>1055649251</v>
      </c>
      <c r="T25">
        <f>SUMIFS('S&amp;L Data'!AF2:AF500,'S&amp;L Data'!$B2:$B500,"Spending")</f>
        <v>1116530042</v>
      </c>
      <c r="U25">
        <f>SUMIFS('S&amp;L Data'!AG2:AG500,'S&amp;L Data'!$B2:$B500,"Spending")</f>
        <v>1194605774</v>
      </c>
      <c r="V25">
        <f>SUMIFS('S&amp;L Data'!AH2:AH500,'S&amp;L Data'!$B2:$B500,"Spending")</f>
        <v>1294773012</v>
      </c>
      <c r="W25">
        <f>SUMIFS('S&amp;L Data'!AI2:AI500,'S&amp;L Data'!$B2:$B500,"Spending")</f>
        <v>1401564744</v>
      </c>
      <c r="X25">
        <f>SUMIFS('S&amp;L Data'!AJ2:AJ500,'S&amp;L Data'!$B2:$B500,"Spending")</f>
        <v>1521880158</v>
      </c>
      <c r="Y25">
        <f>SUMIFS('S&amp;L Data'!AK2:AK500,'S&amp;L Data'!$B2:$B500,"Spending")</f>
        <v>1600905069</v>
      </c>
      <c r="Z25">
        <f>SUMIFS('S&amp;L Data'!AL2:AL500,'S&amp;L Data'!$B2:$B500,"Spending")</f>
        <v>1692976424</v>
      </c>
      <c r="AA25">
        <f>SUMIFS('S&amp;L Data'!AM2:AM500,'S&amp;L Data'!$B2:$B500,"Spending")</f>
        <v>1774697556</v>
      </c>
      <c r="AB25">
        <f>SUMIFS('S&amp;L Data'!AN2:AN500,'S&amp;L Data'!$B2:$B500,"Spending")</f>
        <v>1842541292</v>
      </c>
      <c r="AC25">
        <f>SUMIFS('S&amp;L Data'!AO2:AO500,'S&amp;L Data'!$B2:$B500,"Spending")</f>
        <v>1968810369</v>
      </c>
      <c r="AD25">
        <f>SUMIFS('S&amp;L Data'!AP2:AP500,'S&amp;L Data'!$B2:$B500,"Spending")</f>
        <v>2103505224</v>
      </c>
      <c r="AE25">
        <f>SUMIFS('S&amp;L Data'!AQ2:AQ500,'S&amp;L Data'!$B2:$B500,"Spending")</f>
        <v>2216653378</v>
      </c>
      <c r="AF25">
        <f>SUMIFS('S&amp;L Data'!AR2:AR500,'S&amp;L Data'!$B2:$B500,"Spending")</f>
        <v>2271068664</v>
      </c>
      <c r="AG25">
        <f>SUMIFS('S&amp;L Data'!AS2:AS500,'S&amp;L Data'!$B2:$B500,"Spending")</f>
        <v>2309791678</v>
      </c>
      <c r="AH25">
        <f>SUMIFS('S&amp;L Data'!AT2:AT500,'S&amp;L Data'!$B2:$B500,"Spending")</f>
        <v>2336460149</v>
      </c>
      <c r="AI25">
        <f>SUMIFS('S&amp;L Data'!AU2:AU500,'S&amp;L Data'!$B2:$B500,"Spending")</f>
        <v>2368224105</v>
      </c>
      <c r="AJ25">
        <f>SUMIFS('S&amp;L Data'!AV2:AV500,'S&amp;L Data'!$B2:$B500,"Spending")</f>
        <v>2452304801</v>
      </c>
    </row>
    <row r="26" spans="1:36">
      <c r="A26" s="2" t="s">
        <v>325</v>
      </c>
      <c r="B26">
        <f>SUMIFS('S&amp;L Data'!N2:N500,'S&amp;L Data'!$C2:$C500,"Establish Justice")</f>
        <v>41840915</v>
      </c>
      <c r="C26">
        <f>SUMIFS('S&amp;L Data'!O2:O500,'S&amp;L Data'!$C2:$C500,"Establish Justice")</f>
        <v>46994049</v>
      </c>
      <c r="D26">
        <f>SUMIFS('S&amp;L Data'!P2:P500,'S&amp;L Data'!$C2:$C500,"Establish Justice")</f>
        <v>53953471</v>
      </c>
      <c r="E26">
        <f>SUMIFS('S&amp;L Data'!Q2:Q500,'S&amp;L Data'!$C2:$C500,"Establish Justice")</f>
        <v>59667997</v>
      </c>
      <c r="F26">
        <f>SUMIFS('S&amp;L Data'!R2:R500,'S&amp;L Data'!$C2:$C500,"Establish Justice")</f>
        <v>65203979</v>
      </c>
      <c r="G26">
        <f>SUMIFS('S&amp;L Data'!S2:S500,'S&amp;L Data'!$C2:$C500,"Establish Justice")</f>
        <v>71992573</v>
      </c>
      <c r="H26">
        <f>SUMIFS('S&amp;L Data'!T2:T500,'S&amp;L Data'!$C2:$C500,"Establish Justice")</f>
        <v>78370320</v>
      </c>
      <c r="I26">
        <f>SUMIFS('S&amp;L Data'!U2:U500,'S&amp;L Data'!$C2:$C500,"Establish Justice")</f>
        <v>85914798</v>
      </c>
      <c r="J26">
        <f>SUMIFS('S&amp;L Data'!V2:V500,'S&amp;L Data'!$C2:$C500,"Establish Justice")</f>
        <v>94010522</v>
      </c>
      <c r="K26">
        <f>SUMIFS('S&amp;L Data'!W2:W500,'S&amp;L Data'!$C2:$C500,"Establish Justice")</f>
        <v>101702966</v>
      </c>
      <c r="L26">
        <f>SUMIFS('S&amp;L Data'!X2:X500,'S&amp;L Data'!$C2:$C500,"Establish Justice")</f>
        <v>113534507</v>
      </c>
      <c r="M26">
        <f>SUMIFS('S&amp;L Data'!Y2:Y500,'S&amp;L Data'!$C2:$C500,"Establish Justice")</f>
        <v>123596033</v>
      </c>
      <c r="N26">
        <f>SUMIFS('S&amp;L Data'!Z2:Z500,'S&amp;L Data'!$C2:$C500,"Establish Justice")</f>
        <v>132708280</v>
      </c>
      <c r="O26">
        <f>SUMIFS('S&amp;L Data'!AA2:AA500,'S&amp;L Data'!$C2:$C500,"Establish Justice")</f>
        <v>137768600</v>
      </c>
      <c r="P26">
        <f>SUMIFS('S&amp;L Data'!AB2:AB500,'S&amp;L Data'!$C2:$C500,"Establish Justice")</f>
        <v>147839678</v>
      </c>
      <c r="Q26">
        <f>SUMIFS('S&amp;L Data'!AC2:AC500,'S&amp;L Data'!$C2:$C500,"Establish Justice")</f>
        <v>160090940</v>
      </c>
      <c r="R26">
        <f>SUMIFS('S&amp;L Data'!AD2:AD500,'S&amp;L Data'!$C2:$C500,"Establish Justice")</f>
        <v>168165725</v>
      </c>
      <c r="S26">
        <f>SUMIFS('S&amp;L Data'!AE2:AE500,'S&amp;L Data'!$C2:$C500,"Establish Justice")</f>
        <v>179167148</v>
      </c>
      <c r="T26">
        <f>SUMIFS('S&amp;L Data'!AF2:AF500,'S&amp;L Data'!$C2:$C500,"Establish Justice")</f>
        <v>191362557</v>
      </c>
      <c r="U26">
        <f>SUMIFS('S&amp;L Data'!AG2:AG500,'S&amp;L Data'!$C2:$C500,"Establish Justice")</f>
        <v>204728937</v>
      </c>
      <c r="V26">
        <f>SUMIFS('S&amp;L Data'!AH2:AH500,'S&amp;L Data'!$C2:$C500,"Establish Justice")</f>
        <v>219213888</v>
      </c>
      <c r="W26">
        <f>SUMIFS('S&amp;L Data'!AI2:AI500,'S&amp;L Data'!$C2:$C500,"Establish Justice")</f>
        <v>234658589</v>
      </c>
      <c r="X26">
        <f>SUMIFS('S&amp;L Data'!AJ2:AJ500,'S&amp;L Data'!$C2:$C500,"Establish Justice")</f>
        <v>252861660</v>
      </c>
      <c r="Y26">
        <f>SUMIFS('S&amp;L Data'!AK2:AK500,'S&amp;L Data'!$C2:$C500,"Establish Justice")</f>
        <v>260655461</v>
      </c>
      <c r="Z26">
        <f>SUMIFS('S&amp;L Data'!AL2:AL500,'S&amp;L Data'!$C2:$C500,"Establish Justice")</f>
        <v>265988078</v>
      </c>
      <c r="AA26">
        <f>SUMIFS('S&amp;L Data'!AM2:AM500,'S&amp;L Data'!$C2:$C500,"Establish Justice")</f>
        <v>275345434</v>
      </c>
      <c r="AB26">
        <f>SUMIFS('S&amp;L Data'!AN2:AN500,'S&amp;L Data'!$C2:$C500,"Establish Justice")</f>
        <v>289348465</v>
      </c>
      <c r="AC26">
        <f>SUMIFS('S&amp;L Data'!AO2:AO500,'S&amp;L Data'!$C2:$C500,"Establish Justice")</f>
        <v>307109549</v>
      </c>
      <c r="AD26">
        <f>SUMIFS('S&amp;L Data'!AP2:AP500,'S&amp;L Data'!$C2:$C500,"Establish Justice")</f>
        <v>325956875</v>
      </c>
      <c r="AE26">
        <f>SUMIFS('S&amp;L Data'!AQ2:AQ500,'S&amp;L Data'!$C2:$C500,"Establish Justice")</f>
        <v>340279672</v>
      </c>
      <c r="AF26">
        <f>SUMIFS('S&amp;L Data'!AR2:AR500,'S&amp;L Data'!$C2:$C500,"Establish Justice")</f>
        <v>338062434</v>
      </c>
      <c r="AG26">
        <f>SUMIFS('S&amp;L Data'!AS2:AS500,'S&amp;L Data'!$C2:$C500,"Establish Justice")</f>
        <v>337389305</v>
      </c>
      <c r="AH26">
        <f>SUMIFS('S&amp;L Data'!AT2:AT500,'S&amp;L Data'!$C2:$C500,"Establish Justice")</f>
        <v>337606276</v>
      </c>
      <c r="AI26">
        <f>SUMIFS('S&amp;L Data'!AU2:AU500,'S&amp;L Data'!$C2:$C500,"Establish Justice")</f>
        <v>341166066</v>
      </c>
      <c r="AJ26">
        <f>SUMIFS('S&amp;L Data'!AV2:AV500,'S&amp;L Data'!$C2:$C500,"Establish Justice")</f>
        <v>351990520</v>
      </c>
    </row>
    <row r="27" spans="1:36">
      <c r="A27" s="3" t="s">
        <v>28</v>
      </c>
      <c r="B27">
        <f>SUMIFS('S&amp;L Data'!N2:N500,'S&amp;L Data'!$D2:$D500,"Crime and Disaster")</f>
        <v>28247050</v>
      </c>
      <c r="C27">
        <f>SUMIFS('S&amp;L Data'!O2:O500,'S&amp;L Data'!$D2:$D500,"Crime and Disaster")</f>
        <v>31325337</v>
      </c>
      <c r="D27">
        <f>SUMIFS('S&amp;L Data'!P2:P500,'S&amp;L Data'!$D2:$D500,"Crime and Disaster")</f>
        <v>36759186</v>
      </c>
      <c r="E27">
        <f>SUMIFS('S&amp;L Data'!Q2:Q500,'S&amp;L Data'!$D2:$D500,"Crime and Disaster")</f>
        <v>42330601</v>
      </c>
      <c r="F27">
        <f>SUMIFS('S&amp;L Data'!R2:R500,'S&amp;L Data'!$D2:$D500,"Crime and Disaster")</f>
        <v>46200486</v>
      </c>
      <c r="G27">
        <f>SUMIFS('S&amp;L Data'!S2:S500,'S&amp;L Data'!$D2:$D500,"Crime and Disaster")</f>
        <v>51148699</v>
      </c>
      <c r="H27">
        <f>SUMIFS('S&amp;L Data'!T2:T500,'S&amp;L Data'!$D2:$D500,"Crime and Disaster")</f>
        <v>56533169</v>
      </c>
      <c r="I27">
        <f>SUMIFS('S&amp;L Data'!U2:U500,'S&amp;L Data'!$D2:$D500,"Crime and Disaster")</f>
        <v>61936387</v>
      </c>
      <c r="J27">
        <f>SUMIFS('S&amp;L Data'!V2:V500,'S&amp;L Data'!$D2:$D500,"Crime and Disaster")</f>
        <v>68228979</v>
      </c>
      <c r="K27">
        <f>SUMIFS('S&amp;L Data'!W2:W500,'S&amp;L Data'!$D2:$D500,"Crime and Disaster")</f>
        <v>73487190</v>
      </c>
      <c r="L27">
        <f>SUMIFS('S&amp;L Data'!X2:X500,'S&amp;L Data'!$D2:$D500,"Crime and Disaster")</f>
        <v>82505388</v>
      </c>
      <c r="M27">
        <f>SUMIFS('S&amp;L Data'!Y2:Y500,'S&amp;L Data'!$D2:$D500,"Crime and Disaster")</f>
        <v>89301996</v>
      </c>
      <c r="N27">
        <f>SUMIFS('S&amp;L Data'!Z2:Z500,'S&amp;L Data'!$D2:$D500,"Crime and Disaster")</f>
        <v>95391158</v>
      </c>
      <c r="O27">
        <f>SUMIFS('S&amp;L Data'!AA2:AA500,'S&amp;L Data'!$D2:$D500,"Crime and Disaster")</f>
        <v>98402810</v>
      </c>
      <c r="P27">
        <f>SUMIFS('S&amp;L Data'!AB2:AB500,'S&amp;L Data'!$D2:$D500,"Crime and Disaster")</f>
        <v>104914980</v>
      </c>
      <c r="Q27">
        <f>SUMIFS('S&amp;L Data'!AC2:AC500,'S&amp;L Data'!$D2:$D500,"Crime and Disaster")</f>
        <v>113089020</v>
      </c>
      <c r="R27">
        <f>SUMIFS('S&amp;L Data'!AD2:AD500,'S&amp;L Data'!$D2:$D500,"Crime and Disaster")</f>
        <v>120355551</v>
      </c>
      <c r="S27">
        <f>SUMIFS('S&amp;L Data'!AE2:AE500,'S&amp;L Data'!$D2:$D500,"Crime and Disaster")</f>
        <v>128618227</v>
      </c>
      <c r="T27">
        <f>SUMIFS('S&amp;L Data'!AF2:AF500,'S&amp;L Data'!$D2:$D500,"Crime and Disaster")</f>
        <v>136796077</v>
      </c>
      <c r="U27">
        <f>SUMIFS('S&amp;L Data'!AG2:AG500,'S&amp;L Data'!$D2:$D500,"Crime and Disaster")</f>
        <v>145542988</v>
      </c>
      <c r="V27">
        <f>SUMIFS('S&amp;L Data'!AH2:AH500,'S&amp;L Data'!$D2:$D500,"Crime and Disaster")</f>
        <v>155737621</v>
      </c>
      <c r="W27">
        <f>SUMIFS('S&amp;L Data'!AI2:AI500,'S&amp;L Data'!$D2:$D500,"Crime and Disaster")</f>
        <v>166128389</v>
      </c>
      <c r="X27">
        <f>SUMIFS('S&amp;L Data'!AJ2:AJ500,'S&amp;L Data'!$D2:$D500,"Crime and Disaster")</f>
        <v>176281400</v>
      </c>
      <c r="Y27">
        <f>SUMIFS('S&amp;L Data'!AK2:AK500,'S&amp;L Data'!$D2:$D500,"Crime and Disaster")</f>
        <v>181630544</v>
      </c>
      <c r="Z27">
        <f>SUMIFS('S&amp;L Data'!AL2:AL500,'S&amp;L Data'!$D2:$D500,"Crime and Disaster")</f>
        <v>188459321</v>
      </c>
      <c r="AA27">
        <f>SUMIFS('S&amp;L Data'!AM2:AM500,'S&amp;L Data'!$D2:$D500,"Crime and Disaster")</f>
        <v>199123657</v>
      </c>
      <c r="AB27">
        <f>SUMIFS('S&amp;L Data'!AN2:AN500,'S&amp;L Data'!$D2:$D500,"Crime and Disaster")</f>
        <v>211692087</v>
      </c>
      <c r="AC27">
        <f>SUMIFS('S&amp;L Data'!AO2:AO500,'S&amp;L Data'!$D2:$D500,"Crime and Disaster")</f>
        <v>227416290</v>
      </c>
      <c r="AD27">
        <f>SUMIFS('S&amp;L Data'!AP2:AP500,'S&amp;L Data'!$D2:$D500,"Crime and Disaster")</f>
        <v>242620895</v>
      </c>
      <c r="AE27">
        <f>SUMIFS('S&amp;L Data'!AQ2:AQ500,'S&amp;L Data'!$D2:$D500,"Crime and Disaster")</f>
        <v>253756557</v>
      </c>
      <c r="AF27">
        <f>SUMIFS('S&amp;L Data'!AR2:AR500,'S&amp;L Data'!$D2:$D500,"Crime and Disaster")</f>
        <v>253245646</v>
      </c>
      <c r="AG27">
        <f>SUMIFS('S&amp;L Data'!AS2:AS500,'S&amp;L Data'!$D2:$D500,"Crime and Disaster")</f>
        <v>254316127</v>
      </c>
      <c r="AH27">
        <f>SUMIFS('S&amp;L Data'!AT2:AT500,'S&amp;L Data'!$D2:$D500,"Crime and Disaster")</f>
        <v>255249963</v>
      </c>
      <c r="AI27">
        <f>SUMIFS('S&amp;L Data'!AU2:AU500,'S&amp;L Data'!$D2:$D500,"Crime and Disaster")</f>
        <v>257099117</v>
      </c>
      <c r="AJ27">
        <f>SUMIFS('S&amp;L Data'!AV2:AV500,'S&amp;L Data'!$D2:$D500,"Crime and Disaster")</f>
        <v>264885131</v>
      </c>
    </row>
    <row r="28" spans="1:36">
      <c r="A28" s="4" t="s">
        <v>29</v>
      </c>
      <c r="B28">
        <f>SUMIFS('S&amp;L Data'!N2:N500,'S&amp;L Data'!$E2:$E500,"Law Enforcement and Corrections")</f>
        <v>19941205</v>
      </c>
      <c r="C28">
        <f>SUMIFS('S&amp;L Data'!O2:O500,'S&amp;L Data'!$E2:$E500,"Law Enforcement and Corrections")</f>
        <v>22339916</v>
      </c>
      <c r="D28">
        <f>SUMIFS('S&amp;L Data'!P2:P500,'S&amp;L Data'!$E2:$E500,"Law Enforcement and Corrections")</f>
        <v>24981342</v>
      </c>
      <c r="E28">
        <f>SUMIFS('S&amp;L Data'!Q2:Q500,'S&amp;L Data'!$E2:$E500,"Law Enforcement and Corrections")</f>
        <v>27741095</v>
      </c>
      <c r="F28">
        <f>SUMIFS('S&amp;L Data'!R2:R500,'S&amp;L Data'!$E2:$E500,"Law Enforcement and Corrections")</f>
        <v>30349893</v>
      </c>
      <c r="G28">
        <f>SUMIFS('S&amp;L Data'!S2:S500,'S&amp;L Data'!$E2:$E500,"Law Enforcement and Corrections")</f>
        <v>33794943</v>
      </c>
      <c r="H28">
        <f>SUMIFS('S&amp;L Data'!T2:T500,'S&amp;L Data'!$E2:$E500,"Law Enforcement and Corrections")</f>
        <v>37642801</v>
      </c>
      <c r="I28">
        <f>SUMIFS('S&amp;L Data'!U2:U500,'S&amp;L Data'!$E2:$E500,"Law Enforcement and Corrections")</f>
        <v>41380269</v>
      </c>
      <c r="J28">
        <f>SUMIFS('S&amp;L Data'!V2:V500,'S&amp;L Data'!$E2:$E500,"Law Enforcement and Corrections")</f>
        <v>45262749</v>
      </c>
      <c r="K28">
        <f>SUMIFS('S&amp;L Data'!W2:W500,'S&amp;L Data'!$E2:$E500,"Law Enforcement and Corrections")</f>
        <v>48968112</v>
      </c>
      <c r="L28">
        <f>SUMIFS('S&amp;L Data'!X2:X500,'S&amp;L Data'!$E2:$E500,"Law Enforcement and Corrections")</f>
        <v>55211807</v>
      </c>
      <c r="M28">
        <f>SUMIFS('S&amp;L Data'!Y2:Y500,'S&amp;L Data'!$E2:$E500,"Law Enforcement and Corrections")</f>
        <v>60128061</v>
      </c>
      <c r="N28">
        <f>SUMIFS('S&amp;L Data'!Z2:Z500,'S&amp;L Data'!$E2:$E500,"Law Enforcement and Corrections")</f>
        <v>64181520</v>
      </c>
      <c r="O28">
        <f>SUMIFS('S&amp;L Data'!AA2:AA500,'S&amp;L Data'!$E2:$E500,"Law Enforcement and Corrections")</f>
        <v>66037631</v>
      </c>
      <c r="P28">
        <f>SUMIFS('S&amp;L Data'!AB2:AB500,'S&amp;L Data'!$E2:$E500,"Law Enforcement and Corrections")</f>
        <v>70914966</v>
      </c>
      <c r="Q28">
        <f>SUMIFS('S&amp;L Data'!AC2:AC500,'S&amp;L Data'!$E2:$E500,"Law Enforcement and Corrections")</f>
        <v>76911386</v>
      </c>
      <c r="R28">
        <f>SUMIFS('S&amp;L Data'!AD2:AD500,'S&amp;L Data'!$E2:$E500,"Law Enforcement and Corrections")</f>
        <v>82193002</v>
      </c>
      <c r="S28">
        <f>SUMIFS('S&amp;L Data'!AE2:AE500,'S&amp;L Data'!$E2:$E500,"Law Enforcement and Corrections")</f>
        <v>87565200</v>
      </c>
      <c r="T28">
        <f>SUMIFS('S&amp;L Data'!AF2:AF500,'S&amp;L Data'!$E2:$E500,"Law Enforcement and Corrections")</f>
        <v>92953832</v>
      </c>
      <c r="U28">
        <f>SUMIFS('S&amp;L Data'!AG2:AG500,'S&amp;L Data'!$E2:$E500,"Law Enforcement and Corrections")</f>
        <v>98964591</v>
      </c>
      <c r="V28">
        <f>SUMIFS('S&amp;L Data'!AH2:AH500,'S&amp;L Data'!$E2:$E500,"Law Enforcement and Corrections")</f>
        <v>105603510</v>
      </c>
      <c r="W28">
        <f>SUMIFS('S&amp;L Data'!AI2:AI500,'S&amp;L Data'!$E2:$E500,"Law Enforcement and Corrections")</f>
        <v>111954428</v>
      </c>
      <c r="X28">
        <f>SUMIFS('S&amp;L Data'!AJ2:AJ500,'S&amp;L Data'!$E2:$E500,"Law Enforcement and Corrections")</f>
        <v>119073631</v>
      </c>
      <c r="Y28">
        <f>SUMIFS('S&amp;L Data'!AK2:AK500,'S&amp;L Data'!$E2:$E500,"Law Enforcement and Corrections")</f>
        <v>122832686</v>
      </c>
      <c r="Z28">
        <f>SUMIFS('S&amp;L Data'!AL2:AL500,'S&amp;L Data'!$E2:$E500,"Law Enforcement and Corrections")</f>
        <v>126414466</v>
      </c>
      <c r="AA28">
        <f>SUMIFS('S&amp;L Data'!AM2:AM500,'S&amp;L Data'!$E2:$E500,"Law Enforcement and Corrections")</f>
        <v>133233166</v>
      </c>
      <c r="AB28">
        <f>SUMIFS('S&amp;L Data'!AN2:AN500,'S&amp;L Data'!$E2:$E500,"Law Enforcement and Corrections")</f>
        <v>141045798</v>
      </c>
      <c r="AC28">
        <f>SUMIFS('S&amp;L Data'!AO2:AO500,'S&amp;L Data'!$E2:$E500,"Law Enforcement and Corrections")</f>
        <v>152031914</v>
      </c>
      <c r="AD28">
        <f>SUMIFS('S&amp;L Data'!AP2:AP500,'S&amp;L Data'!$E2:$E500,"Law Enforcement and Corrections")</f>
        <v>162215648</v>
      </c>
      <c r="AE28">
        <f>SUMIFS('S&amp;L Data'!AQ2:AQ500,'S&amp;L Data'!$E2:$E500,"Law Enforcement and Corrections")</f>
        <v>170113275</v>
      </c>
      <c r="AF28">
        <f>SUMIFS('S&amp;L Data'!AR2:AR500,'S&amp;L Data'!$E2:$E500,"Law Enforcement and Corrections")</f>
        <v>168872071</v>
      </c>
      <c r="AG28">
        <f>SUMIFS('S&amp;L Data'!AS2:AS500,'S&amp;L Data'!$E2:$E500,"Law Enforcement and Corrections")</f>
        <v>170009525</v>
      </c>
      <c r="AH28">
        <f>SUMIFS('S&amp;L Data'!AT2:AT500,'S&amp;L Data'!$E2:$E500,"Law Enforcement and Corrections")</f>
        <v>169612728</v>
      </c>
      <c r="AI28">
        <f>SUMIFS('S&amp;L Data'!AU2:AU500,'S&amp;L Data'!$E2:$E500,"Law Enforcement and Corrections")</f>
        <v>171991712</v>
      </c>
      <c r="AJ28">
        <f>SUMIFS('S&amp;L Data'!AV2:AV500,'S&amp;L Data'!$E2:$E500,"Law Enforcement and Corrections")</f>
        <v>176694596</v>
      </c>
    </row>
    <row r="29" spans="1:36">
      <c r="A29" s="4" t="s">
        <v>30</v>
      </c>
      <c r="B29">
        <f>SUMIFS('S&amp;L Data'!N2:N500,'S&amp;L Data'!$E2:$E500,"Justice System")</f>
        <v>2587613</v>
      </c>
      <c r="C29">
        <f>SUMIFS('S&amp;L Data'!O2:O500,'S&amp;L Data'!$E2:$E500,"Justice System")</f>
        <v>2649660</v>
      </c>
      <c r="D29">
        <f>SUMIFS('S&amp;L Data'!P2:P500,'S&amp;L Data'!$E2:$E500,"Justice System")</f>
        <v>4752288</v>
      </c>
      <c r="E29">
        <f>SUMIFS('S&amp;L Data'!Q2:Q500,'S&amp;L Data'!$E2:$E500,"Justice System")</f>
        <v>7007431</v>
      </c>
      <c r="F29">
        <f>SUMIFS('S&amp;L Data'!R2:R500,'S&amp;L Data'!$E2:$E500,"Justice System")</f>
        <v>7648866</v>
      </c>
      <c r="G29">
        <f>SUMIFS('S&amp;L Data'!S2:S500,'S&amp;L Data'!$E2:$E500,"Justice System")</f>
        <v>8437125</v>
      </c>
      <c r="H29">
        <f>SUMIFS('S&amp;L Data'!T2:T500,'S&amp;L Data'!$E2:$E500,"Justice System")</f>
        <v>9303842</v>
      </c>
      <c r="I29">
        <f>SUMIFS('S&amp;L Data'!U2:U500,'S&amp;L Data'!$E2:$E500,"Justice System")</f>
        <v>10103225</v>
      </c>
      <c r="J29">
        <f>SUMIFS('S&amp;L Data'!V2:V500,'S&amp;L Data'!$E2:$E500,"Justice System")</f>
        <v>11213374</v>
      </c>
      <c r="K29">
        <f>SUMIFS('S&amp;L Data'!W2:W500,'S&amp;L Data'!$E2:$E500,"Justice System")</f>
        <v>12586861</v>
      </c>
      <c r="L29">
        <f>SUMIFS('S&amp;L Data'!X2:X500,'S&amp;L Data'!$E2:$E500,"Justice System")</f>
        <v>14107500</v>
      </c>
      <c r="M29">
        <f>SUMIFS('S&amp;L Data'!Y2:Y500,'S&amp;L Data'!$E2:$E500,"Justice System")</f>
        <v>15377798</v>
      </c>
      <c r="N29">
        <f>SUMIFS('S&amp;L Data'!Z2:Z500,'S&amp;L Data'!$E2:$E500,"Justice System")</f>
        <v>16458980</v>
      </c>
      <c r="O29">
        <f>SUMIFS('S&amp;L Data'!AA2:AA500,'S&amp;L Data'!$E2:$E500,"Justice System")</f>
        <v>16992532</v>
      </c>
      <c r="P29">
        <f>SUMIFS('S&amp;L Data'!AB2:AB500,'S&amp;L Data'!$E2:$E500,"Justice System")</f>
        <v>17877217</v>
      </c>
      <c r="Q29">
        <f>SUMIFS('S&amp;L Data'!AC2:AC500,'S&amp;L Data'!$E2:$E500,"Justice System")</f>
        <v>19168153</v>
      </c>
      <c r="R29">
        <f>SUMIFS('S&amp;L Data'!AD2:AD500,'S&amp;L Data'!$E2:$E500,"Justice System")</f>
        <v>20453777</v>
      </c>
      <c r="S29">
        <f>SUMIFS('S&amp;L Data'!AE2:AE500,'S&amp;L Data'!$E2:$E500,"Justice System")</f>
        <v>21645774</v>
      </c>
      <c r="T29">
        <f>SUMIFS('S&amp;L Data'!AF2:AF500,'S&amp;L Data'!$E2:$E500,"Justice System")</f>
        <v>23573382</v>
      </c>
      <c r="U29">
        <f>SUMIFS('S&amp;L Data'!AG2:AG500,'S&amp;L Data'!$E2:$E500,"Justice System")</f>
        <v>25316294</v>
      </c>
      <c r="V29">
        <f>SUMIFS('S&amp;L Data'!AH2:AH500,'S&amp;L Data'!$E2:$E500,"Justice System")</f>
        <v>27032180</v>
      </c>
      <c r="W29">
        <f>SUMIFS('S&amp;L Data'!AI2:AI500,'S&amp;L Data'!$E2:$E500,"Justice System")</f>
        <v>29203901</v>
      </c>
      <c r="X29">
        <f>SUMIFS('S&amp;L Data'!AJ2:AJ500,'S&amp;L Data'!$E2:$E500,"Justice System")</f>
        <v>31210148</v>
      </c>
      <c r="Y29">
        <f>SUMIFS('S&amp;L Data'!AK2:AK500,'S&amp;L Data'!$E2:$E500,"Justice System")</f>
        <v>32460282</v>
      </c>
      <c r="Z29">
        <f>SUMIFS('S&amp;L Data'!AL2:AL500,'S&amp;L Data'!$E2:$E500,"Justice System")</f>
        <v>33054300</v>
      </c>
      <c r="AA29">
        <f>SUMIFS('S&amp;L Data'!AM2:AM500,'S&amp;L Data'!$E2:$E500,"Justice System")</f>
        <v>35060379</v>
      </c>
      <c r="AB29">
        <f>SUMIFS('S&amp;L Data'!AN2:AN500,'S&amp;L Data'!$E2:$E500,"Justice System")</f>
        <v>36991723</v>
      </c>
      <c r="AC29">
        <f>SUMIFS('S&amp;L Data'!AO2:AO500,'S&amp;L Data'!$E2:$E500,"Justice System")</f>
        <v>38696825</v>
      </c>
      <c r="AD29">
        <f>SUMIFS('S&amp;L Data'!AP2:AP500,'S&amp;L Data'!$E2:$E500,"Justice System")</f>
        <v>41100373</v>
      </c>
      <c r="AE29">
        <f>SUMIFS('S&amp;L Data'!AQ2:AQ500,'S&amp;L Data'!$E2:$E500,"Justice System")</f>
        <v>42756817</v>
      </c>
      <c r="AF29">
        <f>SUMIFS('S&amp;L Data'!AR2:AR500,'S&amp;L Data'!$E2:$E500,"Justice System")</f>
        <v>43038929</v>
      </c>
      <c r="AG29">
        <f>SUMIFS('S&amp;L Data'!AS2:AS500,'S&amp;L Data'!$E2:$E500,"Justice System")</f>
        <v>42925983</v>
      </c>
      <c r="AH29">
        <f>SUMIFS('S&amp;L Data'!AT2:AT500,'S&amp;L Data'!$E2:$E500,"Justice System")</f>
        <v>43187152</v>
      </c>
      <c r="AI29">
        <f>SUMIFS('S&amp;L Data'!AU2:AU500,'S&amp;L Data'!$E2:$E500,"Justice System")</f>
        <v>42556541</v>
      </c>
      <c r="AJ29">
        <f>SUMIFS('S&amp;L Data'!AV2:AV500,'S&amp;L Data'!$E2:$E500,"Justice System")</f>
        <v>44050275</v>
      </c>
    </row>
    <row r="30" spans="1:36">
      <c r="A30" s="4" t="s">
        <v>31</v>
      </c>
      <c r="B30">
        <f>SUMIFS('S&amp;L Data'!N2:N500,'S&amp;L Data'!$E2:$E500,"Fire Protection")</f>
        <v>5718232</v>
      </c>
      <c r="C30">
        <f>SUMIFS('S&amp;L Data'!O2:O500,'S&amp;L Data'!$E2:$E500,"Fire Protection")</f>
        <v>6335761</v>
      </c>
      <c r="D30">
        <f>SUMIFS('S&amp;L Data'!P2:P500,'S&amp;L Data'!$E2:$E500,"Fire Protection")</f>
        <v>7025556</v>
      </c>
      <c r="E30">
        <f>SUMIFS('S&amp;L Data'!Q2:Q500,'S&amp;L Data'!$E2:$E500,"Fire Protection")</f>
        <v>7582075</v>
      </c>
      <c r="F30">
        <f>SUMIFS('S&amp;L Data'!R2:R500,'S&amp;L Data'!$E2:$E500,"Fire Protection")</f>
        <v>8201727</v>
      </c>
      <c r="G30">
        <f>SUMIFS('S&amp;L Data'!S2:S500,'S&amp;L Data'!$E2:$E500,"Fire Protection")</f>
        <v>8916631</v>
      </c>
      <c r="H30">
        <f>SUMIFS('S&amp;L Data'!T2:T500,'S&amp;L Data'!$E2:$E500,"Fire Protection")</f>
        <v>9586526</v>
      </c>
      <c r="I30">
        <f>SUMIFS('S&amp;L Data'!U2:U500,'S&amp;L Data'!$E2:$E500,"Fire Protection")</f>
        <v>10452893</v>
      </c>
      <c r="J30">
        <f>SUMIFS('S&amp;L Data'!V2:V500,'S&amp;L Data'!$E2:$E500,"Fire Protection")</f>
        <v>11752856</v>
      </c>
      <c r="K30">
        <f>SUMIFS('S&amp;L Data'!W2:W500,'S&amp;L Data'!$E2:$E500,"Fire Protection")</f>
        <v>11932217</v>
      </c>
      <c r="L30">
        <f>SUMIFS('S&amp;L Data'!X2:X500,'S&amp;L Data'!$E2:$E500,"Fire Protection")</f>
        <v>13186081</v>
      </c>
      <c r="M30">
        <f>SUMIFS('S&amp;L Data'!Y2:Y500,'S&amp;L Data'!$E2:$E500,"Fire Protection")</f>
        <v>13796137</v>
      </c>
      <c r="N30">
        <f>SUMIFS('S&amp;L Data'!Z2:Z500,'S&amp;L Data'!$E2:$E500,"Fire Protection")</f>
        <v>14750658</v>
      </c>
      <c r="O30">
        <f>SUMIFS('S&amp;L Data'!AA2:AA500,'S&amp;L Data'!$E2:$E500,"Fire Protection")</f>
        <v>15372647</v>
      </c>
      <c r="P30">
        <f>SUMIFS('S&amp;L Data'!AB2:AB500,'S&amp;L Data'!$E2:$E500,"Fire Protection")</f>
        <v>16122797</v>
      </c>
      <c r="Q30">
        <f>SUMIFS('S&amp;L Data'!AC2:AC500,'S&amp;L Data'!$E2:$E500,"Fire Protection")</f>
        <v>17009481</v>
      </c>
      <c r="R30">
        <f>SUMIFS('S&amp;L Data'!AD2:AD500,'S&amp;L Data'!$E2:$E500,"Fire Protection")</f>
        <v>17708772</v>
      </c>
      <c r="S30">
        <f>SUMIFS('S&amp;L Data'!AE2:AE500,'S&amp;L Data'!$E2:$E500,"Fire Protection")</f>
        <v>19407253</v>
      </c>
      <c r="T30">
        <f>SUMIFS('S&amp;L Data'!AF2:AF500,'S&amp;L Data'!$E2:$E500,"Fire Protection")</f>
        <v>20268863</v>
      </c>
      <c r="U30">
        <f>SUMIFS('S&amp;L Data'!AG2:AG500,'S&amp;L Data'!$E2:$E500,"Fire Protection")</f>
        <v>21262103</v>
      </c>
      <c r="V30">
        <f>SUMIFS('S&amp;L Data'!AH2:AH500,'S&amp;L Data'!$E2:$E500,"Fire Protection")</f>
        <v>23101931</v>
      </c>
      <c r="W30">
        <f>SUMIFS('S&amp;L Data'!AI2:AI500,'S&amp;L Data'!$E2:$E500,"Fire Protection")</f>
        <v>24970060</v>
      </c>
      <c r="X30">
        <f>SUMIFS('S&amp;L Data'!AJ2:AJ500,'S&amp;L Data'!$E2:$E500,"Fire Protection")</f>
        <v>25997621</v>
      </c>
      <c r="Y30">
        <f>SUMIFS('S&amp;L Data'!AK2:AK500,'S&amp;L Data'!$E2:$E500,"Fire Protection")</f>
        <v>26337576</v>
      </c>
      <c r="Z30">
        <f>SUMIFS('S&amp;L Data'!AL2:AL500,'S&amp;L Data'!$E2:$E500,"Fire Protection")</f>
        <v>28990555</v>
      </c>
      <c r="AA30">
        <f>SUMIFS('S&amp;L Data'!AM2:AM500,'S&amp;L Data'!$E2:$E500,"Fire Protection")</f>
        <v>30830112</v>
      </c>
      <c r="AB30">
        <f>SUMIFS('S&amp;L Data'!AN2:AN500,'S&amp;L Data'!$E2:$E500,"Fire Protection")</f>
        <v>33654566</v>
      </c>
      <c r="AC30">
        <f>SUMIFS('S&amp;L Data'!AO2:AO500,'S&amp;L Data'!$E2:$E500,"Fire Protection")</f>
        <v>36687551</v>
      </c>
      <c r="AD30">
        <f>SUMIFS('S&amp;L Data'!AP2:AP500,'S&amp;L Data'!$E2:$E500,"Fire Protection")</f>
        <v>39304874</v>
      </c>
      <c r="AE30">
        <f>SUMIFS('S&amp;L Data'!AQ2:AQ500,'S&amp;L Data'!$E2:$E500,"Fire Protection")</f>
        <v>40886465</v>
      </c>
      <c r="AF30">
        <f>SUMIFS('S&amp;L Data'!AR2:AR500,'S&amp;L Data'!$E2:$E500,"Fire Protection")</f>
        <v>41334646</v>
      </c>
      <c r="AG30">
        <f>SUMIFS('S&amp;L Data'!AS2:AS500,'S&amp;L Data'!$E2:$E500,"Fire Protection")</f>
        <v>41380619</v>
      </c>
      <c r="AH30">
        <f>SUMIFS('S&amp;L Data'!AT2:AT500,'S&amp;L Data'!$E2:$E500,"Fire Protection")</f>
        <v>42450083</v>
      </c>
      <c r="AI30">
        <f>SUMIFS('S&amp;L Data'!AU2:AU500,'S&amp;L Data'!$E2:$E500,"Fire Protection")</f>
        <v>42550864</v>
      </c>
      <c r="AJ30">
        <f>SUMIFS('S&amp;L Data'!AV2:AV500,'S&amp;L Data'!$E2:$E500,"Fire Protection")</f>
        <v>44140260</v>
      </c>
    </row>
    <row r="31" spans="1:36">
      <c r="A31" s="3" t="s">
        <v>262</v>
      </c>
      <c r="B31">
        <f>SUMIFS('S&amp;L Data'!N2:N500,'S&amp;L Data'!$D2:$D500,"General Business Regulation")</f>
        <v>2317612</v>
      </c>
      <c r="C31">
        <f>SUMIFS('S&amp;L Data'!O2:O500,'S&amp;L Data'!$D2:$D500,"General Business Regulation")</f>
        <v>2556994</v>
      </c>
      <c r="D31">
        <f>SUMIFS('S&amp;L Data'!P2:P500,'S&amp;L Data'!$D2:$D500,"General Business Regulation")</f>
        <v>2787350</v>
      </c>
      <c r="E31">
        <f>SUMIFS('S&amp;L Data'!Q2:Q500,'S&amp;L Data'!$D2:$D500,"General Business Regulation")</f>
        <v>2967185</v>
      </c>
      <c r="F31">
        <f>SUMIFS('S&amp;L Data'!R2:R500,'S&amp;L Data'!$D2:$D500,"General Business Regulation")</f>
        <v>3233321</v>
      </c>
      <c r="G31">
        <f>SUMIFS('S&amp;L Data'!S2:S500,'S&amp;L Data'!$D2:$D500,"General Business Regulation")</f>
        <v>3530205</v>
      </c>
      <c r="H31">
        <f>SUMIFS('S&amp;L Data'!T2:T500,'S&amp;L Data'!$D2:$D500,"General Business Regulation")</f>
        <v>4078692</v>
      </c>
      <c r="I31">
        <f>SUMIFS('S&amp;L Data'!U2:U500,'S&amp;L Data'!$D2:$D500,"General Business Regulation")</f>
        <v>4417026</v>
      </c>
      <c r="J31">
        <f>SUMIFS('S&amp;L Data'!V2:V500,'S&amp;L Data'!$D2:$D500,"General Business Regulation")</f>
        <v>4723810</v>
      </c>
      <c r="K31">
        <f>SUMIFS('S&amp;L Data'!W2:W500,'S&amp;L Data'!$D2:$D500,"General Business Regulation")</f>
        <v>5080913</v>
      </c>
      <c r="L31">
        <f>SUMIFS('S&amp;L Data'!X2:X500,'S&amp;L Data'!$D2:$D500,"General Business Regulation")</f>
        <v>5570328</v>
      </c>
      <c r="M31">
        <f>SUMIFS('S&amp;L Data'!Y2:Y500,'S&amp;L Data'!$D2:$D500,"General Business Regulation")</f>
        <v>6008078</v>
      </c>
      <c r="N31">
        <f>SUMIFS('S&amp;L Data'!Z2:Z500,'S&amp;L Data'!$D2:$D500,"General Business Regulation")</f>
        <v>6272404</v>
      </c>
      <c r="O31">
        <f>SUMIFS('S&amp;L Data'!AA2:AA500,'S&amp;L Data'!$D2:$D500,"General Business Regulation")</f>
        <v>6353983</v>
      </c>
      <c r="P31">
        <f>SUMIFS('S&amp;L Data'!AB2:AB500,'S&amp;L Data'!$D2:$D500,"General Business Regulation")</f>
        <v>6637861</v>
      </c>
      <c r="Q31">
        <f>SUMIFS('S&amp;L Data'!AC2:AC500,'S&amp;L Data'!$D2:$D500,"General Business Regulation")</f>
        <v>7236299</v>
      </c>
      <c r="R31">
        <f>SUMIFS('S&amp;L Data'!AD2:AD500,'S&amp;L Data'!$D2:$D500,"General Business Regulation")</f>
        <v>7222021</v>
      </c>
      <c r="S31">
        <f>SUMIFS('S&amp;L Data'!AE2:AE500,'S&amp;L Data'!$D2:$D500,"General Business Regulation")</f>
        <v>7668988</v>
      </c>
      <c r="T31">
        <f>SUMIFS('S&amp;L Data'!AF2:AF500,'S&amp;L Data'!$D2:$D500,"General Business Regulation")</f>
        <v>7957951</v>
      </c>
      <c r="U31">
        <f>SUMIFS('S&amp;L Data'!AG2:AG500,'S&amp;L Data'!$D2:$D500,"General Business Regulation")</f>
        <v>8515847</v>
      </c>
      <c r="V31">
        <f>SUMIFS('S&amp;L Data'!AH2:AH500,'S&amp;L Data'!$D2:$D500,"General Business Regulation")</f>
        <v>9103757</v>
      </c>
      <c r="W31">
        <f>SUMIFS('S&amp;L Data'!AI2:AI500,'S&amp;L Data'!$D2:$D500,"General Business Regulation")</f>
        <v>9619967</v>
      </c>
      <c r="X31">
        <f>SUMIFS('S&amp;L Data'!AJ2:AJ500,'S&amp;L Data'!$D2:$D500,"General Business Regulation")</f>
        <v>11631226</v>
      </c>
      <c r="Y31">
        <f>SUMIFS('S&amp;L Data'!AK2:AK500,'S&amp;L Data'!$D2:$D500,"General Business Regulation")</f>
        <v>11592515</v>
      </c>
      <c r="Z31">
        <f>SUMIFS('S&amp;L Data'!AL2:AL500,'S&amp;L Data'!$D2:$D500,"General Business Regulation")</f>
        <v>11494126</v>
      </c>
      <c r="AA31">
        <f>SUMIFS('S&amp;L Data'!AM2:AM500,'S&amp;L Data'!$D2:$D500,"General Business Regulation")</f>
        <v>12694457</v>
      </c>
      <c r="AB31">
        <f>SUMIFS('S&amp;L Data'!AN2:AN500,'S&amp;L Data'!$D2:$D500,"General Business Regulation")</f>
        <v>13010287</v>
      </c>
      <c r="AC31">
        <f>SUMIFS('S&amp;L Data'!AO2:AO500,'S&amp;L Data'!$D2:$D500,"General Business Regulation")</f>
        <v>14249981</v>
      </c>
      <c r="AD31">
        <f>SUMIFS('S&amp;L Data'!AP2:AP500,'S&amp;L Data'!$D2:$D500,"General Business Regulation")</f>
        <v>14950863</v>
      </c>
      <c r="AE31">
        <f>SUMIFS('S&amp;L Data'!AQ2:AQ500,'S&amp;L Data'!$D2:$D500,"General Business Regulation")</f>
        <v>14735225</v>
      </c>
      <c r="AF31">
        <f>SUMIFS('S&amp;L Data'!AR2:AR500,'S&amp;L Data'!$D2:$D500,"General Business Regulation")</f>
        <v>14138824</v>
      </c>
      <c r="AG31">
        <f>SUMIFS('S&amp;L Data'!AS2:AS500,'S&amp;L Data'!$D2:$D500,"General Business Regulation")</f>
        <v>13811995</v>
      </c>
      <c r="AH31">
        <f>SUMIFS('S&amp;L Data'!AT2:AT500,'S&amp;L Data'!$D2:$D500,"General Business Regulation")</f>
        <v>13567740</v>
      </c>
      <c r="AI31">
        <f>SUMIFS('S&amp;L Data'!AU2:AU500,'S&amp;L Data'!$D2:$D500,"General Business Regulation")</f>
        <v>14043377</v>
      </c>
      <c r="AJ31">
        <f>SUMIFS('S&amp;L Data'!AV2:AV500,'S&amp;L Data'!$D2:$D500,"General Business Regulation")</f>
        <v>14123867</v>
      </c>
    </row>
    <row r="32" spans="1:36">
      <c r="A32" s="3" t="s">
        <v>248</v>
      </c>
      <c r="B32">
        <f>SUMIFS('S&amp;L Data'!N2:N500,'S&amp;L Data'!$D2:$D500,"Child and Social Services")</f>
        <v>11276253</v>
      </c>
      <c r="C32">
        <f>SUMIFS('S&amp;L Data'!O2:O500,'S&amp;L Data'!$D2:$D500,"Child and Social Services")</f>
        <v>13111718</v>
      </c>
      <c r="D32">
        <f>SUMIFS('S&amp;L Data'!P2:P500,'S&amp;L Data'!$D2:$D500,"Child and Social Services")</f>
        <v>14406935</v>
      </c>
      <c r="E32">
        <f>SUMIFS('S&amp;L Data'!Q2:Q500,'S&amp;L Data'!$D2:$D500,"Child and Social Services")</f>
        <v>14370211</v>
      </c>
      <c r="F32">
        <f>SUMIFS('S&amp;L Data'!R2:R500,'S&amp;L Data'!$D2:$D500,"Child and Social Services")</f>
        <v>15770172</v>
      </c>
      <c r="G32">
        <f>SUMIFS('S&amp;L Data'!S2:S500,'S&amp;L Data'!$D2:$D500,"Child and Social Services")</f>
        <v>17313669</v>
      </c>
      <c r="H32">
        <f>SUMIFS('S&amp;L Data'!T2:T500,'S&amp;L Data'!$D2:$D500,"Child and Social Services")</f>
        <v>17758459</v>
      </c>
      <c r="I32">
        <f>SUMIFS('S&amp;L Data'!U2:U500,'S&amp;L Data'!$D2:$D500,"Child and Social Services")</f>
        <v>19561385</v>
      </c>
      <c r="J32">
        <f>SUMIFS('S&amp;L Data'!V2:V500,'S&amp;L Data'!$D2:$D500,"Child and Social Services")</f>
        <v>21057733</v>
      </c>
      <c r="K32">
        <f>SUMIFS('S&amp;L Data'!W2:W500,'S&amp;L Data'!$D2:$D500,"Child and Social Services")</f>
        <v>23134863</v>
      </c>
      <c r="L32">
        <f>SUMIFS('S&amp;L Data'!X2:X500,'S&amp;L Data'!$D2:$D500,"Child and Social Services")</f>
        <v>25458791</v>
      </c>
      <c r="M32">
        <f>SUMIFS('S&amp;L Data'!Y2:Y500,'S&amp;L Data'!$D2:$D500,"Child and Social Services")</f>
        <v>28285959</v>
      </c>
      <c r="N32">
        <f>SUMIFS('S&amp;L Data'!Z2:Z500,'S&amp;L Data'!$D2:$D500,"Child and Social Services")</f>
        <v>31044718</v>
      </c>
      <c r="O32">
        <f>SUMIFS('S&amp;L Data'!AA2:AA500,'S&amp;L Data'!$D2:$D500,"Child and Social Services")</f>
        <v>33011807</v>
      </c>
      <c r="P32">
        <f>SUMIFS('S&amp;L Data'!AB2:AB500,'S&amp;L Data'!$D2:$D500,"Child and Social Services")</f>
        <v>36286837</v>
      </c>
      <c r="Q32">
        <f>SUMIFS('S&amp;L Data'!AC2:AC500,'S&amp;L Data'!$D2:$D500,"Child and Social Services")</f>
        <v>39765621</v>
      </c>
      <c r="R32">
        <f>SUMIFS('S&amp;L Data'!AD2:AD500,'S&amp;L Data'!$D2:$D500,"Child and Social Services")</f>
        <v>40588153</v>
      </c>
      <c r="S32">
        <f>SUMIFS('S&amp;L Data'!AE2:AE500,'S&amp;L Data'!$D2:$D500,"Child and Social Services")</f>
        <v>42879933</v>
      </c>
      <c r="T32">
        <f>SUMIFS('S&amp;L Data'!AF2:AF500,'S&amp;L Data'!$D2:$D500,"Child and Social Services")</f>
        <v>46608529</v>
      </c>
      <c r="U32">
        <f>SUMIFS('S&amp;L Data'!AG2:AG500,'S&amp;L Data'!$D2:$D500,"Child and Social Services")</f>
        <v>50670102</v>
      </c>
      <c r="V32">
        <f>SUMIFS('S&amp;L Data'!AH2:AH500,'S&amp;L Data'!$D2:$D500,"Child and Social Services")</f>
        <v>54372510</v>
      </c>
      <c r="W32">
        <f>SUMIFS('S&amp;L Data'!AI2:AI500,'S&amp;L Data'!$D2:$D500,"Child and Social Services")</f>
        <v>58910233</v>
      </c>
      <c r="X32">
        <f>SUMIFS('S&amp;L Data'!AJ2:AJ500,'S&amp;L Data'!$D2:$D500,"Child and Social Services")</f>
        <v>64949034</v>
      </c>
      <c r="Y32">
        <f>SUMIFS('S&amp;L Data'!AK2:AK500,'S&amp;L Data'!$D2:$D500,"Child and Social Services")</f>
        <v>67432402</v>
      </c>
      <c r="Z32">
        <f>SUMIFS('S&amp;L Data'!AL2:AL500,'S&amp;L Data'!$D2:$D500,"Child and Social Services")</f>
        <v>66034631</v>
      </c>
      <c r="AA32">
        <f>SUMIFS('S&amp;L Data'!AM2:AM500,'S&amp;L Data'!$D2:$D500,"Child and Social Services")</f>
        <v>63527320</v>
      </c>
      <c r="AB32">
        <f>SUMIFS('S&amp;L Data'!AN2:AN500,'S&amp;L Data'!$D2:$D500,"Child and Social Services")</f>
        <v>64646091</v>
      </c>
      <c r="AC32">
        <f>SUMIFS('S&amp;L Data'!AO2:AO500,'S&amp;L Data'!$D2:$D500,"Child and Social Services")</f>
        <v>65443278</v>
      </c>
      <c r="AD32">
        <f>SUMIFS('S&amp;L Data'!AP2:AP500,'S&amp;L Data'!$D2:$D500,"Child and Social Services")</f>
        <v>68385117</v>
      </c>
      <c r="AE32">
        <f>SUMIFS('S&amp;L Data'!AQ2:AQ500,'S&amp;L Data'!$D2:$D500,"Child and Social Services")</f>
        <v>71787890</v>
      </c>
      <c r="AF32">
        <f>SUMIFS('S&amp;L Data'!AR2:AR500,'S&amp;L Data'!$D2:$D500,"Child and Social Services")</f>
        <v>70677964</v>
      </c>
      <c r="AG32">
        <f>SUMIFS('S&amp;L Data'!AS2:AS500,'S&amp;L Data'!$D2:$D500,"Child and Social Services")</f>
        <v>69261183</v>
      </c>
      <c r="AH32">
        <f>SUMIFS('S&amp;L Data'!AT2:AT500,'S&amp;L Data'!$D2:$D500,"Child and Social Services")</f>
        <v>68788573</v>
      </c>
      <c r="AI32">
        <f>SUMIFS('S&amp;L Data'!AU2:AU500,'S&amp;L Data'!$D2:$D500,"Child and Social Services")</f>
        <v>70023572</v>
      </c>
      <c r="AJ32">
        <f>SUMIFS('S&amp;L Data'!AV2:AV500,'S&amp;L Data'!$D2:$D500,"Child and Social Services")</f>
        <v>72981522</v>
      </c>
    </row>
    <row r="33" spans="1:36">
      <c r="A33" s="2" t="s">
        <v>35</v>
      </c>
      <c r="B33">
        <f>SUMIFS('S&amp;L Data'!N2:N500,'S&amp;L Data'!$C2:$C500,"Common Defense")</f>
        <v>60951</v>
      </c>
      <c r="C33">
        <f>SUMIFS('S&amp;L Data'!O2:O500,'S&amp;L Data'!$C2:$C500,"Common Defense")</f>
        <v>56969</v>
      </c>
      <c r="D33">
        <f>SUMIFS('S&amp;L Data'!P2:P500,'S&amp;L Data'!$C2:$C500,"Common Defense")</f>
        <v>63798</v>
      </c>
      <c r="E33">
        <f>SUMIFS('S&amp;L Data'!Q2:Q500,'S&amp;L Data'!$C2:$C500,"Common Defense")</f>
        <v>74688</v>
      </c>
      <c r="F33">
        <f>SUMIFS('S&amp;L Data'!R2:R500,'S&amp;L Data'!$C2:$C500,"Common Defense")</f>
        <v>98572</v>
      </c>
      <c r="G33">
        <f>SUMIFS('S&amp;L Data'!S2:S500,'S&amp;L Data'!$C2:$C500,"Common Defense")</f>
        <v>112881</v>
      </c>
      <c r="H33">
        <f>SUMIFS('S&amp;L Data'!T2:T500,'S&amp;L Data'!$C2:$C500,"Common Defense")</f>
        <v>121785</v>
      </c>
      <c r="I33">
        <f>SUMIFS('S&amp;L Data'!U2:U500,'S&amp;L Data'!$C2:$C500,"Common Defense")</f>
        <v>129454</v>
      </c>
      <c r="J33">
        <f>SUMIFS('S&amp;L Data'!V2:V500,'S&amp;L Data'!$C2:$C500,"Common Defense")</f>
        <v>134281</v>
      </c>
      <c r="K33">
        <f>SUMIFS('S&amp;L Data'!W2:W500,'S&amp;L Data'!$C2:$C500,"Common Defense")</f>
        <v>146198</v>
      </c>
      <c r="L33">
        <f>SUMIFS('S&amp;L Data'!X2:X500,'S&amp;L Data'!$C2:$C500,"Common Defense")</f>
        <v>151682</v>
      </c>
      <c r="M33">
        <f>SUMIFS('S&amp;L Data'!Y2:Y500,'S&amp;L Data'!$C2:$C500,"Common Defense")</f>
        <v>157313</v>
      </c>
      <c r="N33">
        <f>SUMIFS('S&amp;L Data'!Z2:Z500,'S&amp;L Data'!$C2:$C500,"Common Defense")</f>
        <v>170014</v>
      </c>
      <c r="O33">
        <f>SUMIFS('S&amp;L Data'!AA2:AA500,'S&amp;L Data'!$C2:$C500,"Common Defense")</f>
        <v>164681</v>
      </c>
      <c r="P33">
        <f>SUMIFS('S&amp;L Data'!AB2:AB500,'S&amp;L Data'!$C2:$C500,"Common Defense")</f>
        <v>179076</v>
      </c>
      <c r="Q33">
        <f>SUMIFS('S&amp;L Data'!AC2:AC500,'S&amp;L Data'!$C2:$C500,"Common Defense")</f>
        <v>206109</v>
      </c>
      <c r="R33">
        <f>SUMIFS('S&amp;L Data'!AD2:AD500,'S&amp;L Data'!$C2:$C500,"Common Defense")</f>
        <v>225645</v>
      </c>
      <c r="S33">
        <f>SUMIFS('S&amp;L Data'!AE2:AE500,'S&amp;L Data'!$C2:$C500,"Common Defense")</f>
        <v>243188</v>
      </c>
      <c r="T33">
        <f>SUMIFS('S&amp;L Data'!AF2:AF500,'S&amp;L Data'!$C2:$C500,"Common Defense")</f>
        <v>288331</v>
      </c>
      <c r="U33">
        <f>SUMIFS('S&amp;L Data'!AG2:AG500,'S&amp;L Data'!$C2:$C500,"Common Defense")</f>
        <v>283242</v>
      </c>
      <c r="V33">
        <f>SUMIFS('S&amp;L Data'!AH2:AH500,'S&amp;L Data'!$C2:$C500,"Common Defense")</f>
        <v>356552</v>
      </c>
      <c r="W33">
        <f>SUMIFS('S&amp;L Data'!AI2:AI500,'S&amp;L Data'!$C2:$C500,"Common Defense")</f>
        <v>336520</v>
      </c>
      <c r="X33">
        <f>SUMIFS('S&amp;L Data'!AJ2:AJ500,'S&amp;L Data'!$C2:$C500,"Common Defense")</f>
        <v>361190</v>
      </c>
      <c r="Y33">
        <f>SUMIFS('S&amp;L Data'!AK2:AK500,'S&amp;L Data'!$C2:$C500,"Common Defense")</f>
        <v>1016563</v>
      </c>
      <c r="Z33">
        <f>SUMIFS('S&amp;L Data'!AL2:AL500,'S&amp;L Data'!$C2:$C500,"Common Defense")</f>
        <v>1503822</v>
      </c>
      <c r="AA33">
        <f>SUMIFS('S&amp;L Data'!AM2:AM500,'S&amp;L Data'!$C2:$C500,"Common Defense")</f>
        <v>1188935</v>
      </c>
      <c r="AB33">
        <f>SUMIFS('S&amp;L Data'!AN2:AN500,'S&amp;L Data'!$C2:$C500,"Common Defense")</f>
        <v>992146</v>
      </c>
      <c r="AC33">
        <f>SUMIFS('S&amp;L Data'!AO2:AO500,'S&amp;L Data'!$C2:$C500,"Common Defense")</f>
        <v>1030506</v>
      </c>
      <c r="AD33">
        <f>SUMIFS('S&amp;L Data'!AP2:AP500,'S&amp;L Data'!$C2:$C500,"Common Defense")</f>
        <v>1080399</v>
      </c>
      <c r="AE33">
        <f>SUMIFS('S&amp;L Data'!AQ2:AQ500,'S&amp;L Data'!$C2:$C500,"Common Defense")</f>
        <v>933222</v>
      </c>
      <c r="AF33">
        <f>SUMIFS('S&amp;L Data'!AR2:AR500,'S&amp;L Data'!$C2:$C500,"Common Defense")</f>
        <v>793609</v>
      </c>
      <c r="AG33">
        <f>SUMIFS('S&amp;L Data'!AS2:AS500,'S&amp;L Data'!$C2:$C500,"Common Defense")</f>
        <v>927042</v>
      </c>
      <c r="AH33">
        <f>SUMIFS('S&amp;L Data'!AT2:AT500,'S&amp;L Data'!$C2:$C500,"Common Defense")</f>
        <v>838031</v>
      </c>
      <c r="AI33">
        <f>SUMIFS('S&amp;L Data'!AU2:AU500,'S&amp;L Data'!$C2:$C500,"Common Defense")</f>
        <v>1024498</v>
      </c>
      <c r="AJ33">
        <f>SUMIFS('S&amp;L Data'!AV2:AV500,'S&amp;L Data'!$C2:$C500,"Common Defense")</f>
        <v>1059763</v>
      </c>
    </row>
    <row r="34" spans="1:36">
      <c r="A34" s="3" t="s">
        <v>23</v>
      </c>
      <c r="B34">
        <f>SUMIFS('S&amp;L Data'!N2:N500,'S&amp;L Data'!$D2:$D500,"National Defense and Support for Veterans")</f>
        <v>60951</v>
      </c>
      <c r="C34">
        <f>SUMIFS('S&amp;L Data'!O2:O500,'S&amp;L Data'!$D2:$D500,"National Defense and Support for Veterans")</f>
        <v>56969</v>
      </c>
      <c r="D34">
        <f>SUMIFS('S&amp;L Data'!P2:P500,'S&amp;L Data'!$D2:$D500,"National Defense and Support for Veterans")</f>
        <v>63798</v>
      </c>
      <c r="E34">
        <f>SUMIFS('S&amp;L Data'!Q2:Q500,'S&amp;L Data'!$D2:$D500,"National Defense and Support for Veterans")</f>
        <v>74688</v>
      </c>
      <c r="F34">
        <f>SUMIFS('S&amp;L Data'!R2:R500,'S&amp;L Data'!$D2:$D500,"National Defense and Support for Veterans")</f>
        <v>98572</v>
      </c>
      <c r="G34">
        <f>SUMIFS('S&amp;L Data'!S2:S500,'S&amp;L Data'!$D2:$D500,"National Defense and Support for Veterans")</f>
        <v>112881</v>
      </c>
      <c r="H34">
        <f>SUMIFS('S&amp;L Data'!T2:T500,'S&amp;L Data'!$D2:$D500,"National Defense and Support for Veterans")</f>
        <v>121785</v>
      </c>
      <c r="I34">
        <f>SUMIFS('S&amp;L Data'!U2:U500,'S&amp;L Data'!$D2:$D500,"National Defense and Support for Veterans")</f>
        <v>129454</v>
      </c>
      <c r="J34">
        <f>SUMIFS('S&amp;L Data'!V2:V500,'S&amp;L Data'!$D2:$D500,"National Defense and Support for Veterans")</f>
        <v>134281</v>
      </c>
      <c r="K34">
        <f>SUMIFS('S&amp;L Data'!W2:W500,'S&amp;L Data'!$D2:$D500,"National Defense and Support for Veterans")</f>
        <v>146198</v>
      </c>
      <c r="L34">
        <f>SUMIFS('S&amp;L Data'!X2:X500,'S&amp;L Data'!$D2:$D500,"National Defense and Support for Veterans")</f>
        <v>151682</v>
      </c>
      <c r="M34">
        <f>SUMIFS('S&amp;L Data'!Y2:Y500,'S&amp;L Data'!$D2:$D500,"National Defense and Support for Veterans")</f>
        <v>157313</v>
      </c>
      <c r="N34">
        <f>SUMIFS('S&amp;L Data'!Z2:Z500,'S&amp;L Data'!$D2:$D500,"National Defense and Support for Veterans")</f>
        <v>170014</v>
      </c>
      <c r="O34">
        <f>SUMIFS('S&amp;L Data'!AA2:AA500,'S&amp;L Data'!$D2:$D500,"National Defense and Support for Veterans")</f>
        <v>164681</v>
      </c>
      <c r="P34">
        <f>SUMIFS('S&amp;L Data'!AB2:AB500,'S&amp;L Data'!$D2:$D500,"National Defense and Support for Veterans")</f>
        <v>179076</v>
      </c>
      <c r="Q34">
        <f>SUMIFS('S&amp;L Data'!AC2:AC500,'S&amp;L Data'!$D2:$D500,"National Defense and Support for Veterans")</f>
        <v>206109</v>
      </c>
      <c r="R34">
        <f>SUMIFS('S&amp;L Data'!AD2:AD500,'S&amp;L Data'!$D2:$D500,"National Defense and Support for Veterans")</f>
        <v>225645</v>
      </c>
      <c r="S34">
        <f>SUMIFS('S&amp;L Data'!AE2:AE500,'S&amp;L Data'!$D2:$D500,"National Defense and Support for Veterans")</f>
        <v>243188</v>
      </c>
      <c r="T34">
        <f>SUMIFS('S&amp;L Data'!AF2:AF500,'S&amp;L Data'!$D2:$D500,"National Defense and Support for Veterans")</f>
        <v>288331</v>
      </c>
      <c r="U34">
        <f>SUMIFS('S&amp;L Data'!AG2:AG500,'S&amp;L Data'!$D2:$D500,"National Defense and Support for Veterans")</f>
        <v>283242</v>
      </c>
      <c r="V34">
        <f>SUMIFS('S&amp;L Data'!AH2:AH500,'S&amp;L Data'!$D2:$D500,"National Defense and Support for Veterans")</f>
        <v>356552</v>
      </c>
      <c r="W34">
        <f>SUMIFS('S&amp;L Data'!AI2:AI500,'S&amp;L Data'!$D2:$D500,"National Defense and Support for Veterans")</f>
        <v>336520</v>
      </c>
      <c r="X34">
        <f>SUMIFS('S&amp;L Data'!AJ2:AJ500,'S&amp;L Data'!$D2:$D500,"National Defense and Support for Veterans")</f>
        <v>361190</v>
      </c>
      <c r="Y34">
        <f>SUMIFS('S&amp;L Data'!AK2:AK500,'S&amp;L Data'!$D2:$D500,"National Defense and Support for Veterans")</f>
        <v>1016563</v>
      </c>
      <c r="Z34">
        <f>SUMIFS('S&amp;L Data'!AL2:AL500,'S&amp;L Data'!$D2:$D500,"National Defense and Support for Veterans")</f>
        <v>1503822</v>
      </c>
      <c r="AA34">
        <f>SUMIFS('S&amp;L Data'!AM2:AM500,'S&amp;L Data'!$D2:$D500,"National Defense and Support for Veterans")</f>
        <v>1188935</v>
      </c>
      <c r="AB34">
        <f>SUMIFS('S&amp;L Data'!AN2:AN500,'S&amp;L Data'!$D2:$D500,"National Defense and Support for Veterans")</f>
        <v>992146</v>
      </c>
      <c r="AC34">
        <f>SUMIFS('S&amp;L Data'!AO2:AO500,'S&amp;L Data'!$D2:$D500,"National Defense and Support for Veterans")</f>
        <v>1030506</v>
      </c>
      <c r="AD34">
        <f>SUMIFS('S&amp;L Data'!AP2:AP500,'S&amp;L Data'!$D2:$D500,"National Defense and Support for Veterans")</f>
        <v>1080399</v>
      </c>
      <c r="AE34">
        <f>SUMIFS('S&amp;L Data'!AQ2:AQ500,'S&amp;L Data'!$D2:$D500,"National Defense and Support for Veterans")</f>
        <v>933222</v>
      </c>
      <c r="AF34">
        <f>SUMIFS('S&amp;L Data'!AR2:AR500,'S&amp;L Data'!$D2:$D500,"National Defense and Support for Veterans")</f>
        <v>793609</v>
      </c>
      <c r="AG34">
        <f>SUMIFS('S&amp;L Data'!AS2:AS500,'S&amp;L Data'!$D2:$D500,"National Defense and Support for Veterans")</f>
        <v>927042</v>
      </c>
      <c r="AH34">
        <f>SUMIFS('S&amp;L Data'!AT2:AT500,'S&amp;L Data'!$D2:$D500,"National Defense and Support for Veterans")</f>
        <v>838031</v>
      </c>
      <c r="AI34">
        <f>SUMIFS('S&amp;L Data'!AU2:AU500,'S&amp;L Data'!$D2:$D500,"National Defense and Support for Veterans")</f>
        <v>1024498</v>
      </c>
      <c r="AJ34">
        <f>SUMIFS('S&amp;L Data'!AV2:AV500,'S&amp;L Data'!$D2:$D500,"National Defense and Support for Veterans")</f>
        <v>1059763</v>
      </c>
    </row>
    <row r="35" spans="1:36">
      <c r="A35" s="4" t="s">
        <v>25</v>
      </c>
      <c r="B35">
        <f>SUMIFS('S&amp;L Data'!N2:N500,'S&amp;L Data'!$E2:$E500,"Support for Veterans")</f>
        <v>60951</v>
      </c>
      <c r="C35">
        <f>SUMIFS('S&amp;L Data'!O2:O500,'S&amp;L Data'!$E2:$E500,"Support for Veterans")</f>
        <v>56969</v>
      </c>
      <c r="D35">
        <f>SUMIFS('S&amp;L Data'!P2:P500,'S&amp;L Data'!$E2:$E500,"Support for Veterans")</f>
        <v>63798</v>
      </c>
      <c r="E35">
        <f>SUMIFS('S&amp;L Data'!Q2:Q500,'S&amp;L Data'!$E2:$E500,"Support for Veterans")</f>
        <v>74688</v>
      </c>
      <c r="F35">
        <f>SUMIFS('S&amp;L Data'!R2:R500,'S&amp;L Data'!$E2:$E500,"Support for Veterans")</f>
        <v>98572</v>
      </c>
      <c r="G35">
        <f>SUMIFS('S&amp;L Data'!S2:S500,'S&amp;L Data'!$E2:$E500,"Support for Veterans")</f>
        <v>112881</v>
      </c>
      <c r="H35">
        <f>SUMIFS('S&amp;L Data'!T2:T500,'S&amp;L Data'!$E2:$E500,"Support for Veterans")</f>
        <v>121785</v>
      </c>
      <c r="I35">
        <f>SUMIFS('S&amp;L Data'!U2:U500,'S&amp;L Data'!$E2:$E500,"Support for Veterans")</f>
        <v>129454</v>
      </c>
      <c r="J35">
        <f>SUMIFS('S&amp;L Data'!V2:V500,'S&amp;L Data'!$E2:$E500,"Support for Veterans")</f>
        <v>134281</v>
      </c>
      <c r="K35">
        <f>SUMIFS('S&amp;L Data'!W2:W500,'S&amp;L Data'!$E2:$E500,"Support for Veterans")</f>
        <v>146198</v>
      </c>
      <c r="L35">
        <f>SUMIFS('S&amp;L Data'!X2:X500,'S&amp;L Data'!$E2:$E500,"Support for Veterans")</f>
        <v>151682</v>
      </c>
      <c r="M35">
        <f>SUMIFS('S&amp;L Data'!Y2:Y500,'S&amp;L Data'!$E2:$E500,"Support for Veterans")</f>
        <v>157313</v>
      </c>
      <c r="N35">
        <f>SUMIFS('S&amp;L Data'!Z2:Z500,'S&amp;L Data'!$E2:$E500,"Support for Veterans")</f>
        <v>170014</v>
      </c>
      <c r="O35">
        <f>SUMIFS('S&amp;L Data'!AA2:AA500,'S&amp;L Data'!$E2:$E500,"Support for Veterans")</f>
        <v>164681</v>
      </c>
      <c r="P35">
        <f>SUMIFS('S&amp;L Data'!AB2:AB500,'S&amp;L Data'!$E2:$E500,"Support for Veterans")</f>
        <v>179076</v>
      </c>
      <c r="Q35">
        <f>SUMIFS('S&amp;L Data'!AC2:AC500,'S&amp;L Data'!$E2:$E500,"Support for Veterans")</f>
        <v>206109</v>
      </c>
      <c r="R35">
        <f>SUMIFS('S&amp;L Data'!AD2:AD500,'S&amp;L Data'!$E2:$E500,"Support for Veterans")</f>
        <v>225645</v>
      </c>
      <c r="S35">
        <f>SUMIFS('S&amp;L Data'!AE2:AE500,'S&amp;L Data'!$E2:$E500,"Support for Veterans")</f>
        <v>243188</v>
      </c>
      <c r="T35">
        <f>SUMIFS('S&amp;L Data'!AF2:AF500,'S&amp;L Data'!$E2:$E500,"Support for Veterans")</f>
        <v>288331</v>
      </c>
      <c r="U35">
        <f>SUMIFS('S&amp;L Data'!AG2:AG500,'S&amp;L Data'!$E2:$E500,"Support for Veterans")</f>
        <v>283242</v>
      </c>
      <c r="V35">
        <f>SUMIFS('S&amp;L Data'!AH2:AH500,'S&amp;L Data'!$E2:$E500,"Support for Veterans")</f>
        <v>356552</v>
      </c>
      <c r="W35">
        <f>SUMIFS('S&amp;L Data'!AI2:AI500,'S&amp;L Data'!$E2:$E500,"Support for Veterans")</f>
        <v>336520</v>
      </c>
      <c r="X35">
        <f>SUMIFS('S&amp;L Data'!AJ2:AJ500,'S&amp;L Data'!$E2:$E500,"Support for Veterans")</f>
        <v>361190</v>
      </c>
      <c r="Y35">
        <f>SUMIFS('S&amp;L Data'!AK2:AK500,'S&amp;L Data'!$E2:$E500,"Support for Veterans")</f>
        <v>1016563</v>
      </c>
      <c r="Z35">
        <f>SUMIFS('S&amp;L Data'!AL2:AL500,'S&amp;L Data'!$E2:$E500,"Support for Veterans")</f>
        <v>1503822</v>
      </c>
      <c r="AA35">
        <f>SUMIFS('S&amp;L Data'!AM2:AM500,'S&amp;L Data'!$E2:$E500,"Support for Veterans")</f>
        <v>1188935</v>
      </c>
      <c r="AB35">
        <f>SUMIFS('S&amp;L Data'!AN2:AN500,'S&amp;L Data'!$E2:$E500,"Support for Veterans")</f>
        <v>992146</v>
      </c>
      <c r="AC35">
        <f>SUMIFS('S&amp;L Data'!AO2:AO500,'S&amp;L Data'!$E2:$E500,"Support for Veterans")</f>
        <v>1030506</v>
      </c>
      <c r="AD35">
        <f>SUMIFS('S&amp;L Data'!AP2:AP500,'S&amp;L Data'!$E2:$E500,"Support for Veterans")</f>
        <v>1080399</v>
      </c>
      <c r="AE35">
        <f>SUMIFS('S&amp;L Data'!AQ2:AQ500,'S&amp;L Data'!$E2:$E500,"Support for Veterans")</f>
        <v>933222</v>
      </c>
      <c r="AF35">
        <f>SUMIFS('S&amp;L Data'!AR2:AR500,'S&amp;L Data'!$E2:$E500,"Support for Veterans")</f>
        <v>793609</v>
      </c>
      <c r="AG35">
        <f>SUMIFS('S&amp;L Data'!AS2:AS500,'S&amp;L Data'!$E2:$E500,"Support for Veterans")</f>
        <v>927042</v>
      </c>
      <c r="AH35">
        <f>SUMIFS('S&amp;L Data'!AT2:AT500,'S&amp;L Data'!$E2:$E500,"Support for Veterans")</f>
        <v>838031</v>
      </c>
      <c r="AI35">
        <f>SUMIFS('S&amp;L Data'!AU2:AU500,'S&amp;L Data'!$E2:$E500,"Support for Veterans")</f>
        <v>1024498</v>
      </c>
      <c r="AJ35">
        <f>SUMIFS('S&amp;L Data'!AV2:AV500,'S&amp;L Data'!$E2:$E500,"Support for Veterans")</f>
        <v>1059763</v>
      </c>
    </row>
    <row r="36" spans="1:36">
      <c r="A36" s="2" t="s">
        <v>36</v>
      </c>
      <c r="B36">
        <f>SUMIFS('S&amp;L Data'!N2:N500,'S&amp;L Data'!$C2:$C500,"General Welfare")</f>
        <v>90974324</v>
      </c>
      <c r="C36">
        <f>SUMIFS('S&amp;L Data'!O2:O500,'S&amp;L Data'!$C2:$C500,"General Welfare")</f>
        <v>100298986</v>
      </c>
      <c r="D36">
        <f>SUMIFS('S&amp;L Data'!P2:P500,'S&amp;L Data'!$C2:$C500,"General Welfare")</f>
        <v>106120388</v>
      </c>
      <c r="E36">
        <f>SUMIFS('S&amp;L Data'!Q2:Q500,'S&amp;L Data'!$C2:$C500,"General Welfare")</f>
        <v>113818416</v>
      </c>
      <c r="F36">
        <f>SUMIFS('S&amp;L Data'!R2:R500,'S&amp;L Data'!$C2:$C500,"General Welfare")</f>
        <v>121827139</v>
      </c>
      <c r="G36">
        <f>SUMIFS('S&amp;L Data'!S2:S500,'S&amp;L Data'!$C2:$C500,"General Welfare")</f>
        <v>132870312</v>
      </c>
      <c r="H36">
        <f>SUMIFS('S&amp;L Data'!T2:T500,'S&amp;L Data'!$C2:$C500,"General Welfare")</f>
        <v>143482687</v>
      </c>
      <c r="I36">
        <f>SUMIFS('S&amp;L Data'!U2:U500,'S&amp;L Data'!$C2:$C500,"General Welfare")</f>
        <v>153399817</v>
      </c>
      <c r="J36">
        <f>SUMIFS('S&amp;L Data'!V2:V500,'S&amp;L Data'!$C2:$C500,"General Welfare")</f>
        <v>165514267</v>
      </c>
      <c r="K36">
        <f>SUMIFS('S&amp;L Data'!W2:W500,'S&amp;L Data'!$C2:$C500,"General Welfare")</f>
        <v>176713068</v>
      </c>
      <c r="L36">
        <f>SUMIFS('S&amp;L Data'!X2:X500,'S&amp;L Data'!$C2:$C500,"General Welfare")</f>
        <v>194814494</v>
      </c>
      <c r="M36">
        <f>SUMIFS('S&amp;L Data'!Y2:Y500,'S&amp;L Data'!$C2:$C500,"General Welfare")</f>
        <v>219982820</v>
      </c>
      <c r="N36">
        <f>SUMIFS('S&amp;L Data'!Z2:Z500,'S&amp;L Data'!$C2:$C500,"General Welfare")</f>
        <v>264650653</v>
      </c>
      <c r="O36">
        <f>SUMIFS('S&amp;L Data'!AA2:AA500,'S&amp;L Data'!$C2:$C500,"General Welfare")</f>
        <v>278833130</v>
      </c>
      <c r="P36">
        <f>SUMIFS('S&amp;L Data'!AB2:AB500,'S&amp;L Data'!$C2:$C500,"General Welfare")</f>
        <v>297081455</v>
      </c>
      <c r="Q36">
        <f>SUMIFS('S&amp;L Data'!AC2:AC500,'S&amp;L Data'!$C2:$C500,"General Welfare")</f>
        <v>313961037</v>
      </c>
      <c r="R36">
        <f>SUMIFS('S&amp;L Data'!AD2:AD500,'S&amp;L Data'!$C2:$C500,"General Welfare")</f>
        <v>316437392</v>
      </c>
      <c r="S36">
        <f>SUMIFS('S&amp;L Data'!AE2:AE500,'S&amp;L Data'!$C2:$C500,"General Welfare")</f>
        <v>324276199</v>
      </c>
      <c r="T36">
        <f>SUMIFS('S&amp;L Data'!AF2:AF500,'S&amp;L Data'!$C2:$C500,"General Welfare")</f>
        <v>334552691</v>
      </c>
      <c r="U36">
        <f>SUMIFS('S&amp;L Data'!AG2:AG500,'S&amp;L Data'!$C2:$C500,"General Welfare")</f>
        <v>353609840</v>
      </c>
      <c r="V36">
        <f>SUMIFS('S&amp;L Data'!AH2:AH500,'S&amp;L Data'!$C2:$C500,"General Welfare")</f>
        <v>384430108</v>
      </c>
      <c r="W36">
        <f>SUMIFS('S&amp;L Data'!AI2:AI500,'S&amp;L Data'!$C2:$C500,"General Welfare")</f>
        <v>416842972</v>
      </c>
      <c r="X36">
        <f>SUMIFS('S&amp;L Data'!AJ2:AJ500,'S&amp;L Data'!$C2:$C500,"General Welfare")</f>
        <v>455361605</v>
      </c>
      <c r="Y36">
        <f>SUMIFS('S&amp;L Data'!AK2:AK500,'S&amp;L Data'!$C2:$C500,"General Welfare")</f>
        <v>488667414</v>
      </c>
      <c r="Z36">
        <f>SUMIFS('S&amp;L Data'!AL2:AL500,'S&amp;L Data'!$C2:$C500,"General Welfare")</f>
        <v>524782768</v>
      </c>
      <c r="AA36">
        <f>SUMIFS('S&amp;L Data'!AM2:AM500,'S&amp;L Data'!$C2:$C500,"General Welfare")</f>
        <v>567055942</v>
      </c>
      <c r="AB36">
        <f>SUMIFS('S&amp;L Data'!AN2:AN500,'S&amp;L Data'!$C2:$C500,"General Welfare")</f>
        <v>571749572</v>
      </c>
      <c r="AC36">
        <f>SUMIFS('S&amp;L Data'!AO2:AO500,'S&amp;L Data'!$C2:$C500,"General Welfare")</f>
        <v>611797028</v>
      </c>
      <c r="AD36">
        <f>SUMIFS('S&amp;L Data'!AP2:AP500,'S&amp;L Data'!$C2:$C500,"General Welfare")</f>
        <v>652204054</v>
      </c>
      <c r="AE36">
        <f>SUMIFS('S&amp;L Data'!AQ2:AQ500,'S&amp;L Data'!$C2:$C500,"General Welfare")</f>
        <v>689130553</v>
      </c>
      <c r="AF36">
        <f>SUMIFS('S&amp;L Data'!AR2:AR500,'S&amp;L Data'!$C2:$C500,"General Welfare")</f>
        <v>721178617</v>
      </c>
      <c r="AG36">
        <f>SUMIFS('S&amp;L Data'!AS2:AS500,'S&amp;L Data'!$C2:$C500,"General Welfare")</f>
        <v>753487577</v>
      </c>
      <c r="AH36">
        <f>SUMIFS('S&amp;L Data'!AT2:AT500,'S&amp;L Data'!$C2:$C500,"General Welfare")</f>
        <v>758159022</v>
      </c>
      <c r="AI36">
        <f>SUMIFS('S&amp;L Data'!AU2:AU500,'S&amp;L Data'!$C2:$C500,"General Welfare")</f>
        <v>777529613</v>
      </c>
      <c r="AJ36">
        <f>SUMIFS('S&amp;L Data'!AV2:AV500,'S&amp;L Data'!$C2:$C500,"General Welfare")</f>
        <v>812866200</v>
      </c>
    </row>
    <row r="37" spans="1:36">
      <c r="A37" s="3" t="s">
        <v>302</v>
      </c>
      <c r="B37">
        <f>SUMIFS('S&amp;L Data'!N2:N500,'S&amp;L Data'!$D2:$D500,"Economic Growth, GDP, and Jobs")</f>
        <v>36199515</v>
      </c>
      <c r="C37">
        <f>SUMIFS('S&amp;L Data'!O2:O500,'S&amp;L Data'!$D2:$D500,"Economic Growth, GDP, and Jobs")</f>
        <v>38768750</v>
      </c>
      <c r="D37">
        <f>SUMIFS('S&amp;L Data'!P2:P500,'S&amp;L Data'!$D2:$D500,"Economic Growth, GDP, and Jobs")</f>
        <v>38929399</v>
      </c>
      <c r="E37">
        <f>SUMIFS('S&amp;L Data'!Q2:Q500,'S&amp;L Data'!$D2:$D500,"Economic Growth, GDP, and Jobs")</f>
        <v>41637081</v>
      </c>
      <c r="F37">
        <f>SUMIFS('S&amp;L Data'!R2:R500,'S&amp;L Data'!$D2:$D500,"Economic Growth, GDP, and Jobs")</f>
        <v>44082095</v>
      </c>
      <c r="G37">
        <f>SUMIFS('S&amp;L Data'!S2:S500,'S&amp;L Data'!$D2:$D500,"Economic Growth, GDP, and Jobs")</f>
        <v>48648135</v>
      </c>
      <c r="H37">
        <f>SUMIFS('S&amp;L Data'!T2:T500,'S&amp;L Data'!$D2:$D500,"Economic Growth, GDP, and Jobs")</f>
        <v>52608133</v>
      </c>
      <c r="I37">
        <f>SUMIFS('S&amp;L Data'!U2:U500,'S&amp;L Data'!$D2:$D500,"Economic Growth, GDP, and Jobs")</f>
        <v>56134933</v>
      </c>
      <c r="J37">
        <f>SUMIFS('S&amp;L Data'!V2:V500,'S&amp;L Data'!$D2:$D500,"Economic Growth, GDP, and Jobs")</f>
        <v>58889974</v>
      </c>
      <c r="K37">
        <f>SUMIFS('S&amp;L Data'!W2:W500,'S&amp;L Data'!$D2:$D500,"Economic Growth, GDP, and Jobs")</f>
        <v>59965636</v>
      </c>
      <c r="L37">
        <f>SUMIFS('S&amp;L Data'!X2:X500,'S&amp;L Data'!$D2:$D500,"Economic Growth, GDP, and Jobs")</f>
        <v>63767650</v>
      </c>
      <c r="M37">
        <f>SUMIFS('S&amp;L Data'!Y2:Y500,'S&amp;L Data'!$D2:$D500,"Economic Growth, GDP, and Jobs")</f>
        <v>68316517</v>
      </c>
      <c r="N37">
        <f>SUMIFS('S&amp;L Data'!Z2:Z500,'S&amp;L Data'!$D2:$D500,"Economic Growth, GDP, and Jobs")</f>
        <v>72235522</v>
      </c>
      <c r="O37">
        <f>SUMIFS('S&amp;L Data'!AA2:AA500,'S&amp;L Data'!$D2:$D500,"Economic Growth, GDP, and Jobs")</f>
        <v>71667893</v>
      </c>
      <c r="P37">
        <f>SUMIFS('S&amp;L Data'!AB2:AB500,'S&amp;L Data'!$D2:$D500,"Economic Growth, GDP, and Jobs")</f>
        <v>76707053</v>
      </c>
      <c r="Q37">
        <f>SUMIFS('S&amp;L Data'!AC2:AC500,'S&amp;L Data'!$D2:$D500,"Economic Growth, GDP, and Jobs")</f>
        <v>79705242</v>
      </c>
      <c r="R37">
        <f>SUMIFS('S&amp;L Data'!AD2:AD500,'S&amp;L Data'!$D2:$D500,"Economic Growth, GDP, and Jobs")</f>
        <v>80284358</v>
      </c>
      <c r="S37">
        <f>SUMIFS('S&amp;L Data'!AE2:AE500,'S&amp;L Data'!$D2:$D500,"Economic Growth, GDP, and Jobs")</f>
        <v>83030067</v>
      </c>
      <c r="T37">
        <f>SUMIFS('S&amp;L Data'!AF2:AF500,'S&amp;L Data'!$D2:$D500,"Economic Growth, GDP, and Jobs")</f>
        <v>88382781</v>
      </c>
      <c r="U37">
        <f>SUMIFS('S&amp;L Data'!AG2:AG500,'S&amp;L Data'!$D2:$D500,"Economic Growth, GDP, and Jobs")</f>
        <v>96001806</v>
      </c>
      <c r="V37">
        <f>SUMIFS('S&amp;L Data'!AH2:AH500,'S&amp;L Data'!$D2:$D500,"Economic Growth, GDP, and Jobs")</f>
        <v>106169379</v>
      </c>
      <c r="W37">
        <f>SUMIFS('S&amp;L Data'!AI2:AI500,'S&amp;L Data'!$D2:$D500,"Economic Growth, GDP, and Jobs")</f>
        <v>116375317</v>
      </c>
      <c r="X37">
        <f>SUMIFS('S&amp;L Data'!AJ2:AJ500,'S&amp;L Data'!$D2:$D500,"Economic Growth, GDP, and Jobs")</f>
        <v>125064238</v>
      </c>
      <c r="Y37">
        <f>SUMIFS('S&amp;L Data'!AK2:AK500,'S&amp;L Data'!$D2:$D500,"Economic Growth, GDP, and Jobs")</f>
        <v>128929293</v>
      </c>
      <c r="Z37">
        <f>SUMIFS('S&amp;L Data'!AL2:AL500,'S&amp;L Data'!$D2:$D500,"Economic Growth, GDP, and Jobs")</f>
        <v>130332834</v>
      </c>
      <c r="AA37">
        <f>SUMIFS('S&amp;L Data'!AM2:AM500,'S&amp;L Data'!$D2:$D500,"Economic Growth, GDP, and Jobs")</f>
        <v>139258313</v>
      </c>
      <c r="AB37">
        <f>SUMIFS('S&amp;L Data'!AN2:AN500,'S&amp;L Data'!$D2:$D500,"Economic Growth, GDP, and Jobs")</f>
        <v>141478678</v>
      </c>
      <c r="AC37">
        <f>SUMIFS('S&amp;L Data'!AO2:AO500,'S&amp;L Data'!$D2:$D500,"Economic Growth, GDP, and Jobs")</f>
        <v>152584415</v>
      </c>
      <c r="AD37">
        <f>SUMIFS('S&amp;L Data'!AP2:AP500,'S&amp;L Data'!$D2:$D500,"Economic Growth, GDP, and Jobs")</f>
        <v>162079871</v>
      </c>
      <c r="AE37">
        <f>SUMIFS('S&amp;L Data'!AQ2:AQ500,'S&amp;L Data'!$D2:$D500,"Economic Growth, GDP, and Jobs")</f>
        <v>171131236</v>
      </c>
      <c r="AF37">
        <f>SUMIFS('S&amp;L Data'!AR2:AR500,'S&amp;L Data'!$D2:$D500,"Economic Growth, GDP, and Jobs")</f>
        <v>173456959</v>
      </c>
      <c r="AG37">
        <f>SUMIFS('S&amp;L Data'!AS2:AS500,'S&amp;L Data'!$D2:$D500,"Economic Growth, GDP, and Jobs")</f>
        <v>168119067</v>
      </c>
      <c r="AH37">
        <f>SUMIFS('S&amp;L Data'!AT2:AT500,'S&amp;L Data'!$D2:$D500,"Economic Growth, GDP, and Jobs")</f>
        <v>171092957</v>
      </c>
      <c r="AI37">
        <f>SUMIFS('S&amp;L Data'!AU2:AU500,'S&amp;L Data'!$D2:$D500,"Economic Growth, GDP, and Jobs")</f>
        <v>166862448</v>
      </c>
      <c r="AJ37">
        <f>SUMIFS('S&amp;L Data'!AV2:AV500,'S&amp;L Data'!$D2:$D500,"Economic Growth, GDP, and Jobs")</f>
        <v>173447499</v>
      </c>
    </row>
    <row r="38" spans="1:36">
      <c r="A38" s="4" t="s">
        <v>251</v>
      </c>
      <c r="B38">
        <f>SUMIFS('S&amp;L Data'!N2:N500,'S&amp;L Data'!$E2:$E500,"Transportation")</f>
        <v>37839770</v>
      </c>
      <c r="C38">
        <f>SUMIFS('S&amp;L Data'!O2:O500,'S&amp;L Data'!$E2:$E500,"Transportation")</f>
        <v>40537294</v>
      </c>
      <c r="D38">
        <f>SUMIFS('S&amp;L Data'!P2:P500,'S&amp;L Data'!$E2:$E500,"Transportation")</f>
        <v>41068654</v>
      </c>
      <c r="E38">
        <f>SUMIFS('S&amp;L Data'!Q2:Q500,'S&amp;L Data'!$E2:$E500,"Transportation")</f>
        <v>44147566</v>
      </c>
      <c r="F38">
        <f>SUMIFS('S&amp;L Data'!R2:R500,'S&amp;L Data'!$E2:$E500,"Transportation")</f>
        <v>47275115</v>
      </c>
      <c r="G38">
        <f>SUMIFS('S&amp;L Data'!S2:S500,'S&amp;L Data'!$E2:$E500,"Transportation")</f>
        <v>52603363</v>
      </c>
      <c r="H38">
        <f>SUMIFS('S&amp;L Data'!T2:T500,'S&amp;L Data'!$E2:$E500,"Transportation")</f>
        <v>57766965</v>
      </c>
      <c r="I38">
        <f>SUMIFS('S&amp;L Data'!U2:U500,'S&amp;L Data'!$E2:$E500,"Transportation")</f>
        <v>61405004</v>
      </c>
      <c r="J38">
        <f>SUMIFS('S&amp;L Data'!V2:V500,'S&amp;L Data'!$E2:$E500,"Transportation")</f>
        <v>64971418</v>
      </c>
      <c r="K38">
        <f>SUMIFS('S&amp;L Data'!W2:W500,'S&amp;L Data'!$E2:$E500,"Transportation")</f>
        <v>67462468</v>
      </c>
      <c r="L38">
        <f>SUMIFS('S&amp;L Data'!X2:X500,'S&amp;L Data'!$E2:$E500,"Transportation")</f>
        <v>71771771</v>
      </c>
      <c r="M38">
        <f>SUMIFS('S&amp;L Data'!Y2:Y500,'S&amp;L Data'!$E2:$E500,"Transportation")</f>
        <v>76562358</v>
      </c>
      <c r="N38">
        <f>SUMIFS('S&amp;L Data'!Z2:Z500,'S&amp;L Data'!$E2:$E500,"Transportation")</f>
        <v>80655878</v>
      </c>
      <c r="O38">
        <f>SUMIFS('S&amp;L Data'!AA2:AA500,'S&amp;L Data'!$E2:$E500,"Transportation")</f>
        <v>81141227</v>
      </c>
      <c r="P38">
        <f>SUMIFS('S&amp;L Data'!AB2:AB500,'S&amp;L Data'!$E2:$E500,"Transportation")</f>
        <v>87136096</v>
      </c>
      <c r="Q38">
        <f>SUMIFS('S&amp;L Data'!AC2:AC500,'S&amp;L Data'!$E2:$E500,"Transportation")</f>
        <v>91173969</v>
      </c>
      <c r="R38">
        <f>SUMIFS('S&amp;L Data'!AD2:AD500,'S&amp;L Data'!$E2:$E500,"Transportation")</f>
        <v>92754020</v>
      </c>
      <c r="S38">
        <f>SUMIFS('S&amp;L Data'!AE2:AE500,'S&amp;L Data'!$E2:$E500,"Transportation")</f>
        <v>95859323</v>
      </c>
      <c r="T38">
        <f>SUMIFS('S&amp;L Data'!AF2:AF500,'S&amp;L Data'!$E2:$E500,"Transportation")</f>
        <v>101296752</v>
      </c>
      <c r="U38">
        <f>SUMIFS('S&amp;L Data'!AG2:AG500,'S&amp;L Data'!$E2:$E500,"Transportation")</f>
        <v>109079514</v>
      </c>
      <c r="V38">
        <f>SUMIFS('S&amp;L Data'!AH2:AH500,'S&amp;L Data'!$E2:$E500,"Transportation")</f>
        <v>119104216</v>
      </c>
      <c r="W38">
        <f>SUMIFS('S&amp;L Data'!AI2:AI500,'S&amp;L Data'!$E2:$E500,"Transportation")</f>
        <v>129241758</v>
      </c>
      <c r="X38">
        <f>SUMIFS('S&amp;L Data'!AJ2:AJ500,'S&amp;L Data'!$E2:$E500,"Transportation")</f>
        <v>139157438</v>
      </c>
      <c r="Y38">
        <f>SUMIFS('S&amp;L Data'!AK2:AK500,'S&amp;L Data'!$E2:$E500,"Transportation")</f>
        <v>144211321</v>
      </c>
      <c r="Z38">
        <f>SUMIFS('S&amp;L Data'!AL2:AL500,'S&amp;L Data'!$E2:$E500,"Transportation")</f>
        <v>146953918</v>
      </c>
      <c r="AA38">
        <f>SUMIFS('S&amp;L Data'!AM2:AM500,'S&amp;L Data'!$E2:$E500,"Transportation")</f>
        <v>152967218</v>
      </c>
      <c r="AB38">
        <f>SUMIFS('S&amp;L Data'!AN2:AN500,'S&amp;L Data'!$E2:$E500,"Transportation")</f>
        <v>155888518</v>
      </c>
      <c r="AC38">
        <f>SUMIFS('S&amp;L Data'!AO2:AO500,'S&amp;L Data'!$E2:$E500,"Transportation")</f>
        <v>172949590</v>
      </c>
      <c r="AD38">
        <f>SUMIFS('S&amp;L Data'!AP2:AP500,'S&amp;L Data'!$E2:$E500,"Transportation")</f>
        <v>184342589</v>
      </c>
      <c r="AE38">
        <f>SUMIFS('S&amp;L Data'!AQ2:AQ500,'S&amp;L Data'!$E2:$E500,"Transportation")</f>
        <v>191784233</v>
      </c>
      <c r="AF38">
        <f>SUMIFS('S&amp;L Data'!AR2:AR500,'S&amp;L Data'!$E2:$E500,"Transportation")</f>
        <v>194896683</v>
      </c>
      <c r="AG38">
        <f>SUMIFS('S&amp;L Data'!AS2:AS500,'S&amp;L Data'!$E2:$E500,"Transportation")</f>
        <v>190125430</v>
      </c>
      <c r="AH38">
        <f>SUMIFS('S&amp;L Data'!AT2:AT500,'S&amp;L Data'!$E2:$E500,"Transportation")</f>
        <v>194238315</v>
      </c>
      <c r="AI38">
        <f>SUMIFS('S&amp;L Data'!AU2:AU500,'S&amp;L Data'!$E2:$E500,"Transportation")</f>
        <v>190937751</v>
      </c>
      <c r="AJ38">
        <f>SUMIFS('S&amp;L Data'!AV2:AV500,'S&amp;L Data'!$E2:$E500,"Transportation")</f>
        <v>197857584</v>
      </c>
    </row>
    <row r="39" spans="1:36">
      <c r="A39" s="5" t="s">
        <v>277</v>
      </c>
      <c r="B39">
        <f>SUMIFS('S&amp;L Data'!N2:N500,'S&amp;L Data'!$F2:$F500,"Air Transportation")</f>
        <v>675230</v>
      </c>
      <c r="C39">
        <f>SUMIFS('S&amp;L Data'!O2:O500,'S&amp;L Data'!$F2:$F500,"Air Transportation")</f>
        <v>645060</v>
      </c>
      <c r="D39">
        <f>SUMIFS('S&amp;L Data'!P2:P500,'S&amp;L Data'!$F2:$F500,"Air Transportation")</f>
        <v>567782</v>
      </c>
      <c r="E39">
        <f>SUMIFS('S&amp;L Data'!Q2:Q500,'S&amp;L Data'!$F2:$F500,"Air Transportation")</f>
        <v>478150</v>
      </c>
      <c r="F39">
        <f>SUMIFS('S&amp;L Data'!R2:R500,'S&amp;L Data'!$F2:$F500,"Air Transportation")</f>
        <v>839413</v>
      </c>
      <c r="G39">
        <f>SUMIFS('S&amp;L Data'!S2:S500,'S&amp;L Data'!$F2:$F500,"Air Transportation")</f>
        <v>626183</v>
      </c>
      <c r="H39">
        <f>SUMIFS('S&amp;L Data'!T2:T500,'S&amp;L Data'!$F2:$F500,"Air Transportation")</f>
        <v>802773</v>
      </c>
      <c r="I39">
        <f>SUMIFS('S&amp;L Data'!U2:U500,'S&amp;L Data'!$F2:$F500,"Air Transportation")</f>
        <v>1088876</v>
      </c>
      <c r="J39">
        <f>SUMIFS('S&amp;L Data'!V2:V500,'S&amp;L Data'!$F2:$F500,"Air Transportation")</f>
        <v>1241955</v>
      </c>
      <c r="K39">
        <f>SUMIFS('S&amp;L Data'!W2:W500,'S&amp;L Data'!$F2:$F500,"Air Transportation")</f>
        <v>1057274</v>
      </c>
      <c r="L39">
        <f>SUMIFS('S&amp;L Data'!X2:X500,'S&amp;L Data'!$F2:$F500,"Air Transportation")</f>
        <v>1310150</v>
      </c>
      <c r="M39">
        <f>SUMIFS('S&amp;L Data'!Y2:Y500,'S&amp;L Data'!$F2:$F500,"Air Transportation")</f>
        <v>1514959</v>
      </c>
      <c r="N39">
        <f>SUMIFS('S&amp;L Data'!Z2:Z500,'S&amp;L Data'!$F2:$F500,"Air Transportation")</f>
        <v>2317365</v>
      </c>
      <c r="O39">
        <f>SUMIFS('S&amp;L Data'!AA2:AA500,'S&amp;L Data'!$F2:$F500,"Air Transportation")</f>
        <v>2641959</v>
      </c>
      <c r="P39">
        <f>SUMIFS('S&amp;L Data'!AB2:AB500,'S&amp;L Data'!$F2:$F500,"Air Transportation")</f>
        <v>2340211</v>
      </c>
      <c r="Q39">
        <f>SUMIFS('S&amp;L Data'!AC2:AC500,'S&amp;L Data'!$F2:$F500,"Air Transportation")</f>
        <v>734358</v>
      </c>
      <c r="R39">
        <f>SUMIFS('S&amp;L Data'!AD2:AD500,'S&amp;L Data'!$F2:$F500,"Air Transportation")</f>
        <v>623541</v>
      </c>
      <c r="S39">
        <f>SUMIFS('S&amp;L Data'!AE2:AE500,'S&amp;L Data'!$F2:$F500,"Air Transportation")</f>
        <v>1072254</v>
      </c>
      <c r="T39">
        <f>SUMIFS('S&amp;L Data'!AF2:AF500,'S&amp;L Data'!$F2:$F500,"Air Transportation")</f>
        <v>936196</v>
      </c>
      <c r="U39">
        <f>SUMIFS('S&amp;L Data'!AG2:AG500,'S&amp;L Data'!$F2:$F500,"Air Transportation")</f>
        <v>2415190</v>
      </c>
      <c r="V39">
        <f>SUMIFS('S&amp;L Data'!AH2:AH500,'S&amp;L Data'!$F2:$F500,"Air Transportation")</f>
        <v>2076441</v>
      </c>
      <c r="W39">
        <f>SUMIFS('S&amp;L Data'!AI2:AI500,'S&amp;L Data'!$F2:$F500,"Air Transportation")</f>
        <v>3648860</v>
      </c>
      <c r="X39">
        <f>SUMIFS('S&amp;L Data'!AJ2:AJ500,'S&amp;L Data'!$F2:$F500,"Air Transportation")</f>
        <v>3878627</v>
      </c>
      <c r="Y39">
        <f>SUMIFS('S&amp;L Data'!AK2:AK500,'S&amp;L Data'!$F2:$F500,"Air Transportation")</f>
        <v>4287336</v>
      </c>
      <c r="Z39">
        <f>SUMIFS('S&amp;L Data'!AL2:AL500,'S&amp;L Data'!$F2:$F500,"Air Transportation")</f>
        <v>4662120</v>
      </c>
      <c r="AA39">
        <f>SUMIFS('S&amp;L Data'!AM2:AM500,'S&amp;L Data'!$F2:$F500,"Air Transportation")</f>
        <v>3578538</v>
      </c>
      <c r="AB39">
        <f>SUMIFS('S&amp;L Data'!AN2:AN500,'S&amp;L Data'!$F2:$F500,"Air Transportation")</f>
        <v>1979785</v>
      </c>
      <c r="AC39">
        <f>SUMIFS('S&amp;L Data'!AO2:AO500,'S&amp;L Data'!$F2:$F500,"Air Transportation")</f>
        <v>3501884</v>
      </c>
      <c r="AD39">
        <f>SUMIFS('S&amp;L Data'!AP2:AP500,'S&amp;L Data'!$F2:$F500,"Air Transportation")</f>
        <v>3490592</v>
      </c>
      <c r="AE39">
        <f>SUMIFS('S&amp;L Data'!AQ2:AQ500,'S&amp;L Data'!$F2:$F500,"Air Transportation")</f>
        <v>4679038</v>
      </c>
      <c r="AF39">
        <f>SUMIFS('S&amp;L Data'!AR2:AR500,'S&amp;L Data'!$F2:$F500,"Air Transportation")</f>
        <v>6142089</v>
      </c>
      <c r="AG39">
        <f>SUMIFS('S&amp;L Data'!AS2:AS500,'S&amp;L Data'!$F2:$F500,"Air Transportation")</f>
        <v>3806624</v>
      </c>
      <c r="AH39">
        <f>SUMIFS('S&amp;L Data'!AT2:AT500,'S&amp;L Data'!$F2:$F500,"Air Transportation")</f>
        <v>1098129</v>
      </c>
      <c r="AI39">
        <f>SUMIFS('S&amp;L Data'!AU2:AU500,'S&amp;L Data'!$F2:$F500,"Air Transportation")</f>
        <v>849148</v>
      </c>
      <c r="AJ39">
        <f>SUMIFS('S&amp;L Data'!AV2:AV500,'S&amp;L Data'!$F2:$F500,"Air Transportation")</f>
        <v>562376</v>
      </c>
    </row>
    <row r="40" spans="1:36">
      <c r="A40" s="5" t="s">
        <v>95</v>
      </c>
      <c r="B40">
        <f>SUMIFS('S&amp;L Data'!N2:N500,'S&amp;L Data'!$F2:$F500,"Highway Transportation")</f>
        <v>31568285</v>
      </c>
      <c r="C40">
        <f>SUMIFS('S&amp;L Data'!O2:O500,'S&amp;L Data'!$F2:$F500,"Highway Transportation")</f>
        <v>32698930</v>
      </c>
      <c r="D40">
        <f>SUMIFS('S&amp;L Data'!P2:P500,'S&amp;L Data'!$F2:$F500,"Highway Transportation")</f>
        <v>32450544</v>
      </c>
      <c r="E40">
        <f>SUMIFS('S&amp;L Data'!Q2:Q500,'S&amp;L Data'!$F2:$F500,"Highway Transportation")</f>
        <v>34418183</v>
      </c>
      <c r="F40">
        <f>SUMIFS('S&amp;L Data'!R2:R500,'S&amp;L Data'!$F2:$F500,"Highway Transportation")</f>
        <v>36905826</v>
      </c>
      <c r="G40">
        <f>SUMIFS('S&amp;L Data'!S2:S500,'S&amp;L Data'!$F2:$F500,"Highway Transportation")</f>
        <v>42250138</v>
      </c>
      <c r="H40">
        <f>SUMIFS('S&amp;L Data'!T2:T500,'S&amp;L Data'!$F2:$F500,"Highway Transportation")</f>
        <v>46501125</v>
      </c>
      <c r="I40">
        <f>SUMIFS('S&amp;L Data'!U2:U500,'S&amp;L Data'!$F2:$F500,"Highway Transportation")</f>
        <v>49238680</v>
      </c>
      <c r="J40">
        <f>SUMIFS('S&amp;L Data'!V2:V500,'S&amp;L Data'!$F2:$F500,"Highway Transportation")</f>
        <v>52059035</v>
      </c>
      <c r="K40">
        <f>SUMIFS('S&amp;L Data'!W2:W500,'S&amp;L Data'!$F2:$F500,"Highway Transportation")</f>
        <v>54133860</v>
      </c>
      <c r="L40">
        <f>SUMIFS('S&amp;L Data'!X2:X500,'S&amp;L Data'!$F2:$F500,"Highway Transportation")</f>
        <v>56803667</v>
      </c>
      <c r="M40">
        <f>SUMIFS('S&amp;L Data'!Y2:Y500,'S&amp;L Data'!$F2:$F500,"Highway Transportation")</f>
        <v>60313462</v>
      </c>
      <c r="N40">
        <f>SUMIFS('S&amp;L Data'!Z2:Z500,'S&amp;L Data'!$F2:$F500,"Highway Transportation")</f>
        <v>62474497</v>
      </c>
      <c r="O40">
        <f>SUMIFS('S&amp;L Data'!AA2:AA500,'S&amp;L Data'!$F2:$F500,"Highway Transportation")</f>
        <v>63136022</v>
      </c>
      <c r="P40">
        <f>SUMIFS('S&amp;L Data'!AB2:AB500,'S&amp;L Data'!$F2:$F500,"Highway Transportation")</f>
        <v>66510168</v>
      </c>
      <c r="Q40">
        <f>SUMIFS('S&amp;L Data'!AC2:AC500,'S&amp;L Data'!$F2:$F500,"Highway Transportation")</f>
        <v>71391300</v>
      </c>
      <c r="R40">
        <f>SUMIFS('S&amp;L Data'!AD2:AD500,'S&amp;L Data'!$F2:$F500,"Highway Transportation")</f>
        <v>73249597</v>
      </c>
      <c r="S40">
        <f>SUMIFS('S&amp;L Data'!AE2:AE500,'S&amp;L Data'!$F2:$F500,"Highway Transportation")</f>
        <v>75685831</v>
      </c>
      <c r="T40">
        <f>SUMIFS('S&amp;L Data'!AF2:AF500,'S&amp;L Data'!$F2:$F500,"Highway Transportation")</f>
        <v>80495941</v>
      </c>
      <c r="U40">
        <f>SUMIFS('S&amp;L Data'!AG2:AG500,'S&amp;L Data'!$F2:$F500,"Highway Transportation")</f>
        <v>85872430</v>
      </c>
      <c r="V40">
        <f>SUMIFS('S&amp;L Data'!AH2:AH500,'S&amp;L Data'!$F2:$F500,"Highway Transportation")</f>
        <v>93476159</v>
      </c>
      <c r="W40">
        <f>SUMIFS('S&amp;L Data'!AI2:AI500,'S&amp;L Data'!$F2:$F500,"Highway Transportation")</f>
        <v>98913528</v>
      </c>
      <c r="X40">
        <f>SUMIFS('S&amp;L Data'!AJ2:AJ500,'S&amp;L Data'!$F2:$F500,"Highway Transportation")</f>
        <v>106818952</v>
      </c>
      <c r="Y40">
        <f>SUMIFS('S&amp;L Data'!AK2:AK500,'S&amp;L Data'!$F2:$F500,"Highway Transportation")</f>
        <v>108719202</v>
      </c>
      <c r="Z40">
        <f>SUMIFS('S&amp;L Data'!AL2:AL500,'S&amp;L Data'!$F2:$F500,"Highway Transportation")</f>
        <v>108084386</v>
      </c>
      <c r="AA40">
        <f>SUMIFS('S&amp;L Data'!AM2:AM500,'S&amp;L Data'!$F2:$F500,"Highway Transportation")</f>
        <v>116296403</v>
      </c>
      <c r="AB40">
        <f>SUMIFS('S&amp;L Data'!AN2:AN500,'S&amp;L Data'!$F2:$F500,"Highway Transportation")</f>
        <v>119604004</v>
      </c>
      <c r="AC40">
        <f>SUMIFS('S&amp;L Data'!AO2:AO500,'S&amp;L Data'!$F2:$F500,"Highway Transportation")</f>
        <v>133692205</v>
      </c>
      <c r="AD40">
        <f>SUMIFS('S&amp;L Data'!AP2:AP500,'S&amp;L Data'!$F2:$F500,"Highway Transportation")</f>
        <v>142156399</v>
      </c>
      <c r="AE40">
        <f>SUMIFS('S&amp;L Data'!AQ2:AQ500,'S&amp;L Data'!$F2:$F500,"Highway Transportation")</f>
        <v>142058730</v>
      </c>
      <c r="AF40">
        <f>SUMIFS('S&amp;L Data'!AR2:AR500,'S&amp;L Data'!$F2:$F500,"Highway Transportation")</f>
        <v>142373059</v>
      </c>
      <c r="AG40">
        <f>SUMIFS('S&amp;L Data'!AS2:AS500,'S&amp;L Data'!$F2:$F500,"Highway Transportation")</f>
        <v>140778171</v>
      </c>
      <c r="AH40">
        <f>SUMIFS('S&amp;L Data'!AT2:AT500,'S&amp;L Data'!$F2:$F500,"Highway Transportation")</f>
        <v>146233459</v>
      </c>
      <c r="AI40">
        <f>SUMIFS('S&amp;L Data'!AU2:AU500,'S&amp;L Data'!$F2:$F500,"Highway Transportation")</f>
        <v>141626142</v>
      </c>
      <c r="AJ40">
        <f>SUMIFS('S&amp;L Data'!AV2:AV500,'S&amp;L Data'!$F2:$F500,"Highway Transportation")</f>
        <v>144895451</v>
      </c>
    </row>
    <row r="41" spans="1:36">
      <c r="A41" s="6" t="s">
        <v>123</v>
      </c>
      <c r="B41">
        <f>SUMIFS('S&amp;L Data'!N2:N500,'S&amp;L Data'!$G2:$G500,"Regular HIghways")</f>
        <v>31862805</v>
      </c>
      <c r="C41">
        <f>SUMIFS('S&amp;L Data'!O2:O500,'S&amp;L Data'!$G2:$G500,"Regular HIghways")</f>
        <v>33075437</v>
      </c>
      <c r="D41">
        <f>SUMIFS('S&amp;L Data'!P2:P500,'S&amp;L Data'!$G2:$G500,"Regular HIghways")</f>
        <v>32932700</v>
      </c>
      <c r="E41">
        <f>SUMIFS('S&amp;L Data'!Q2:Q500,'S&amp;L Data'!$G2:$G500,"Regular HIghways")</f>
        <v>34845750</v>
      </c>
      <c r="F41">
        <f>SUMIFS('S&amp;L Data'!R2:R500,'S&amp;L Data'!$G2:$G500,"Regular HIghways")</f>
        <v>37458901</v>
      </c>
      <c r="G41">
        <f>SUMIFS('S&amp;L Data'!S2:S500,'S&amp;L Data'!$G2:$G500,"Regular HIghways")</f>
        <v>42847930</v>
      </c>
      <c r="H41">
        <f>SUMIFS('S&amp;L Data'!T2:T500,'S&amp;L Data'!$G2:$G500,"Regular HIghways")</f>
        <v>46809717</v>
      </c>
      <c r="I41">
        <f>SUMIFS('S&amp;L Data'!U2:U500,'S&amp;L Data'!$G2:$G500,"Regular HIghways")</f>
        <v>49477412</v>
      </c>
      <c r="J41">
        <f>SUMIFS('S&amp;L Data'!V2:V500,'S&amp;L Data'!$G2:$G500,"Regular HIghways")</f>
        <v>52105672</v>
      </c>
      <c r="K41">
        <f>SUMIFS('S&amp;L Data'!W2:W500,'S&amp;L Data'!$G2:$G500,"Regular HIghways")</f>
        <v>54400689</v>
      </c>
      <c r="L41">
        <f>SUMIFS('S&amp;L Data'!X2:X500,'S&amp;L Data'!$G2:$G500,"Regular HIghways")</f>
        <v>57258562</v>
      </c>
      <c r="M41">
        <f>SUMIFS('S&amp;L Data'!Y2:Y500,'S&amp;L Data'!$G2:$G500,"Regular HIghways")</f>
        <v>60710578</v>
      </c>
      <c r="N41">
        <f>SUMIFS('S&amp;L Data'!Z2:Z500,'S&amp;L Data'!$G2:$G500,"Regular HIghways")</f>
        <v>62738500</v>
      </c>
      <c r="O41">
        <f>SUMIFS('S&amp;L Data'!AA2:AA500,'S&amp;L Data'!$G2:$G500,"Regular HIghways")</f>
        <v>63618265</v>
      </c>
      <c r="P41">
        <f>SUMIFS('S&amp;L Data'!AB2:AB500,'S&amp;L Data'!$G2:$G500,"Regular HIghways")</f>
        <v>67018644</v>
      </c>
      <c r="Q41">
        <f>SUMIFS('S&amp;L Data'!AC2:AC500,'S&amp;L Data'!$G2:$G500,"Regular HIghways")</f>
        <v>72021240</v>
      </c>
      <c r="R41">
        <f>SUMIFS('S&amp;L Data'!AD2:AD500,'S&amp;L Data'!$G2:$G500,"Regular HIghways")</f>
        <v>73844940</v>
      </c>
      <c r="S41">
        <f>SUMIFS('S&amp;L Data'!AE2:AE500,'S&amp;L Data'!$G2:$G500,"Regular HIghways")</f>
        <v>76462365</v>
      </c>
      <c r="T41">
        <f>SUMIFS('S&amp;L Data'!AF2:AF500,'S&amp;L Data'!$G2:$G500,"Regular HIghways")</f>
        <v>81667278</v>
      </c>
      <c r="U41">
        <f>SUMIFS('S&amp;L Data'!AG2:AG500,'S&amp;L Data'!$G2:$G500,"Regular HIghways")</f>
        <v>86395756</v>
      </c>
      <c r="V41">
        <f>SUMIFS('S&amp;L Data'!AH2:AH500,'S&amp;L Data'!$G2:$G500,"Regular HIghways")</f>
        <v>93639370</v>
      </c>
      <c r="W41">
        <f>SUMIFS('S&amp;L Data'!AI2:AI500,'S&amp;L Data'!$G2:$G500,"Regular HIghways")</f>
        <v>98670132</v>
      </c>
      <c r="X41">
        <f>SUMIFS('S&amp;L Data'!AJ2:AJ500,'S&amp;L Data'!$G2:$G500,"Regular HIghways")</f>
        <v>105625737</v>
      </c>
      <c r="Y41">
        <f>SUMIFS('S&amp;L Data'!AK2:AK500,'S&amp;L Data'!$G2:$G500,"Regular HIghways")</f>
        <v>107030399</v>
      </c>
      <c r="Z41">
        <f>SUMIFS('S&amp;L Data'!AL2:AL500,'S&amp;L Data'!$G2:$G500,"Regular HIghways")</f>
        <v>107063255</v>
      </c>
      <c r="AA41">
        <f>SUMIFS('S&amp;L Data'!AM2:AM500,'S&amp;L Data'!$G2:$G500,"Regular HIghways")</f>
        <v>116566005</v>
      </c>
      <c r="AB41">
        <f>SUMIFS('S&amp;L Data'!AN2:AN500,'S&amp;L Data'!$G2:$G500,"Regular HIghways")</f>
        <v>125834318</v>
      </c>
      <c r="AC41">
        <f>SUMIFS('S&amp;L Data'!AO2:AO500,'S&amp;L Data'!$G2:$G500,"Regular HIghways")</f>
        <v>133162590</v>
      </c>
      <c r="AD41">
        <f>SUMIFS('S&amp;L Data'!AP2:AP500,'S&amp;L Data'!$G2:$G500,"Regular HIghways")</f>
        <v>137662151</v>
      </c>
      <c r="AE41">
        <f>SUMIFS('S&amp;L Data'!AQ2:AQ500,'S&amp;L Data'!$G2:$G500,"Regular HIghways")</f>
        <v>140928066</v>
      </c>
      <c r="AF41">
        <f>SUMIFS('S&amp;L Data'!AR2:AR500,'S&amp;L Data'!$G2:$G500,"Regular HIghways")</f>
        <v>142349437</v>
      </c>
      <c r="AG41">
        <f>SUMIFS('S&amp;L Data'!AS2:AS500,'S&amp;L Data'!$G2:$G500,"Regular HIghways")</f>
        <v>141592260</v>
      </c>
      <c r="AH41">
        <f>SUMIFS('S&amp;L Data'!AT2:AT500,'S&amp;L Data'!$G2:$G500,"Regular HIghways")</f>
        <v>146153104</v>
      </c>
      <c r="AI41">
        <f>SUMIFS('S&amp;L Data'!AU2:AU500,'S&amp;L Data'!$G2:$G500,"Regular HIghways")</f>
        <v>143522288</v>
      </c>
      <c r="AJ41">
        <f>SUMIFS('S&amp;L Data'!AV2:AV500,'S&amp;L Data'!$G2:$G500,"Regular HIghways")</f>
        <v>147028360</v>
      </c>
    </row>
    <row r="42" spans="1:36">
      <c r="A42" s="6" t="s">
        <v>279</v>
      </c>
      <c r="B42">
        <f>SUMIFS('S&amp;L Data'!N2:N500,'S&amp;L Data'!$G2:$G500,"Toll Highways (Govt. Business)")</f>
        <v>-302417</v>
      </c>
      <c r="C42">
        <f>SUMIFS('S&amp;L Data'!O2:O500,'S&amp;L Data'!$G2:$G500,"Toll Highways (Govt. Business)")</f>
        <v>-384989</v>
      </c>
      <c r="D42">
        <f>SUMIFS('S&amp;L Data'!P2:P500,'S&amp;L Data'!$G2:$G500,"Toll Highways (Govt. Business)")</f>
        <v>-494258</v>
      </c>
      <c r="E42">
        <f>SUMIFS('S&amp;L Data'!Q2:Q500,'S&amp;L Data'!$G2:$G500,"Toll Highways (Govt. Business)")</f>
        <v>-428731</v>
      </c>
      <c r="F42">
        <f>SUMIFS('S&amp;L Data'!R2:R500,'S&amp;L Data'!$G2:$G500,"Toll Highways (Govt. Business)")</f>
        <v>-511136</v>
      </c>
      <c r="G42">
        <f>SUMIFS('S&amp;L Data'!S2:S500,'S&amp;L Data'!$G2:$G500,"Toll Highways (Govt. Business)")</f>
        <v>-615576</v>
      </c>
      <c r="H42">
        <f>SUMIFS('S&amp;L Data'!T2:T500,'S&amp;L Data'!$G2:$G500,"Toll Highways (Govt. Business)")</f>
        <v>-359180</v>
      </c>
      <c r="I42">
        <f>SUMIFS('S&amp;L Data'!U2:U500,'S&amp;L Data'!$G2:$G500,"Toll Highways (Govt. Business)")</f>
        <v>-314929</v>
      </c>
      <c r="J42">
        <f>SUMIFS('S&amp;L Data'!V2:V500,'S&amp;L Data'!$G2:$G500,"Toll Highways (Govt. Business)")</f>
        <v>-94667</v>
      </c>
      <c r="K42">
        <f>SUMIFS('S&amp;L Data'!W2:W500,'S&amp;L Data'!$G2:$G500,"Toll Highways (Govt. Business)")</f>
        <v>-225801</v>
      </c>
      <c r="L42">
        <f>SUMIFS('S&amp;L Data'!X2:X500,'S&amp;L Data'!$G2:$G500,"Toll Highways (Govt. Business)")</f>
        <v>-349700</v>
      </c>
      <c r="M42">
        <f>SUMIFS('S&amp;L Data'!Y2:Y500,'S&amp;L Data'!$G2:$G500,"Toll Highways (Govt. Business)")</f>
        <v>-286738</v>
      </c>
      <c r="N42">
        <f>SUMIFS('S&amp;L Data'!Z2:Z500,'S&amp;L Data'!$G2:$G500,"Toll Highways (Govt. Business)")</f>
        <v>-155716</v>
      </c>
      <c r="O42">
        <f>SUMIFS('S&amp;L Data'!AA2:AA500,'S&amp;L Data'!$G2:$G500,"Toll Highways (Govt. Business)")</f>
        <v>-178045</v>
      </c>
      <c r="P42">
        <f>SUMIFS('S&amp;L Data'!AB2:AB500,'S&amp;L Data'!$G2:$G500,"Toll Highways (Govt. Business)")</f>
        <v>-159940</v>
      </c>
      <c r="Q42">
        <f>SUMIFS('S&amp;L Data'!AC2:AC500,'S&amp;L Data'!$G2:$G500,"Toll Highways (Govt. Business)")</f>
        <v>-337292</v>
      </c>
      <c r="R42">
        <f>SUMIFS('S&amp;L Data'!AD2:AD500,'S&amp;L Data'!$G2:$G500,"Toll Highways (Govt. Business)")</f>
        <v>-362871</v>
      </c>
      <c r="S42">
        <f>SUMIFS('S&amp;L Data'!AE2:AE500,'S&amp;L Data'!$G2:$G500,"Toll Highways (Govt. Business)")</f>
        <v>-392993</v>
      </c>
      <c r="T42">
        <f>SUMIFS('S&amp;L Data'!AF2:AF500,'S&amp;L Data'!$G2:$G500,"Toll Highways (Govt. Business)")</f>
        <v>-784648</v>
      </c>
      <c r="U42">
        <f>SUMIFS('S&amp;L Data'!AG2:AG500,'S&amp;L Data'!$G2:$G500,"Toll Highways (Govt. Business)")</f>
        <v>-181827</v>
      </c>
      <c r="V42">
        <f>SUMIFS('S&amp;L Data'!AH2:AH500,'S&amp;L Data'!$G2:$G500,"Toll Highways (Govt. Business)")</f>
        <v>304865</v>
      </c>
      <c r="W42">
        <f>SUMIFS('S&amp;L Data'!AI2:AI500,'S&amp;L Data'!$G2:$G500,"Toll Highways (Govt. Business)")</f>
        <v>631748</v>
      </c>
      <c r="X42">
        <f>SUMIFS('S&amp;L Data'!AJ2:AJ500,'S&amp;L Data'!$G2:$G500,"Toll Highways (Govt. Business)")</f>
        <v>1472487</v>
      </c>
      <c r="Y42">
        <f>SUMIFS('S&amp;L Data'!AK2:AK500,'S&amp;L Data'!$G2:$G500,"Toll Highways (Govt. Business)")</f>
        <v>2162849</v>
      </c>
      <c r="Z42">
        <f>SUMIFS('S&amp;L Data'!AL2:AL500,'S&amp;L Data'!$G2:$G500,"Toll Highways (Govt. Business)")</f>
        <v>1226060</v>
      </c>
      <c r="AA42">
        <f>SUMIFS('S&amp;L Data'!AM2:AM500,'S&amp;L Data'!$G2:$G500,"Toll Highways (Govt. Business)")</f>
        <v>-56833</v>
      </c>
      <c r="AB42">
        <f>SUMIFS('S&amp;L Data'!AN2:AN500,'S&amp;L Data'!$G2:$G500,"Toll Highways (Govt. Business)")</f>
        <v>-5601545</v>
      </c>
      <c r="AC42">
        <f>SUMIFS('S&amp;L Data'!AO2:AO500,'S&amp;L Data'!$G2:$G500,"Toll Highways (Govt. Business)")</f>
        <v>1119585</v>
      </c>
      <c r="AD42">
        <f>SUMIFS('S&amp;L Data'!AP2:AP500,'S&amp;L Data'!$G2:$G500,"Toll Highways (Govt. Business)")</f>
        <v>4845418</v>
      </c>
      <c r="AE42">
        <f>SUMIFS('S&amp;L Data'!AQ2:AQ500,'S&amp;L Data'!$G2:$G500,"Toll Highways (Govt. Business)")</f>
        <v>1446936</v>
      </c>
      <c r="AF42">
        <f>SUMIFS('S&amp;L Data'!AR2:AR500,'S&amp;L Data'!$G2:$G500,"Toll Highways (Govt. Business)")</f>
        <v>1561670</v>
      </c>
      <c r="AG42">
        <f>SUMIFS('S&amp;L Data'!AS2:AS500,'S&amp;L Data'!$G2:$G500,"Toll Highways (Govt. Business)")</f>
        <v>-270906</v>
      </c>
      <c r="AH42">
        <f>SUMIFS('S&amp;L Data'!AT2:AT500,'S&amp;L Data'!$G2:$G500,"Toll Highways (Govt. Business)")</f>
        <v>760982</v>
      </c>
      <c r="AI42">
        <f>SUMIFS('S&amp;L Data'!AU2:AU500,'S&amp;L Data'!$G2:$G500,"Toll Highways (Govt. Business)")</f>
        <v>-1071034</v>
      </c>
      <c r="AJ42">
        <f>SUMIFS('S&amp;L Data'!AV2:AV500,'S&amp;L Data'!$G2:$G500,"Toll Highways (Govt. Business)")</f>
        <v>-1088168</v>
      </c>
    </row>
    <row r="43" spans="1:36">
      <c r="A43" s="6" t="s">
        <v>280</v>
      </c>
      <c r="B43">
        <f>SUMIFS('S&amp;L Data'!N2:N500,'S&amp;L Data'!$F2:$F500,"Parking Facilities (Govt. Business)")</f>
        <v>0</v>
      </c>
      <c r="C43">
        <f>SUMIFS('S&amp;L Data'!O2:O500,'S&amp;L Data'!$F2:$F500,"Parking Facilities (Govt. Business)")</f>
        <v>0</v>
      </c>
      <c r="D43">
        <f>SUMIFS('S&amp;L Data'!P2:P500,'S&amp;L Data'!$F2:$F500,"Parking Facilities (Govt. Business)")</f>
        <v>0</v>
      </c>
      <c r="E43">
        <f>SUMIFS('S&amp;L Data'!Q2:Q500,'S&amp;L Data'!$F2:$F500,"Parking Facilities (Govt. Business)")</f>
        <v>0</v>
      </c>
      <c r="F43">
        <f>SUMIFS('S&amp;L Data'!R2:R500,'S&amp;L Data'!$F2:$F500,"Parking Facilities (Govt. Business)")</f>
        <v>0</v>
      </c>
      <c r="G43">
        <f>SUMIFS('S&amp;L Data'!S2:S500,'S&amp;L Data'!$F2:$F500,"Parking Facilities (Govt. Business)")</f>
        <v>0</v>
      </c>
      <c r="H43">
        <f>SUMIFS('S&amp;L Data'!T2:T500,'S&amp;L Data'!$F2:$F500,"Parking Facilities (Govt. Business)")</f>
        <v>0</v>
      </c>
      <c r="I43">
        <f>SUMIFS('S&amp;L Data'!U2:U500,'S&amp;L Data'!$F2:$F500,"Parking Facilities (Govt. Business)")</f>
        <v>0</v>
      </c>
      <c r="J43">
        <f>SUMIFS('S&amp;L Data'!V2:V500,'S&amp;L Data'!$F2:$F500,"Parking Facilities (Govt. Business)")</f>
        <v>0</v>
      </c>
      <c r="K43">
        <f>SUMIFS('S&amp;L Data'!W2:W500,'S&amp;L Data'!$F2:$F500,"Parking Facilities (Govt. Business)")</f>
        <v>0</v>
      </c>
      <c r="L43">
        <f>SUMIFS('S&amp;L Data'!X2:X500,'S&amp;L Data'!$F2:$F500,"Parking Facilities (Govt. Business)")</f>
        <v>0</v>
      </c>
      <c r="M43">
        <f>SUMIFS('S&amp;L Data'!Y2:Y500,'S&amp;L Data'!$F2:$F500,"Parking Facilities (Govt. Business)")</f>
        <v>0</v>
      </c>
      <c r="N43">
        <f>SUMIFS('S&amp;L Data'!Z2:Z500,'S&amp;L Data'!$F2:$F500,"Parking Facilities (Govt. Business)")</f>
        <v>0</v>
      </c>
      <c r="O43">
        <f>SUMIFS('S&amp;L Data'!AA2:AA500,'S&amp;L Data'!$F2:$F500,"Parking Facilities (Govt. Business)")</f>
        <v>0</v>
      </c>
      <c r="P43">
        <f>SUMIFS('S&amp;L Data'!AB2:AB500,'S&amp;L Data'!$F2:$F500,"Parking Facilities (Govt. Business)")</f>
        <v>0</v>
      </c>
      <c r="Q43">
        <f>SUMIFS('S&amp;L Data'!AC2:AC500,'S&amp;L Data'!$F2:$F500,"Parking Facilities (Govt. Business)")</f>
        <v>0</v>
      </c>
      <c r="R43">
        <f>SUMIFS('S&amp;L Data'!AD2:AD500,'S&amp;L Data'!$F2:$F500,"Parking Facilities (Govt. Business)")</f>
        <v>0</v>
      </c>
      <c r="S43">
        <f>SUMIFS('S&amp;L Data'!AE2:AE500,'S&amp;L Data'!$F2:$F500,"Parking Facilities (Govt. Business)")</f>
        <v>0</v>
      </c>
      <c r="T43">
        <f>SUMIFS('S&amp;L Data'!AF2:AF500,'S&amp;L Data'!$F2:$F500,"Parking Facilities (Govt. Business)")</f>
        <v>0</v>
      </c>
      <c r="U43">
        <f>SUMIFS('S&amp;L Data'!AG2:AG500,'S&amp;L Data'!$F2:$F500,"Parking Facilities (Govt. Business)")</f>
        <v>0</v>
      </c>
      <c r="V43">
        <f>SUMIFS('S&amp;L Data'!AH2:AH500,'S&amp;L Data'!$F2:$F500,"Parking Facilities (Govt. Business)")</f>
        <v>0</v>
      </c>
      <c r="W43">
        <f>SUMIFS('S&amp;L Data'!AI2:AI500,'S&amp;L Data'!$F2:$F500,"Parking Facilities (Govt. Business)")</f>
        <v>0</v>
      </c>
      <c r="X43">
        <f>SUMIFS('S&amp;L Data'!AJ2:AJ500,'S&amp;L Data'!$F2:$F500,"Parking Facilities (Govt. Business)")</f>
        <v>0</v>
      </c>
      <c r="Y43">
        <f>SUMIFS('S&amp;L Data'!AK2:AK500,'S&amp;L Data'!$F2:$F500,"Parking Facilities (Govt. Business)")</f>
        <v>0</v>
      </c>
      <c r="Z43">
        <f>SUMIFS('S&amp;L Data'!AL2:AL500,'S&amp;L Data'!$F2:$F500,"Parking Facilities (Govt. Business)")</f>
        <v>0</v>
      </c>
      <c r="AA43">
        <f>SUMIFS('S&amp;L Data'!AM2:AM500,'S&amp;L Data'!$F2:$F500,"Parking Facilities (Govt. Business)")</f>
        <v>0</v>
      </c>
      <c r="AB43">
        <f>SUMIFS('S&amp;L Data'!AN2:AN500,'S&amp;L Data'!$F2:$F500,"Parking Facilities (Govt. Business)")</f>
        <v>0</v>
      </c>
      <c r="AC43">
        <f>SUMIFS('S&amp;L Data'!AO2:AO500,'S&amp;L Data'!$F2:$F500,"Parking Facilities (Govt. Business)")</f>
        <v>0</v>
      </c>
      <c r="AD43">
        <f>SUMIFS('S&amp;L Data'!AP2:AP500,'S&amp;L Data'!$F2:$F500,"Parking Facilities (Govt. Business)")</f>
        <v>0</v>
      </c>
      <c r="AE43">
        <f>SUMIFS('S&amp;L Data'!AQ2:AQ500,'S&amp;L Data'!$F2:$F500,"Parking Facilities (Govt. Business)")</f>
        <v>0</v>
      </c>
      <c r="AF43">
        <f>SUMIFS('S&amp;L Data'!AR2:AR500,'S&amp;L Data'!$F2:$F500,"Parking Facilities (Govt. Business)")</f>
        <v>0</v>
      </c>
      <c r="AG43">
        <f>SUMIFS('S&amp;L Data'!AS2:AS500,'S&amp;L Data'!$F2:$F500,"Parking Facilities (Govt. Business)")</f>
        <v>0</v>
      </c>
      <c r="AH43">
        <f>SUMIFS('S&amp;L Data'!AT2:AT500,'S&amp;L Data'!$F2:$F500,"Parking Facilities (Govt. Business)")</f>
        <v>0</v>
      </c>
      <c r="AI43">
        <f>SUMIFS('S&amp;L Data'!AU2:AU500,'S&amp;L Data'!$F2:$F500,"Parking Facilities (Govt. Business)")</f>
        <v>0</v>
      </c>
      <c r="AJ43">
        <f>SUMIFS('S&amp;L Data'!AV2:AV500,'S&amp;L Data'!$F2:$F500,"Parking Facilities (Govt. Business)")</f>
        <v>0</v>
      </c>
    </row>
    <row r="44" spans="1:36">
      <c r="A44" s="5" t="s">
        <v>278</v>
      </c>
      <c r="B44">
        <f>SUMIFS('S&amp;L Data'!N2:N500,'S&amp;L Data'!$F2:$F500,"Railroad Transportation")</f>
        <v>5248720</v>
      </c>
      <c r="C44">
        <f>SUMIFS('S&amp;L Data'!O2:O500,'S&amp;L Data'!$F2:$F500,"Railroad Transportation")</f>
        <v>6588902</v>
      </c>
      <c r="D44">
        <f>SUMIFS('S&amp;L Data'!P2:P500,'S&amp;L Data'!$F2:$F500,"Railroad Transportation")</f>
        <v>7642847</v>
      </c>
      <c r="E44">
        <f>SUMIFS('S&amp;L Data'!Q2:Q500,'S&amp;L Data'!$F2:$F500,"Railroad Transportation")</f>
        <v>8779652</v>
      </c>
      <c r="F44">
        <f>SUMIFS('S&amp;L Data'!R2:R500,'S&amp;L Data'!$F2:$F500,"Railroad Transportation")</f>
        <v>9273434</v>
      </c>
      <c r="G44">
        <f>SUMIFS('S&amp;L Data'!S2:S500,'S&amp;L Data'!$F2:$F500,"Railroad Transportation")</f>
        <v>9375561</v>
      </c>
      <c r="H44">
        <f>SUMIFS('S&amp;L Data'!T2:T500,'S&amp;L Data'!$F2:$F500,"Railroad Transportation")</f>
        <v>9967547</v>
      </c>
      <c r="I44">
        <f>SUMIFS('S&amp;L Data'!U2:U500,'S&amp;L Data'!$F2:$F500,"Railroad Transportation")</f>
        <v>10638656</v>
      </c>
      <c r="J44">
        <f>SUMIFS('S&amp;L Data'!V2:V500,'S&amp;L Data'!$F2:$F500,"Railroad Transportation")</f>
        <v>11242502</v>
      </c>
      <c r="K44">
        <f>SUMIFS('S&amp;L Data'!W2:W500,'S&amp;L Data'!$F2:$F500,"Railroad Transportation")</f>
        <v>11764153</v>
      </c>
      <c r="L44">
        <f>SUMIFS('S&amp;L Data'!X2:X500,'S&amp;L Data'!$F2:$F500,"Railroad Transportation")</f>
        <v>13177189</v>
      </c>
      <c r="M44">
        <f>SUMIFS('S&amp;L Data'!Y2:Y500,'S&amp;L Data'!$F2:$F500,"Railroad Transportation")</f>
        <v>14220076</v>
      </c>
      <c r="N44">
        <f>SUMIFS('S&amp;L Data'!Z2:Z500,'S&amp;L Data'!$F2:$F500,"Railroad Transportation")</f>
        <v>15596186</v>
      </c>
      <c r="O44">
        <f>SUMIFS('S&amp;L Data'!AA2:AA500,'S&amp;L Data'!$F2:$F500,"Railroad Transportation")</f>
        <v>14933696</v>
      </c>
      <c r="P44">
        <f>SUMIFS('S&amp;L Data'!AB2:AB500,'S&amp;L Data'!$F2:$F500,"Railroad Transportation")</f>
        <v>17442558</v>
      </c>
      <c r="Q44">
        <f>SUMIFS('S&amp;L Data'!AC2:AC500,'S&amp;L Data'!$F2:$F500,"Railroad Transportation")</f>
        <v>18662195</v>
      </c>
      <c r="R44">
        <f>SUMIFS('S&amp;L Data'!AD2:AD500,'S&amp;L Data'!$F2:$F500,"Railroad Transportation")</f>
        <v>18434491</v>
      </c>
      <c r="S44">
        <f>SUMIFS('S&amp;L Data'!AE2:AE500,'S&amp;L Data'!$F2:$F500,"Railroad Transportation")</f>
        <v>18391187</v>
      </c>
      <c r="T44">
        <f>SUMIFS('S&amp;L Data'!AF2:AF500,'S&amp;L Data'!$F2:$F500,"Railroad Transportation")</f>
        <v>19319130</v>
      </c>
      <c r="U44">
        <f>SUMIFS('S&amp;L Data'!AG2:AG500,'S&amp;L Data'!$F2:$F500,"Railroad Transportation")</f>
        <v>20076522</v>
      </c>
      <c r="V44">
        <f>SUMIFS('S&amp;L Data'!AH2:AH500,'S&amp;L Data'!$F2:$F500,"Railroad Transportation")</f>
        <v>22917774</v>
      </c>
      <c r="W44">
        <f>SUMIFS('S&amp;L Data'!AI2:AI500,'S&amp;L Data'!$F2:$F500,"Railroad Transportation")</f>
        <v>23392012</v>
      </c>
      <c r="X44">
        <f>SUMIFS('S&amp;L Data'!AJ2:AJ500,'S&amp;L Data'!$F2:$F500,"Railroad Transportation")</f>
        <v>27573942</v>
      </c>
      <c r="Y44">
        <f>SUMIFS('S&amp;L Data'!AK2:AK500,'S&amp;L Data'!$F2:$F500,"Railroad Transportation")</f>
        <v>31570462</v>
      </c>
      <c r="Z44">
        <f>SUMIFS('S&amp;L Data'!AL2:AL500,'S&amp;L Data'!$F2:$F500,"Railroad Transportation")</f>
        <v>33267571</v>
      </c>
      <c r="AA44">
        <f>SUMIFS('S&amp;L Data'!AM2:AM500,'S&amp;L Data'!$F2:$F500,"Railroad Transportation")</f>
        <v>32589976</v>
      </c>
      <c r="AB44">
        <f>SUMIFS('S&amp;L Data'!AN2:AN500,'S&amp;L Data'!$F2:$F500,"Railroad Transportation")</f>
        <v>33726304</v>
      </c>
      <c r="AC44">
        <f>SUMIFS('S&amp;L Data'!AO2:AO500,'S&amp;L Data'!$F2:$F500,"Railroad Transportation")</f>
        <v>34861299</v>
      </c>
      <c r="AD44">
        <f>SUMIFS('S&amp;L Data'!AP2:AP500,'S&amp;L Data'!$F2:$F500,"Railroad Transportation")</f>
        <v>37914967</v>
      </c>
      <c r="AE44">
        <f>SUMIFS('S&amp;L Data'!AQ2:AQ500,'S&amp;L Data'!$F2:$F500,"Railroad Transportation")</f>
        <v>43714726</v>
      </c>
      <c r="AF44">
        <f>SUMIFS('S&amp;L Data'!AR2:AR500,'S&amp;L Data'!$F2:$F500,"Railroad Transportation")</f>
        <v>44999082</v>
      </c>
      <c r="AG44">
        <f>SUMIFS('S&amp;L Data'!AS2:AS500,'S&amp;L Data'!$F2:$F500,"Railroad Transportation")</f>
        <v>44633892</v>
      </c>
      <c r="AH44">
        <f>SUMIFS('S&amp;L Data'!AT2:AT500,'S&amp;L Data'!$F2:$F500,"Railroad Transportation")</f>
        <v>46035124</v>
      </c>
      <c r="AI44">
        <f>SUMIFS('S&amp;L Data'!AU2:AU500,'S&amp;L Data'!$F2:$F500,"Railroad Transportation")</f>
        <v>47653410</v>
      </c>
      <c r="AJ44">
        <f>SUMIFS('S&amp;L Data'!AV2:AV500,'S&amp;L Data'!$F2:$F500,"Railroad Transportation")</f>
        <v>51128629</v>
      </c>
    </row>
    <row r="45" spans="1:36">
      <c r="A45" s="5" t="s">
        <v>281</v>
      </c>
      <c r="B45">
        <f>SUMIFS('S&amp;L Data'!N2:N500,'S&amp;L Data'!$F2:$F500,"Water Transportation")</f>
        <v>347535</v>
      </c>
      <c r="C45">
        <f>SUMIFS('S&amp;L Data'!O2:O500,'S&amp;L Data'!$F2:$F500,"Water Transportation")</f>
        <v>604402</v>
      </c>
      <c r="D45">
        <f>SUMIFS('S&amp;L Data'!P2:P500,'S&amp;L Data'!$F2:$F500,"Water Transportation")</f>
        <v>407481</v>
      </c>
      <c r="E45">
        <f>SUMIFS('S&amp;L Data'!Q2:Q500,'S&amp;L Data'!$F2:$F500,"Water Transportation")</f>
        <v>471581</v>
      </c>
      <c r="F45">
        <f>SUMIFS('S&amp;L Data'!R2:R500,'S&amp;L Data'!$F2:$F500,"Water Transportation")</f>
        <v>256442</v>
      </c>
      <c r="G45">
        <f>SUMIFS('S&amp;L Data'!S2:S500,'S&amp;L Data'!$F2:$F500,"Water Transportation")</f>
        <v>351481</v>
      </c>
      <c r="H45">
        <f>SUMIFS('S&amp;L Data'!T2:T500,'S&amp;L Data'!$F2:$F500,"Water Transportation")</f>
        <v>495520</v>
      </c>
      <c r="I45">
        <f>SUMIFS('S&amp;L Data'!U2:U500,'S&amp;L Data'!$F2:$F500,"Water Transportation")</f>
        <v>438792</v>
      </c>
      <c r="J45">
        <f>SUMIFS('S&amp;L Data'!V2:V500,'S&amp;L Data'!$F2:$F500,"Water Transportation")</f>
        <v>427926</v>
      </c>
      <c r="K45">
        <f>SUMIFS('S&amp;L Data'!W2:W500,'S&amp;L Data'!$F2:$F500,"Water Transportation")</f>
        <v>507181</v>
      </c>
      <c r="L45">
        <f>SUMIFS('S&amp;L Data'!X2:X500,'S&amp;L Data'!$F2:$F500,"Water Transportation")</f>
        <v>480765</v>
      </c>
      <c r="M45">
        <f>SUMIFS('S&amp;L Data'!Y2:Y500,'S&amp;L Data'!$F2:$F500,"Water Transportation")</f>
        <v>513861</v>
      </c>
      <c r="N45">
        <f>SUMIFS('S&amp;L Data'!Z2:Z500,'S&amp;L Data'!$F2:$F500,"Water Transportation")</f>
        <v>267830</v>
      </c>
      <c r="O45">
        <f>SUMIFS('S&amp;L Data'!AA2:AA500,'S&amp;L Data'!$F2:$F500,"Water Transportation")</f>
        <v>429550</v>
      </c>
      <c r="P45">
        <f>SUMIFS('S&amp;L Data'!AB2:AB500,'S&amp;L Data'!$F2:$F500,"Water Transportation")</f>
        <v>843159</v>
      </c>
      <c r="Q45">
        <f>SUMIFS('S&amp;L Data'!AC2:AC500,'S&amp;L Data'!$F2:$F500,"Water Transportation")</f>
        <v>386116</v>
      </c>
      <c r="R45">
        <f>SUMIFS('S&amp;L Data'!AD2:AD500,'S&amp;L Data'!$F2:$F500,"Water Transportation")</f>
        <v>446391</v>
      </c>
      <c r="S45">
        <f>SUMIFS('S&amp;L Data'!AE2:AE500,'S&amp;L Data'!$F2:$F500,"Water Transportation")</f>
        <v>710051</v>
      </c>
      <c r="T45">
        <f>SUMIFS('S&amp;L Data'!AF2:AF500,'S&amp;L Data'!$F2:$F500,"Water Transportation")</f>
        <v>545485</v>
      </c>
      <c r="U45">
        <f>SUMIFS('S&amp;L Data'!AG2:AG500,'S&amp;L Data'!$F2:$F500,"Water Transportation")</f>
        <v>715372</v>
      </c>
      <c r="V45">
        <f>SUMIFS('S&amp;L Data'!AH2:AH500,'S&amp;L Data'!$F2:$F500,"Water Transportation")</f>
        <v>633842</v>
      </c>
      <c r="W45">
        <f>SUMIFS('S&amp;L Data'!AI2:AI500,'S&amp;L Data'!$F2:$F500,"Water Transportation")</f>
        <v>3287358</v>
      </c>
      <c r="X45">
        <f>SUMIFS('S&amp;L Data'!AJ2:AJ500,'S&amp;L Data'!$F2:$F500,"Water Transportation")</f>
        <v>885917</v>
      </c>
      <c r="Y45">
        <f>SUMIFS('S&amp;L Data'!AK2:AK500,'S&amp;L Data'!$F2:$F500,"Water Transportation")</f>
        <v>-365679</v>
      </c>
      <c r="Z45">
        <f>SUMIFS('S&amp;L Data'!AL2:AL500,'S&amp;L Data'!$F2:$F500,"Water Transportation")</f>
        <v>939841</v>
      </c>
      <c r="AA45">
        <f>SUMIFS('S&amp;L Data'!AM2:AM500,'S&amp;L Data'!$F2:$F500,"Water Transportation")</f>
        <v>502301</v>
      </c>
      <c r="AB45">
        <f>SUMIFS('S&amp;L Data'!AN2:AN500,'S&amp;L Data'!$F2:$F500,"Water Transportation")</f>
        <v>578425</v>
      </c>
      <c r="AC45">
        <f>SUMIFS('S&amp;L Data'!AO2:AO500,'S&amp;L Data'!$F2:$F500,"Water Transportation")</f>
        <v>894202</v>
      </c>
      <c r="AD45">
        <f>SUMIFS('S&amp;L Data'!AP2:AP500,'S&amp;L Data'!$F2:$F500,"Water Transportation")</f>
        <v>780631</v>
      </c>
      <c r="AE45">
        <f>SUMIFS('S&amp;L Data'!AQ2:AQ500,'S&amp;L Data'!$F2:$F500,"Water Transportation")</f>
        <v>1331739</v>
      </c>
      <c r="AF45">
        <f>SUMIFS('S&amp;L Data'!AR2:AR500,'S&amp;L Data'!$F2:$F500,"Water Transportation")</f>
        <v>1382453</v>
      </c>
      <c r="AG45">
        <f>SUMIFS('S&amp;L Data'!AS2:AS500,'S&amp;L Data'!$F2:$F500,"Water Transportation")</f>
        <v>906743</v>
      </c>
      <c r="AH45">
        <f>SUMIFS('S&amp;L Data'!AT2:AT500,'S&amp;L Data'!$F2:$F500,"Water Transportation")</f>
        <v>871603</v>
      </c>
      <c r="AI45">
        <f>SUMIFS('S&amp;L Data'!AU2:AU500,'S&amp;L Data'!$F2:$F500,"Water Transportation")</f>
        <v>809051</v>
      </c>
      <c r="AJ45">
        <f>SUMIFS('S&amp;L Data'!AV2:AV500,'S&amp;L Data'!$F2:$F500,"Water Transportation")</f>
        <v>1271128</v>
      </c>
    </row>
    <row r="46" spans="1:36">
      <c r="A46" s="4" t="s">
        <v>65</v>
      </c>
      <c r="B46">
        <f>SUMIFS('S&amp;L Data'!N2:N500,'S&amp;L Data'!$E2:$E500,"General Commerce")</f>
        <v>-1640255</v>
      </c>
      <c r="C46">
        <f>SUMIFS('S&amp;L Data'!O2:O500,'S&amp;L Data'!$E2:$E500,"General Commerce")</f>
        <v>-1768544</v>
      </c>
      <c r="D46">
        <f>SUMIFS('S&amp;L Data'!P2:P500,'S&amp;L Data'!$E2:$E500,"General Commerce")</f>
        <v>-2139255</v>
      </c>
      <c r="E46">
        <f>SUMIFS('S&amp;L Data'!Q2:Q500,'S&amp;L Data'!$E2:$E500,"General Commerce")</f>
        <v>-2510485</v>
      </c>
      <c r="F46">
        <f>SUMIFS('S&amp;L Data'!R2:R500,'S&amp;L Data'!$E2:$E500,"General Commerce")</f>
        <v>-3193020</v>
      </c>
      <c r="G46">
        <f>SUMIFS('S&amp;L Data'!S2:S500,'S&amp;L Data'!$E2:$E500,"General Commerce")</f>
        <v>-3955228</v>
      </c>
      <c r="H46">
        <f>SUMIFS('S&amp;L Data'!T2:T500,'S&amp;L Data'!$E2:$E500,"General Commerce")</f>
        <v>-5158832</v>
      </c>
      <c r="I46">
        <f>SUMIFS('S&amp;L Data'!U2:U500,'S&amp;L Data'!$E2:$E500,"General Commerce")</f>
        <v>-5270071</v>
      </c>
      <c r="J46">
        <f>SUMIFS('S&amp;L Data'!V2:V500,'S&amp;L Data'!$E2:$E500,"General Commerce")</f>
        <v>-6081444</v>
      </c>
      <c r="K46">
        <f>SUMIFS('S&amp;L Data'!W2:W500,'S&amp;L Data'!$E2:$E500,"General Commerce")</f>
        <v>-7496832</v>
      </c>
      <c r="L46">
        <f>SUMIFS('S&amp;L Data'!X2:X500,'S&amp;L Data'!$E2:$E500,"General Commerce")</f>
        <v>-8004121</v>
      </c>
      <c r="M46">
        <f>SUMIFS('S&amp;L Data'!Y2:Y500,'S&amp;L Data'!$E2:$E500,"General Commerce")</f>
        <v>-8245841</v>
      </c>
      <c r="N46">
        <f>SUMIFS('S&amp;L Data'!Z2:Z500,'S&amp;L Data'!$E2:$E500,"General Commerce")</f>
        <v>-8420356</v>
      </c>
      <c r="O46">
        <f>SUMIFS('S&amp;L Data'!AA2:AA500,'S&amp;L Data'!$E2:$E500,"General Commerce")</f>
        <v>-9473334</v>
      </c>
      <c r="P46">
        <f>SUMIFS('S&amp;L Data'!AB2:AB500,'S&amp;L Data'!$E2:$E500,"General Commerce")</f>
        <v>-10429043</v>
      </c>
      <c r="Q46">
        <f>SUMIFS('S&amp;L Data'!AC2:AC500,'S&amp;L Data'!$E2:$E500,"General Commerce")</f>
        <v>-11468727</v>
      </c>
      <c r="R46">
        <f>SUMIFS('S&amp;L Data'!AD2:AD500,'S&amp;L Data'!$E2:$E500,"General Commerce")</f>
        <v>-12469662</v>
      </c>
      <c r="S46">
        <f>SUMIFS('S&amp;L Data'!AE2:AE500,'S&amp;L Data'!$E2:$E500,"General Commerce")</f>
        <v>-12829256</v>
      </c>
      <c r="T46">
        <f>SUMIFS('S&amp;L Data'!AF2:AF500,'S&amp;L Data'!$E2:$E500,"General Commerce")</f>
        <v>-12913971</v>
      </c>
      <c r="U46">
        <f>SUMIFS('S&amp;L Data'!AG2:AG500,'S&amp;L Data'!$E2:$E500,"General Commerce")</f>
        <v>-13077708</v>
      </c>
      <c r="V46">
        <f>SUMIFS('S&amp;L Data'!AH2:AH500,'S&amp;L Data'!$E2:$E500,"General Commerce")</f>
        <v>-12934837</v>
      </c>
      <c r="W46">
        <f>SUMIFS('S&amp;L Data'!AI2:AI500,'S&amp;L Data'!$E2:$E500,"General Commerce")</f>
        <v>-12866441</v>
      </c>
      <c r="X46">
        <f>SUMIFS('S&amp;L Data'!AJ2:AJ500,'S&amp;L Data'!$E2:$E500,"General Commerce")</f>
        <v>-14093200</v>
      </c>
      <c r="Y46">
        <f>SUMIFS('S&amp;L Data'!AK2:AK500,'S&amp;L Data'!$E2:$E500,"General Commerce")</f>
        <v>-15282028</v>
      </c>
      <c r="Z46">
        <f>SUMIFS('S&amp;L Data'!AL2:AL500,'S&amp;L Data'!$E2:$E500,"General Commerce")</f>
        <v>-16621084</v>
      </c>
      <c r="AA46">
        <f>SUMIFS('S&amp;L Data'!AM2:AM500,'S&amp;L Data'!$E2:$E500,"General Commerce")</f>
        <v>-13708905</v>
      </c>
      <c r="AB46">
        <f>SUMIFS('S&amp;L Data'!AN2:AN500,'S&amp;L Data'!$E2:$E500,"General Commerce")</f>
        <v>-14409840</v>
      </c>
      <c r="AC46">
        <f>SUMIFS('S&amp;L Data'!AO2:AO500,'S&amp;L Data'!$E2:$E500,"General Commerce")</f>
        <v>-20365175</v>
      </c>
      <c r="AD46">
        <f>SUMIFS('S&amp;L Data'!AP2:AP500,'S&amp;L Data'!$E2:$E500,"General Commerce")</f>
        <v>-22262718</v>
      </c>
      <c r="AE46">
        <f>SUMIFS('S&amp;L Data'!AQ2:AQ500,'S&amp;L Data'!$E2:$E500,"General Commerce")</f>
        <v>-20652997</v>
      </c>
      <c r="AF46">
        <f>SUMIFS('S&amp;L Data'!AR2:AR500,'S&amp;L Data'!$E2:$E500,"General Commerce")</f>
        <v>-21439724</v>
      </c>
      <c r="AG46">
        <f>SUMIFS('S&amp;L Data'!AS2:AS500,'S&amp;L Data'!$E2:$E500,"General Commerce")</f>
        <v>-22006363</v>
      </c>
      <c r="AH46">
        <f>SUMIFS('S&amp;L Data'!AT2:AT500,'S&amp;L Data'!$E2:$E500,"General Commerce")</f>
        <v>-23145358</v>
      </c>
      <c r="AI46">
        <f>SUMIFS('S&amp;L Data'!AU2:AU500,'S&amp;L Data'!$E2:$E500,"General Commerce")</f>
        <v>-24075303</v>
      </c>
      <c r="AJ46">
        <f>SUMIFS('S&amp;L Data'!AV2:AV500,'S&amp;L Data'!$E2:$E500,"General Commerce")</f>
        <v>-24410085</v>
      </c>
    </row>
    <row r="47" spans="1:36">
      <c r="A47" s="5" t="s">
        <v>282</v>
      </c>
      <c r="B47">
        <f>SUMIFS('S&amp;L Data'!N2:N500,'S&amp;L Data'!$F2:$F500,"Liquor Stores (Govt. Business)")</f>
        <v>-609147</v>
      </c>
      <c r="C47">
        <f>SUMIFS('S&amp;L Data'!O2:O500,'S&amp;L Data'!$F2:$F500,"Liquor Stores (Govt. Business)")</f>
        <v>-552265</v>
      </c>
      <c r="D47">
        <f>SUMIFS('S&amp;L Data'!P2:P500,'S&amp;L Data'!$F2:$F500,"Liquor Stores (Govt. Business)")</f>
        <v>-501232</v>
      </c>
      <c r="E47">
        <f>SUMIFS('S&amp;L Data'!Q2:Q500,'S&amp;L Data'!$F2:$F500,"Liquor Stores (Govt. Business)")</f>
        <v>-494696</v>
      </c>
      <c r="F47">
        <f>SUMIFS('S&amp;L Data'!R2:R500,'S&amp;L Data'!$F2:$F500,"Liquor Stores (Govt. Business)")</f>
        <v>-498802</v>
      </c>
      <c r="G47">
        <f>SUMIFS('S&amp;L Data'!S2:S500,'S&amp;L Data'!$F2:$F500,"Liquor Stores (Govt. Business)")</f>
        <v>-412536</v>
      </c>
      <c r="H47">
        <f>SUMIFS('S&amp;L Data'!T2:T500,'S&amp;L Data'!$F2:$F500,"Liquor Stores (Govt. Business)")</f>
        <v>-445981</v>
      </c>
      <c r="I47">
        <f>SUMIFS('S&amp;L Data'!U2:U500,'S&amp;L Data'!$F2:$F500,"Liquor Stores (Govt. Business)")</f>
        <v>-422666</v>
      </c>
      <c r="J47">
        <f>SUMIFS('S&amp;L Data'!V2:V500,'S&amp;L Data'!$F2:$F500,"Liquor Stores (Govt. Business)")</f>
        <v>-452898</v>
      </c>
      <c r="K47">
        <f>SUMIFS('S&amp;L Data'!W2:W500,'S&amp;L Data'!$F2:$F500,"Liquor Stores (Govt. Business)")</f>
        <v>-443669</v>
      </c>
      <c r="L47">
        <f>SUMIFS('S&amp;L Data'!X2:X500,'S&amp;L Data'!$F2:$F500,"Liquor Stores (Govt. Business)")</f>
        <v>-514759</v>
      </c>
      <c r="M47">
        <f>SUMIFS('S&amp;L Data'!Y2:Y500,'S&amp;L Data'!$F2:$F500,"Liquor Stores (Govt. Business)")</f>
        <v>-566462</v>
      </c>
      <c r="N47">
        <f>SUMIFS('S&amp;L Data'!Z2:Z500,'S&amp;L Data'!$F2:$F500,"Liquor Stores (Govt. Business)")</f>
        <v>-541830</v>
      </c>
      <c r="O47">
        <f>SUMIFS('S&amp;L Data'!AA2:AA500,'S&amp;L Data'!$F2:$F500,"Liquor Stores (Govt. Business)")</f>
        <v>-579776</v>
      </c>
      <c r="P47">
        <f>SUMIFS('S&amp;L Data'!AB2:AB500,'S&amp;L Data'!$F2:$F500,"Liquor Stores (Govt. Business)")</f>
        <v>-621920</v>
      </c>
      <c r="Q47">
        <f>SUMIFS('S&amp;L Data'!AC2:AC500,'S&amp;L Data'!$F2:$F500,"Liquor Stores (Govt. Business)")</f>
        <v>-616976</v>
      </c>
      <c r="R47">
        <f>SUMIFS('S&amp;L Data'!AD2:AD500,'S&amp;L Data'!$F2:$F500,"Liquor Stores (Govt. Business)")</f>
        <v>-633520</v>
      </c>
      <c r="S47">
        <f>SUMIFS('S&amp;L Data'!AE2:AE500,'S&amp;L Data'!$F2:$F500,"Liquor Stores (Govt. Business)")</f>
        <v>-659134</v>
      </c>
      <c r="T47">
        <f>SUMIFS('S&amp;L Data'!AF2:AF500,'S&amp;L Data'!$F2:$F500,"Liquor Stores (Govt. Business)")</f>
        <v>-761322</v>
      </c>
      <c r="U47">
        <f>SUMIFS('S&amp;L Data'!AG2:AG500,'S&amp;L Data'!$F2:$F500,"Liquor Stores (Govt. Business)")</f>
        <v>-698142</v>
      </c>
      <c r="V47">
        <f>SUMIFS('S&amp;L Data'!AH2:AH500,'S&amp;L Data'!$F2:$F500,"Liquor Stores (Govt. Business)")</f>
        <v>-790982</v>
      </c>
      <c r="W47">
        <f>SUMIFS('S&amp;L Data'!AI2:AI500,'S&amp;L Data'!$F2:$F500,"Liquor Stores (Govt. Business)")</f>
        <v>-886172</v>
      </c>
      <c r="X47">
        <f>SUMIFS('S&amp;L Data'!AJ2:AJ500,'S&amp;L Data'!$F2:$F500,"Liquor Stores (Govt. Business)")</f>
        <v>-882285</v>
      </c>
      <c r="Y47">
        <f>SUMIFS('S&amp;L Data'!AK2:AK500,'S&amp;L Data'!$F2:$F500,"Liquor Stores (Govt. Business)")</f>
        <v>-936255</v>
      </c>
      <c r="Z47">
        <f>SUMIFS('S&amp;L Data'!AL2:AL500,'S&amp;L Data'!$F2:$F500,"Liquor Stores (Govt. Business)")</f>
        <v>-1099705</v>
      </c>
      <c r="AA47">
        <f>SUMIFS('S&amp;L Data'!AM2:AM500,'S&amp;L Data'!$F2:$F500,"Liquor Stores (Govt. Business)")</f>
        <v>-1105067</v>
      </c>
      <c r="AB47">
        <f>SUMIFS('S&amp;L Data'!AN2:AN500,'S&amp;L Data'!$F2:$F500,"Liquor Stores (Govt. Business)")</f>
        <v>-1213166</v>
      </c>
      <c r="AC47">
        <f>SUMIFS('S&amp;L Data'!AO2:AO500,'S&amp;L Data'!$F2:$F500,"Liquor Stores (Govt. Business)")</f>
        <v>-1220428</v>
      </c>
      <c r="AD47">
        <f>SUMIFS('S&amp;L Data'!AP2:AP500,'S&amp;L Data'!$F2:$F500,"Liquor Stores (Govt. Business)")</f>
        <v>-1311677</v>
      </c>
      <c r="AE47">
        <f>SUMIFS('S&amp;L Data'!AQ2:AQ500,'S&amp;L Data'!$F2:$F500,"Liquor Stores (Govt. Business)")</f>
        <v>-1298926</v>
      </c>
      <c r="AF47">
        <f>SUMIFS('S&amp;L Data'!AR2:AR500,'S&amp;L Data'!$F2:$F500,"Liquor Stores (Govt. Business)")</f>
        <v>-1357638</v>
      </c>
      <c r="AG47">
        <f>SUMIFS('S&amp;L Data'!AS2:AS500,'S&amp;L Data'!$F2:$F500,"Liquor Stores (Govt. Business)")</f>
        <v>-1376209</v>
      </c>
      <c r="AH47">
        <f>SUMIFS('S&amp;L Data'!AT2:AT500,'S&amp;L Data'!$F2:$F500,"Liquor Stores (Govt. Business)")</f>
        <v>-1650804</v>
      </c>
      <c r="AI47">
        <f>SUMIFS('S&amp;L Data'!AU2:AU500,'S&amp;L Data'!$F2:$F500,"Liquor Stores (Govt. Business)")</f>
        <v>-1842862</v>
      </c>
      <c r="AJ47">
        <f>SUMIFS('S&amp;L Data'!AV2:AV500,'S&amp;L Data'!$F2:$F500,"Liquor Stores (Govt. Business)")</f>
        <v>-1619002</v>
      </c>
    </row>
    <row r="48" spans="1:36">
      <c r="A48" s="5" t="s">
        <v>283</v>
      </c>
      <c r="B48">
        <f>SUMIFS('S&amp;L Data'!N2:N500,'S&amp;L Data'!$F2:$F500,"Lotteries (Govt. Business)")</f>
        <v>-1029796</v>
      </c>
      <c r="C48">
        <f>SUMIFS('S&amp;L Data'!O2:O500,'S&amp;L Data'!$F2:$F500,"Lotteries (Govt. Business)")</f>
        <v>-1216762</v>
      </c>
      <c r="D48">
        <f>SUMIFS('S&amp;L Data'!P2:P500,'S&amp;L Data'!$F2:$F500,"Lotteries (Govt. Business)")</f>
        <v>-1630330</v>
      </c>
      <c r="E48">
        <f>SUMIFS('S&amp;L Data'!Q2:Q500,'S&amp;L Data'!$F2:$F500,"Lotteries (Govt. Business)")</f>
        <v>-2027139</v>
      </c>
      <c r="F48">
        <f>SUMIFS('S&amp;L Data'!R2:R500,'S&amp;L Data'!$F2:$F500,"Lotteries (Govt. Business)")</f>
        <v>-2684522</v>
      </c>
      <c r="G48">
        <f>SUMIFS('S&amp;L Data'!S2:S500,'S&amp;L Data'!$F2:$F500,"Lotteries (Govt. Business)")</f>
        <v>-3523411</v>
      </c>
      <c r="H48">
        <f>SUMIFS('S&amp;L Data'!T2:T500,'S&amp;L Data'!$F2:$F500,"Lotteries (Govt. Business)")</f>
        <v>-4690624</v>
      </c>
      <c r="I48">
        <f>SUMIFS('S&amp;L Data'!U2:U500,'S&amp;L Data'!$F2:$F500,"Lotteries (Govt. Business)")</f>
        <v>-4842790</v>
      </c>
      <c r="J48">
        <f>SUMIFS('S&amp;L Data'!V2:V500,'S&amp;L Data'!$F2:$F500,"Lotteries (Govt. Business)")</f>
        <v>-5654352</v>
      </c>
      <c r="K48">
        <f>SUMIFS('S&amp;L Data'!W2:W500,'S&amp;L Data'!$F2:$F500,"Lotteries (Govt. Business)")</f>
        <v>-7059265</v>
      </c>
      <c r="L48">
        <f>SUMIFS('S&amp;L Data'!X2:X500,'S&amp;L Data'!$F2:$F500,"Lotteries (Govt. Business)")</f>
        <v>-7485308</v>
      </c>
      <c r="M48">
        <f>SUMIFS('S&amp;L Data'!Y2:Y500,'S&amp;L Data'!$F2:$F500,"Lotteries (Govt. Business)")</f>
        <v>-7664880</v>
      </c>
      <c r="N48">
        <f>SUMIFS('S&amp;L Data'!Z2:Z500,'S&amp;L Data'!$F2:$F500,"Lotteries (Govt. Business)")</f>
        <v>-7844161</v>
      </c>
      <c r="O48">
        <f>SUMIFS('S&amp;L Data'!AA2:AA500,'S&amp;L Data'!$F2:$F500,"Lotteries (Govt. Business)")</f>
        <v>-8826523</v>
      </c>
      <c r="P48">
        <f>SUMIFS('S&amp;L Data'!AB2:AB500,'S&amp;L Data'!$F2:$F500,"Lotteries (Govt. Business)")</f>
        <v>-9794293</v>
      </c>
      <c r="Q48">
        <f>SUMIFS('S&amp;L Data'!AC2:AC500,'S&amp;L Data'!$F2:$F500,"Lotteries (Govt. Business)")</f>
        <v>-10809971</v>
      </c>
      <c r="R48">
        <f>SUMIFS('S&amp;L Data'!AD2:AD500,'S&amp;L Data'!$F2:$F500,"Lotteries (Govt. Business)")</f>
        <v>-11811550</v>
      </c>
      <c r="S48">
        <f>SUMIFS('S&amp;L Data'!AE2:AE500,'S&amp;L Data'!$F2:$F500,"Lotteries (Govt. Business)")</f>
        <v>-12100219</v>
      </c>
      <c r="T48">
        <f>SUMIFS('S&amp;L Data'!AF2:AF500,'S&amp;L Data'!$F2:$F500,"Lotteries (Govt. Business)")</f>
        <v>-12095577</v>
      </c>
      <c r="U48">
        <f>SUMIFS('S&amp;L Data'!AG2:AG500,'S&amp;L Data'!$F2:$F500,"Lotteries (Govt. Business)")</f>
        <v>-12324788</v>
      </c>
      <c r="V48">
        <f>SUMIFS('S&amp;L Data'!AH2:AH500,'S&amp;L Data'!$F2:$F500,"Lotteries (Govt. Business)")</f>
        <v>-12156586</v>
      </c>
      <c r="W48">
        <f>SUMIFS('S&amp;L Data'!AI2:AI500,'S&amp;L Data'!$F2:$F500,"Lotteries (Govt. Business)")</f>
        <v>-12022163</v>
      </c>
      <c r="X48">
        <f>SUMIFS('S&amp;L Data'!AJ2:AJ500,'S&amp;L Data'!$F2:$F500,"Lotteries (Govt. Business)")</f>
        <v>-13263260</v>
      </c>
      <c r="Y48">
        <f>SUMIFS('S&amp;L Data'!AK2:AK500,'S&amp;L Data'!$F2:$F500,"Lotteries (Govt. Business)")</f>
        <v>-13853904</v>
      </c>
      <c r="Z48">
        <f>SUMIFS('S&amp;L Data'!AL2:AL500,'S&amp;L Data'!$F2:$F500,"Lotteries (Govt. Business)")</f>
        <v>-15099262</v>
      </c>
      <c r="AA48">
        <f>SUMIFS('S&amp;L Data'!AM2:AM500,'S&amp;L Data'!$F2:$F500,"Lotteries (Govt. Business)")</f>
        <v>-15675487</v>
      </c>
      <c r="AB48">
        <f>SUMIFS('S&amp;L Data'!AN2:AN500,'S&amp;L Data'!$F2:$F500,"Lotteries (Govt. Business)")</f>
        <v>-16995089</v>
      </c>
      <c r="AC48">
        <f>SUMIFS('S&amp;L Data'!AO2:AO500,'S&amp;L Data'!$F2:$F500,"Lotteries (Govt. Business)")</f>
        <v>-17749751</v>
      </c>
      <c r="AD48">
        <f>SUMIFS('S&amp;L Data'!AP2:AP500,'S&amp;L Data'!$F2:$F500,"Lotteries (Govt. Business)")</f>
        <v>-18252970</v>
      </c>
      <c r="AE48">
        <f>SUMIFS('S&amp;L Data'!AQ2:AQ500,'S&amp;L Data'!$F2:$F500,"Lotteries (Govt. Business)")</f>
        <v>-17741160</v>
      </c>
      <c r="AF48">
        <f>SUMIFS('S&amp;L Data'!AR2:AR500,'S&amp;L Data'!$F2:$F500,"Lotteries (Govt. Business)")</f>
        <v>-17815384</v>
      </c>
      <c r="AG48">
        <f>SUMIFS('S&amp;L Data'!AS2:AS500,'S&amp;L Data'!$F2:$F500,"Lotteries (Govt. Business)")</f>
        <v>-18227379</v>
      </c>
      <c r="AH48">
        <f>SUMIFS('S&amp;L Data'!AT2:AT500,'S&amp;L Data'!$F2:$F500,"Lotteries (Govt. Business)")</f>
        <v>-19736863</v>
      </c>
      <c r="AI48">
        <f>SUMIFS('S&amp;L Data'!AU2:AU500,'S&amp;L Data'!$F2:$F500,"Lotteries (Govt. Business)")</f>
        <v>-20418338</v>
      </c>
      <c r="AJ48">
        <f>SUMIFS('S&amp;L Data'!AV2:AV500,'S&amp;L Data'!$F2:$F500,"Lotteries (Govt. Business)")</f>
        <v>-20987366</v>
      </c>
    </row>
    <row r="49" spans="1:36">
      <c r="A49" s="5" t="s">
        <v>290</v>
      </c>
      <c r="B49">
        <f>SUMIFS('S&amp;L Data'!N2:N500,'S&amp;L Data'!$F2:$F500,"Other Govt. Businesses")</f>
        <v>-1312</v>
      </c>
      <c r="C49">
        <f>SUMIFS('S&amp;L Data'!O2:O500,'S&amp;L Data'!$F2:$F500,"Other Govt. Businesses")</f>
        <v>483</v>
      </c>
      <c r="D49">
        <f>SUMIFS('S&amp;L Data'!P2:P500,'S&amp;L Data'!$F2:$F500,"Other Govt. Businesses")</f>
        <v>-7693</v>
      </c>
      <c r="E49">
        <f>SUMIFS('S&amp;L Data'!Q2:Q500,'S&amp;L Data'!$F2:$F500,"Other Govt. Businesses")</f>
        <v>11350</v>
      </c>
      <c r="F49">
        <f>SUMIFS('S&amp;L Data'!R2:R500,'S&amp;L Data'!$F2:$F500,"Other Govt. Businesses")</f>
        <v>-9696</v>
      </c>
      <c r="G49">
        <f>SUMIFS('S&amp;L Data'!S2:S500,'S&amp;L Data'!$F2:$F500,"Other Govt. Businesses")</f>
        <v>-19281</v>
      </c>
      <c r="H49">
        <f>SUMIFS('S&amp;L Data'!T2:T500,'S&amp;L Data'!$F2:$F500,"Other Govt. Businesses")</f>
        <v>-22227</v>
      </c>
      <c r="I49">
        <f>SUMIFS('S&amp;L Data'!U2:U500,'S&amp;L Data'!$F2:$F500,"Other Govt. Businesses")</f>
        <v>-4615</v>
      </c>
      <c r="J49">
        <f>SUMIFS('S&amp;L Data'!V2:V500,'S&amp;L Data'!$F2:$F500,"Other Govt. Businesses")</f>
        <v>25806</v>
      </c>
      <c r="K49">
        <f>SUMIFS('S&amp;L Data'!W2:W500,'S&amp;L Data'!$F2:$F500,"Other Govt. Businesses")</f>
        <v>6102</v>
      </c>
      <c r="L49">
        <f>SUMIFS('S&amp;L Data'!X2:X500,'S&amp;L Data'!$F2:$F500,"Other Govt. Businesses")</f>
        <v>-4054</v>
      </c>
      <c r="M49">
        <f>SUMIFS('S&amp;L Data'!Y2:Y500,'S&amp;L Data'!$F2:$F500,"Other Govt. Businesses")</f>
        <v>-14499</v>
      </c>
      <c r="N49">
        <f>SUMIFS('S&amp;L Data'!Z2:Z500,'S&amp;L Data'!$F2:$F500,"Other Govt. Businesses")</f>
        <v>-34365</v>
      </c>
      <c r="O49">
        <f>SUMIFS('S&amp;L Data'!AA2:AA500,'S&amp;L Data'!$F2:$F500,"Other Govt. Businesses")</f>
        <v>-67035</v>
      </c>
      <c r="P49">
        <f>SUMIFS('S&amp;L Data'!AB2:AB500,'S&amp;L Data'!$F2:$F500,"Other Govt. Businesses")</f>
        <v>-12830</v>
      </c>
      <c r="Q49">
        <f>SUMIFS('S&amp;L Data'!AC2:AC500,'S&amp;L Data'!$F2:$F500,"Other Govt. Businesses")</f>
        <v>-41780</v>
      </c>
      <c r="R49">
        <f>SUMIFS('S&amp;L Data'!AD2:AD500,'S&amp;L Data'!$F2:$F500,"Other Govt. Businesses")</f>
        <v>-24592</v>
      </c>
      <c r="S49">
        <f>SUMIFS('S&amp;L Data'!AE2:AE500,'S&amp;L Data'!$F2:$F500,"Other Govt. Businesses")</f>
        <v>-69903</v>
      </c>
      <c r="T49">
        <f>SUMIFS('S&amp;L Data'!AF2:AF500,'S&amp;L Data'!$F2:$F500,"Other Govt. Businesses")</f>
        <v>-57072</v>
      </c>
      <c r="U49">
        <f>SUMIFS('S&amp;L Data'!AG2:AG500,'S&amp;L Data'!$F2:$F500,"Other Govt. Businesses")</f>
        <v>-54778</v>
      </c>
      <c r="V49">
        <f>SUMIFS('S&amp;L Data'!AH2:AH500,'S&amp;L Data'!$F2:$F500,"Other Govt. Businesses")</f>
        <v>12731</v>
      </c>
      <c r="W49">
        <f>SUMIFS('S&amp;L Data'!AI2:AI500,'S&amp;L Data'!$F2:$F500,"Other Govt. Businesses")</f>
        <v>41894</v>
      </c>
      <c r="X49">
        <f>SUMIFS('S&amp;L Data'!AJ2:AJ500,'S&amp;L Data'!$F2:$F500,"Other Govt. Businesses")</f>
        <v>52345</v>
      </c>
      <c r="Y49">
        <f>SUMIFS('S&amp;L Data'!AK2:AK500,'S&amp;L Data'!$F2:$F500,"Other Govt. Businesses")</f>
        <v>-491869</v>
      </c>
      <c r="Z49">
        <f>SUMIFS('S&amp;L Data'!AL2:AL500,'S&amp;L Data'!$F2:$F500,"Other Govt. Businesses")</f>
        <v>-422117</v>
      </c>
      <c r="AA49">
        <f>SUMIFS('S&amp;L Data'!AM2:AM500,'S&amp;L Data'!$F2:$F500,"Other Govt. Businesses")</f>
        <v>3071649</v>
      </c>
      <c r="AB49">
        <f>SUMIFS('S&amp;L Data'!AN2:AN500,'S&amp;L Data'!$F2:$F500,"Other Govt. Businesses")</f>
        <v>3798415</v>
      </c>
      <c r="AC49">
        <f>SUMIFS('S&amp;L Data'!AO2:AO500,'S&amp;L Data'!$F2:$F500,"Other Govt. Businesses")</f>
        <v>-1394996</v>
      </c>
      <c r="AD49">
        <f>SUMIFS('S&amp;L Data'!AP2:AP500,'S&amp;L Data'!$F2:$F500,"Other Govt. Businesses")</f>
        <v>-2698071</v>
      </c>
      <c r="AE49">
        <f>SUMIFS('S&amp;L Data'!AQ2:AQ500,'S&amp;L Data'!$F2:$F500,"Other Govt. Businesses")</f>
        <v>-1612911</v>
      </c>
      <c r="AF49">
        <f>SUMIFS('S&amp;L Data'!AR2:AR500,'S&amp;L Data'!$F2:$F500,"Other Govt. Businesses")</f>
        <v>-2266702</v>
      </c>
      <c r="AG49">
        <f>SUMIFS('S&amp;L Data'!AS2:AS500,'S&amp;L Data'!$F2:$F500,"Other Govt. Businesses")</f>
        <v>-2402775</v>
      </c>
      <c r="AH49">
        <f>SUMIFS('S&amp;L Data'!AT2:AT500,'S&amp;L Data'!$F2:$F500,"Other Govt. Businesses")</f>
        <v>-1757691</v>
      </c>
      <c r="AI49">
        <f>SUMIFS('S&amp;L Data'!AU2:AU500,'S&amp;L Data'!$F2:$F500,"Other Govt. Businesses")</f>
        <v>-1814103</v>
      </c>
      <c r="AJ49">
        <f>SUMIFS('S&amp;L Data'!AV2:AV500,'S&amp;L Data'!$F2:$F500,"Other Govt. Businesses")</f>
        <v>-1803717</v>
      </c>
    </row>
    <row r="50" spans="1:36">
      <c r="A50" s="3" t="s">
        <v>235</v>
      </c>
      <c r="B50">
        <f>SUMIFS('S&amp;L Data'!N2:N500,'S&amp;L Data'!$D2:$D500,"Health")</f>
        <v>13738432</v>
      </c>
      <c r="C50">
        <f>SUMIFS('S&amp;L Data'!O2:O500,'S&amp;L Data'!$D2:$D500,"Health")</f>
        <v>14378187</v>
      </c>
      <c r="D50">
        <f>SUMIFS('S&amp;L Data'!P2:P500,'S&amp;L Data'!$D2:$D500,"Health")</f>
        <v>16047607</v>
      </c>
      <c r="E50">
        <f>SUMIFS('S&amp;L Data'!Q2:Q500,'S&amp;L Data'!$D2:$D500,"Health")</f>
        <v>18059194</v>
      </c>
      <c r="F50">
        <f>SUMIFS('S&amp;L Data'!R2:R500,'S&amp;L Data'!$D2:$D500,"Health")</f>
        <v>18840388</v>
      </c>
      <c r="G50">
        <f>SUMIFS('S&amp;L Data'!S2:S500,'S&amp;L Data'!$D2:$D500,"Health")</f>
        <v>21114799</v>
      </c>
      <c r="H50">
        <f>SUMIFS('S&amp;L Data'!T2:T500,'S&amp;L Data'!$D2:$D500,"Health")</f>
        <v>23058250</v>
      </c>
      <c r="I50">
        <f>SUMIFS('S&amp;L Data'!U2:U500,'S&amp;L Data'!$D2:$D500,"Health")</f>
        <v>24520055</v>
      </c>
      <c r="J50">
        <f>SUMIFS('S&amp;L Data'!V2:V500,'S&amp;L Data'!$D2:$D500,"Health")</f>
        <v>27657942</v>
      </c>
      <c r="K50">
        <f>SUMIFS('S&amp;L Data'!W2:W500,'S&amp;L Data'!$D2:$D500,"Health")</f>
        <v>29988935</v>
      </c>
      <c r="L50">
        <f>SUMIFS('S&amp;L Data'!X2:X500,'S&amp;L Data'!$D2:$D500,"Health")</f>
        <v>33571397</v>
      </c>
      <c r="M50">
        <f>SUMIFS('S&amp;L Data'!Y2:Y500,'S&amp;L Data'!$D2:$D500,"Health")</f>
        <v>36022643</v>
      </c>
      <c r="N50">
        <f>SUMIFS('S&amp;L Data'!Z2:Z500,'S&amp;L Data'!$D2:$D500,"Health")</f>
        <v>34813713</v>
      </c>
      <c r="O50">
        <f>SUMIFS('S&amp;L Data'!AA2:AA500,'S&amp;L Data'!$D2:$D500,"Health")</f>
        <v>37436673</v>
      </c>
      <c r="P50">
        <f>SUMIFS('S&amp;L Data'!AB2:AB500,'S&amp;L Data'!$D2:$D500,"Health")</f>
        <v>38204857</v>
      </c>
      <c r="Q50">
        <f>SUMIFS('S&amp;L Data'!AC2:AC500,'S&amp;L Data'!$D2:$D500,"Health")</f>
        <v>40557436</v>
      </c>
      <c r="R50">
        <f>SUMIFS('S&amp;L Data'!AD2:AD500,'S&amp;L Data'!$D2:$D500,"Health")</f>
        <v>41994821</v>
      </c>
      <c r="S50">
        <f>SUMIFS('S&amp;L Data'!AE2:AE500,'S&amp;L Data'!$D2:$D500,"Health")</f>
        <v>42431601</v>
      </c>
      <c r="T50">
        <f>SUMIFS('S&amp;L Data'!AF2:AF500,'S&amp;L Data'!$D2:$D500,"Health")</f>
        <v>46163721</v>
      </c>
      <c r="U50">
        <f>SUMIFS('S&amp;L Data'!AG2:AG500,'S&amp;L Data'!$D2:$D500,"Health")</f>
        <v>49845757</v>
      </c>
      <c r="V50">
        <f>SUMIFS('S&amp;L Data'!AH2:AH500,'S&amp;L Data'!$D2:$D500,"Health")</f>
        <v>55318466</v>
      </c>
      <c r="W50">
        <f>SUMIFS('S&amp;L Data'!AI2:AI500,'S&amp;L Data'!$D2:$D500,"Health")</f>
        <v>56109890</v>
      </c>
      <c r="X50">
        <f>SUMIFS('S&amp;L Data'!AJ2:AJ500,'S&amp;L Data'!$D2:$D500,"Health")</f>
        <v>62362103</v>
      </c>
      <c r="Y50">
        <f>SUMIFS('S&amp;L Data'!AK2:AK500,'S&amp;L Data'!$D2:$D500,"Health")</f>
        <v>65303217</v>
      </c>
      <c r="Z50">
        <f>SUMIFS('S&amp;L Data'!AL2:AL500,'S&amp;L Data'!$D2:$D500,"Health")</f>
        <v>68440739</v>
      </c>
      <c r="AA50">
        <f>SUMIFS('S&amp;L Data'!AM2:AM500,'S&amp;L Data'!$D2:$D500,"Health")</f>
        <v>70913677</v>
      </c>
      <c r="AB50">
        <f>SUMIFS('S&amp;L Data'!AN2:AN500,'S&amp;L Data'!$D2:$D500,"Health")</f>
        <v>74969588</v>
      </c>
      <c r="AC50">
        <f>SUMIFS('S&amp;L Data'!AO2:AO500,'S&amp;L Data'!$D2:$D500,"Health")</f>
        <v>82270176</v>
      </c>
      <c r="AD50">
        <f>SUMIFS('S&amp;L Data'!AP2:AP500,'S&amp;L Data'!$D2:$D500,"Health")</f>
        <v>93825566</v>
      </c>
      <c r="AE50">
        <f>SUMIFS('S&amp;L Data'!AQ2:AQ500,'S&amp;L Data'!$D2:$D500,"Health")</f>
        <v>98537829</v>
      </c>
      <c r="AF50">
        <f>SUMIFS('S&amp;L Data'!AR2:AR500,'S&amp;L Data'!$D2:$D500,"Health")</f>
        <v>95101809</v>
      </c>
      <c r="AG50">
        <f>SUMIFS('S&amp;L Data'!AS2:AS500,'S&amp;L Data'!$D2:$D500,"Health")</f>
        <v>96989813</v>
      </c>
      <c r="AH50">
        <f>SUMIFS('S&amp;L Data'!AT2:AT500,'S&amp;L Data'!$D2:$D500,"Health")</f>
        <v>99154494</v>
      </c>
      <c r="AI50">
        <f>SUMIFS('S&amp;L Data'!AU2:AU500,'S&amp;L Data'!$D2:$D500,"Health")</f>
        <v>97142571</v>
      </c>
      <c r="AJ50">
        <f>SUMIFS('S&amp;L Data'!AV2:AV500,'S&amp;L Data'!$D2:$D500,"Health")</f>
        <v>102239055</v>
      </c>
    </row>
    <row r="51" spans="1:36">
      <c r="A51" s="4" t="s">
        <v>56</v>
      </c>
      <c r="B51">
        <f>SUMIFS('S&amp;L Data'!N2:N500,'S&amp;L Data'!$E2:$E500,"Public Health")</f>
        <v>8386679</v>
      </c>
      <c r="C51">
        <f>SUMIFS('S&amp;L Data'!O2:O500,'S&amp;L Data'!$E2:$E500,"Public Health")</f>
        <v>9770841</v>
      </c>
      <c r="D51">
        <f>SUMIFS('S&amp;L Data'!P2:P500,'S&amp;L Data'!$E2:$E500,"Public Health")</f>
        <v>10473389</v>
      </c>
      <c r="E51">
        <f>SUMIFS('S&amp;L Data'!Q2:Q500,'S&amp;L Data'!$E2:$E500,"Public Health")</f>
        <v>11298102</v>
      </c>
      <c r="F51">
        <f>SUMIFS('S&amp;L Data'!R2:R500,'S&amp;L Data'!$E2:$E500,"Public Health")</f>
        <v>12276521</v>
      </c>
      <c r="G51">
        <f>SUMIFS('S&amp;L Data'!S2:S500,'S&amp;L Data'!$E2:$E500,"Public Health")</f>
        <v>13710925</v>
      </c>
      <c r="H51">
        <f>SUMIFS('S&amp;L Data'!T2:T500,'S&amp;L Data'!$E2:$E500,"Public Health")</f>
        <v>15549541</v>
      </c>
      <c r="I51">
        <f>SUMIFS('S&amp;L Data'!U2:U500,'S&amp;L Data'!$E2:$E500,"Public Health")</f>
        <v>16903423</v>
      </c>
      <c r="J51">
        <f>SUMIFS('S&amp;L Data'!V2:V500,'S&amp;L Data'!$E2:$E500,"Public Health")</f>
        <v>18487825</v>
      </c>
      <c r="K51">
        <f>SUMIFS('S&amp;L Data'!W2:W500,'S&amp;L Data'!$E2:$E500,"Public Health")</f>
        <v>20684388</v>
      </c>
      <c r="L51">
        <f>SUMIFS('S&amp;L Data'!X2:X500,'S&amp;L Data'!$E2:$E500,"Public Health")</f>
        <v>24222735</v>
      </c>
      <c r="M51">
        <f>SUMIFS('S&amp;L Data'!Y2:Y500,'S&amp;L Data'!$E2:$E500,"Public Health")</f>
        <v>26705604</v>
      </c>
      <c r="N51">
        <f>SUMIFS('S&amp;L Data'!Z2:Z500,'S&amp;L Data'!$E2:$E500,"Public Health")</f>
        <v>29616547</v>
      </c>
      <c r="O51">
        <f>SUMIFS('S&amp;L Data'!AA2:AA500,'S&amp;L Data'!$E2:$E500,"Public Health")</f>
        <v>32290647</v>
      </c>
      <c r="P51">
        <f>SUMIFS('S&amp;L Data'!AB2:AB500,'S&amp;L Data'!$E2:$E500,"Public Health")</f>
        <v>35328725</v>
      </c>
      <c r="Q51">
        <f>SUMIFS('S&amp;L Data'!AC2:AC500,'S&amp;L Data'!$E2:$E500,"Public Health")</f>
        <v>38019973</v>
      </c>
      <c r="R51">
        <f>SUMIFS('S&amp;L Data'!AD2:AD500,'S&amp;L Data'!$E2:$E500,"Public Health")</f>
        <v>40165568</v>
      </c>
      <c r="S51">
        <f>SUMIFS('S&amp;L Data'!AE2:AE500,'S&amp;L Data'!$E2:$E500,"Public Health")</f>
        <v>42242162</v>
      </c>
      <c r="T51">
        <f>SUMIFS('S&amp;L Data'!AF2:AF500,'S&amp;L Data'!$E2:$E500,"Public Health")</f>
        <v>44390577</v>
      </c>
      <c r="U51">
        <f>SUMIFS('S&amp;L Data'!AG2:AG500,'S&amp;L Data'!$E2:$E500,"Public Health")</f>
        <v>47627722</v>
      </c>
      <c r="V51">
        <f>SUMIFS('S&amp;L Data'!AH2:AH500,'S&amp;L Data'!$E2:$E500,"Public Health")</f>
        <v>51365588</v>
      </c>
      <c r="W51">
        <f>SUMIFS('S&amp;L Data'!AI2:AI500,'S&amp;L Data'!$E2:$E500,"Public Health")</f>
        <v>53464954</v>
      </c>
      <c r="X51">
        <f>SUMIFS('S&amp;L Data'!AJ2:AJ500,'S&amp;L Data'!$E2:$E500,"Public Health")</f>
        <v>59455759</v>
      </c>
      <c r="Y51">
        <f>SUMIFS('S&amp;L Data'!AK2:AK500,'S&amp;L Data'!$E2:$E500,"Public Health")</f>
        <v>61703413</v>
      </c>
      <c r="Z51">
        <f>SUMIFS('S&amp;L Data'!AL2:AL500,'S&amp;L Data'!$E2:$E500,"Public Health")</f>
        <v>64373318</v>
      </c>
      <c r="AA51">
        <f>SUMIFS('S&amp;L Data'!AM2:AM500,'S&amp;L Data'!$E2:$E500,"Public Health")</f>
        <v>66637076</v>
      </c>
      <c r="AB51">
        <f>SUMIFS('S&amp;L Data'!AN2:AN500,'S&amp;L Data'!$E2:$E500,"Public Health")</f>
        <v>69044659</v>
      </c>
      <c r="AC51">
        <f>SUMIFS('S&amp;L Data'!AO2:AO500,'S&amp;L Data'!$E2:$E500,"Public Health")</f>
        <v>74276735</v>
      </c>
      <c r="AD51">
        <f>SUMIFS('S&amp;L Data'!AP2:AP500,'S&amp;L Data'!$E2:$E500,"Public Health")</f>
        <v>79790721</v>
      </c>
      <c r="AE51">
        <f>SUMIFS('S&amp;L Data'!AQ2:AQ500,'S&amp;L Data'!$E2:$E500,"Public Health")</f>
        <v>83096261</v>
      </c>
      <c r="AF51">
        <f>SUMIFS('S&amp;L Data'!AR2:AR500,'S&amp;L Data'!$E2:$E500,"Public Health")</f>
        <v>81382671</v>
      </c>
      <c r="AG51">
        <f>SUMIFS('S&amp;L Data'!AS2:AS500,'S&amp;L Data'!$E2:$E500,"Public Health")</f>
        <v>82392437</v>
      </c>
      <c r="AH51">
        <f>SUMIFS('S&amp;L Data'!AT2:AT500,'S&amp;L Data'!$E2:$E500,"Public Health")</f>
        <v>84991898</v>
      </c>
      <c r="AI51">
        <f>SUMIFS('S&amp;L Data'!AU2:AU500,'S&amp;L Data'!$E2:$E500,"Public Health")</f>
        <v>86510671</v>
      </c>
      <c r="AJ51">
        <f>SUMIFS('S&amp;L Data'!AV2:AV500,'S&amp;L Data'!$E2:$E500,"Public Health")</f>
        <v>89733631</v>
      </c>
    </row>
    <row r="52" spans="1:36">
      <c r="A52" s="4" t="s">
        <v>284</v>
      </c>
      <c r="B52">
        <f>SUMIFS('S&amp;L Data'!N2:N500,'S&amp;L Data'!$F2:$F500,"Hospitals (Govt. Business)")</f>
        <v>5351753</v>
      </c>
      <c r="C52">
        <f>SUMIFS('S&amp;L Data'!O2:O500,'S&amp;L Data'!$F2:$F500,"Hospitals (Govt. Business)")</f>
        <v>4607346</v>
      </c>
      <c r="D52">
        <f>SUMIFS('S&amp;L Data'!P2:P500,'S&amp;L Data'!$F2:$F500,"Hospitals (Govt. Business)")</f>
        <v>5574218</v>
      </c>
      <c r="E52">
        <f>SUMIFS('S&amp;L Data'!Q2:Q500,'S&amp;L Data'!$F2:$F500,"Hospitals (Govt. Business)")</f>
        <v>6761092</v>
      </c>
      <c r="F52">
        <f>SUMIFS('S&amp;L Data'!R2:R500,'S&amp;L Data'!$F2:$F500,"Hospitals (Govt. Business)")</f>
        <v>6563867</v>
      </c>
      <c r="G52">
        <f>SUMIFS('S&amp;L Data'!S2:S500,'S&amp;L Data'!$F2:$F500,"Hospitals (Govt. Business)")</f>
        <v>7403874</v>
      </c>
      <c r="H52">
        <f>SUMIFS('S&amp;L Data'!T2:T500,'S&amp;L Data'!$F2:$F500,"Hospitals (Govt. Business)")</f>
        <v>7508709</v>
      </c>
      <c r="I52">
        <f>SUMIFS('S&amp;L Data'!U2:U500,'S&amp;L Data'!$F2:$F500,"Hospitals (Govt. Business)")</f>
        <v>7616632</v>
      </c>
      <c r="J52">
        <f>SUMIFS('S&amp;L Data'!V2:V500,'S&amp;L Data'!$F2:$F500,"Hospitals (Govt. Business)")</f>
        <v>9170117</v>
      </c>
      <c r="K52">
        <f>SUMIFS('S&amp;L Data'!W2:W500,'S&amp;L Data'!$F2:$F500,"Hospitals (Govt. Business)")</f>
        <v>9304547</v>
      </c>
      <c r="L52">
        <f>SUMIFS('S&amp;L Data'!X2:X500,'S&amp;L Data'!$F2:$F500,"Hospitals (Govt. Business)")</f>
        <v>9348662</v>
      </c>
      <c r="M52">
        <f>SUMIFS('S&amp;L Data'!Y2:Y500,'S&amp;L Data'!$F2:$F500,"Hospitals (Govt. Business)")</f>
        <v>9317039</v>
      </c>
      <c r="N52">
        <f>SUMIFS('S&amp;L Data'!Z2:Z500,'S&amp;L Data'!$F2:$F500,"Hospitals (Govt. Business)")</f>
        <v>5197166</v>
      </c>
      <c r="O52">
        <f>SUMIFS('S&amp;L Data'!AA2:AA500,'S&amp;L Data'!$F2:$F500,"Hospitals (Govt. Business)")</f>
        <v>5146026</v>
      </c>
      <c r="P52">
        <f>SUMIFS('S&amp;L Data'!AB2:AB500,'S&amp;L Data'!$F2:$F500,"Hospitals (Govt. Business)")</f>
        <v>2876132</v>
      </c>
      <c r="Q52">
        <f>SUMIFS('S&amp;L Data'!AC2:AC500,'S&amp;L Data'!$F2:$F500,"Hospitals (Govt. Business)")</f>
        <v>2537463</v>
      </c>
      <c r="R52">
        <f>SUMIFS('S&amp;L Data'!AD2:AD500,'S&amp;L Data'!$F2:$F500,"Hospitals (Govt. Business)")</f>
        <v>1829253</v>
      </c>
      <c r="S52">
        <f>SUMIFS('S&amp;L Data'!AE2:AE500,'S&amp;L Data'!$F2:$F500,"Hospitals (Govt. Business)")</f>
        <v>189439</v>
      </c>
      <c r="T52">
        <f>SUMIFS('S&amp;L Data'!AF2:AF500,'S&amp;L Data'!$F2:$F500,"Hospitals (Govt. Business)")</f>
        <v>1773144</v>
      </c>
      <c r="U52">
        <f>SUMIFS('S&amp;L Data'!AG2:AG500,'S&amp;L Data'!$F2:$F500,"Hospitals (Govt. Business)")</f>
        <v>2218035</v>
      </c>
      <c r="V52">
        <f>SUMIFS('S&amp;L Data'!AH2:AH500,'S&amp;L Data'!$F2:$F500,"Hospitals (Govt. Business)")</f>
        <v>3952878</v>
      </c>
      <c r="W52">
        <f>SUMIFS('S&amp;L Data'!AI2:AI500,'S&amp;L Data'!$F2:$F500,"Hospitals (Govt. Business)")</f>
        <v>2644936</v>
      </c>
      <c r="X52">
        <f>SUMIFS('S&amp;L Data'!AJ2:AJ500,'S&amp;L Data'!$F2:$F500,"Hospitals (Govt. Business)")</f>
        <v>2906344</v>
      </c>
      <c r="Y52">
        <f>SUMIFS('S&amp;L Data'!AK2:AK500,'S&amp;L Data'!$F2:$F500,"Hospitals (Govt. Business)")</f>
        <v>3599804</v>
      </c>
      <c r="Z52">
        <f>SUMIFS('S&amp;L Data'!AL2:AL500,'S&amp;L Data'!$F2:$F500,"Hospitals (Govt. Business)")</f>
        <v>4067421</v>
      </c>
      <c r="AA52">
        <f>SUMIFS('S&amp;L Data'!AM2:AM500,'S&amp;L Data'!$F2:$F500,"Hospitals (Govt. Business)")</f>
        <v>4276601</v>
      </c>
      <c r="AB52">
        <f>SUMIFS('S&amp;L Data'!AN2:AN500,'S&amp;L Data'!$F2:$F500,"Hospitals (Govt. Business)")</f>
        <v>5924929</v>
      </c>
      <c r="AC52">
        <f>SUMIFS('S&amp;L Data'!AO2:AO500,'S&amp;L Data'!$F2:$F500,"Hospitals (Govt. Business)")</f>
        <v>7993441</v>
      </c>
      <c r="AD52">
        <f>SUMIFS('S&amp;L Data'!AP2:AP500,'S&amp;L Data'!$F2:$F500,"Hospitals (Govt. Business)")</f>
        <v>14034845</v>
      </c>
      <c r="AE52">
        <f>SUMIFS('S&amp;L Data'!AQ2:AQ500,'S&amp;L Data'!$F2:$F500,"Hospitals (Govt. Business)")</f>
        <v>15441568</v>
      </c>
      <c r="AF52">
        <f>SUMIFS('S&amp;L Data'!AR2:AR500,'S&amp;L Data'!$F2:$F500,"Hospitals (Govt. Business)")</f>
        <v>13719138</v>
      </c>
      <c r="AG52">
        <f>SUMIFS('S&amp;L Data'!AS2:AS500,'S&amp;L Data'!$F2:$F500,"Hospitals (Govt. Business)")</f>
        <v>14597376</v>
      </c>
      <c r="AH52">
        <f>SUMIFS('S&amp;L Data'!AT2:AT500,'S&amp;L Data'!$F2:$F500,"Hospitals (Govt. Business)")</f>
        <v>14162596</v>
      </c>
      <c r="AI52">
        <f>SUMIFS('S&amp;L Data'!AU2:AU500,'S&amp;L Data'!$F2:$F500,"Hospitals (Govt. Business)")</f>
        <v>10631900</v>
      </c>
      <c r="AJ52">
        <f>SUMIFS('S&amp;L Data'!AV2:AV500,'S&amp;L Data'!$F2:$F500,"Hospitals (Govt. Business)")</f>
        <v>12505424</v>
      </c>
    </row>
    <row r="53" spans="1:36">
      <c r="A53" s="3" t="s">
        <v>39</v>
      </c>
      <c r="B53">
        <f>SUMIFS('S&amp;L Data'!N2:N500,'S&amp;L Data'!$D2:$D500,"Standard of Living and Aid to the Disadvantaged")</f>
        <v>41036377</v>
      </c>
      <c r="C53">
        <f>SUMIFS('S&amp;L Data'!O2:O500,'S&amp;L Data'!$D2:$D500,"Standard of Living and Aid to the Disadvantaged")</f>
        <v>47152049</v>
      </c>
      <c r="D53">
        <f>SUMIFS('S&amp;L Data'!P2:P500,'S&amp;L Data'!$D2:$D500,"Standard of Living and Aid to the Disadvantaged")</f>
        <v>51143382</v>
      </c>
      <c r="E53">
        <f>SUMIFS('S&amp;L Data'!Q2:Q500,'S&amp;L Data'!$D2:$D500,"Standard of Living and Aid to the Disadvantaged")</f>
        <v>54122141</v>
      </c>
      <c r="F53">
        <f>SUMIFS('S&amp;L Data'!R2:R500,'S&amp;L Data'!$D2:$D500,"Standard of Living and Aid to the Disadvantaged")</f>
        <v>58904656</v>
      </c>
      <c r="G53">
        <f>SUMIFS('S&amp;L Data'!S2:S500,'S&amp;L Data'!$D2:$D500,"Standard of Living and Aid to the Disadvantaged")</f>
        <v>63107378</v>
      </c>
      <c r="H53">
        <f>SUMIFS('S&amp;L Data'!T2:T500,'S&amp;L Data'!$D2:$D500,"Standard of Living and Aid to the Disadvantaged")</f>
        <v>67816304</v>
      </c>
      <c r="I53">
        <f>SUMIFS('S&amp;L Data'!U2:U500,'S&amp;L Data'!$D2:$D500,"Standard of Living and Aid to the Disadvantaged")</f>
        <v>72744829</v>
      </c>
      <c r="J53">
        <f>SUMIFS('S&amp;L Data'!V2:V500,'S&amp;L Data'!$D2:$D500,"Standard of Living and Aid to the Disadvantaged")</f>
        <v>78966351</v>
      </c>
      <c r="K53">
        <f>SUMIFS('S&amp;L Data'!W2:W500,'S&amp;L Data'!$D2:$D500,"Standard of Living and Aid to the Disadvantaged")</f>
        <v>86758497</v>
      </c>
      <c r="L53">
        <f>SUMIFS('S&amp;L Data'!X2:X500,'S&amp;L Data'!$D2:$D500,"Standard of Living and Aid to the Disadvantaged")</f>
        <v>97475447</v>
      </c>
      <c r="M53">
        <f>SUMIFS('S&amp;L Data'!Y2:Y500,'S&amp;L Data'!$D2:$D500,"Standard of Living and Aid to the Disadvantaged")</f>
        <v>115643660</v>
      </c>
      <c r="N53">
        <f>SUMIFS('S&amp;L Data'!Z2:Z500,'S&amp;L Data'!$D2:$D500,"Standard of Living and Aid to the Disadvantaged")</f>
        <v>157601418</v>
      </c>
      <c r="O53">
        <f>SUMIFS('S&amp;L Data'!AA2:AA500,'S&amp;L Data'!$D2:$D500,"Standard of Living and Aid to the Disadvantaged")</f>
        <v>169728564</v>
      </c>
      <c r="P53">
        <f>SUMIFS('S&amp;L Data'!AB2:AB500,'S&amp;L Data'!$D2:$D500,"Standard of Living and Aid to the Disadvantaged")</f>
        <v>182169545</v>
      </c>
      <c r="Q53">
        <f>SUMIFS('S&amp;L Data'!AC2:AC500,'S&amp;L Data'!$D2:$D500,"Standard of Living and Aid to the Disadvantaged")</f>
        <v>193698359</v>
      </c>
      <c r="R53">
        <f>SUMIFS('S&amp;L Data'!AD2:AD500,'S&amp;L Data'!$D2:$D500,"Standard of Living and Aid to the Disadvantaged")</f>
        <v>194158213</v>
      </c>
      <c r="S53">
        <f>SUMIFS('S&amp;L Data'!AE2:AE500,'S&amp;L Data'!$D2:$D500,"Standard of Living and Aid to the Disadvantaged")</f>
        <v>198814531</v>
      </c>
      <c r="T53">
        <f>SUMIFS('S&amp;L Data'!AF2:AF500,'S&amp;L Data'!$D2:$D500,"Standard of Living and Aid to the Disadvantaged")</f>
        <v>200006189</v>
      </c>
      <c r="U53">
        <f>SUMIFS('S&amp;L Data'!AG2:AG500,'S&amp;L Data'!$D2:$D500,"Standard of Living and Aid to the Disadvantaged")</f>
        <v>207762277</v>
      </c>
      <c r="V53">
        <f>SUMIFS('S&amp;L Data'!AH2:AH500,'S&amp;L Data'!$D2:$D500,"Standard of Living and Aid to the Disadvantaged")</f>
        <v>222942263</v>
      </c>
      <c r="W53">
        <f>SUMIFS('S&amp;L Data'!AI2:AI500,'S&amp;L Data'!$D2:$D500,"Standard of Living and Aid to the Disadvantaged")</f>
        <v>244357765</v>
      </c>
      <c r="X53">
        <f>SUMIFS('S&amp;L Data'!AJ2:AJ500,'S&amp;L Data'!$D2:$D500,"Standard of Living and Aid to the Disadvantaged")</f>
        <v>267935264</v>
      </c>
      <c r="Y53">
        <f>SUMIFS('S&amp;L Data'!AK2:AK500,'S&amp;L Data'!$D2:$D500,"Standard of Living and Aid to the Disadvantaged")</f>
        <v>294434904</v>
      </c>
      <c r="Z53">
        <f>SUMIFS('S&amp;L Data'!AL2:AL500,'S&amp;L Data'!$D2:$D500,"Standard of Living and Aid to the Disadvantaged")</f>
        <v>326009195</v>
      </c>
      <c r="AA53">
        <f>SUMIFS('S&amp;L Data'!AM2:AM500,'S&amp;L Data'!$D2:$D500,"Standard of Living and Aid to the Disadvantaged")</f>
        <v>356883952</v>
      </c>
      <c r="AB53">
        <f>SUMIFS('S&amp;L Data'!AN2:AN500,'S&amp;L Data'!$D2:$D500,"Standard of Living and Aid to the Disadvantaged")</f>
        <v>355301306</v>
      </c>
      <c r="AC53">
        <f>SUMIFS('S&amp;L Data'!AO2:AO500,'S&amp;L Data'!$D2:$D500,"Standard of Living and Aid to the Disadvantaged")</f>
        <v>376942437</v>
      </c>
      <c r="AD53">
        <f>SUMIFS('S&amp;L Data'!AP2:AP500,'S&amp;L Data'!$D2:$D500,"Standard of Living and Aid to the Disadvantaged")</f>
        <v>396298617</v>
      </c>
      <c r="AE53">
        <f>SUMIFS('S&amp;L Data'!AQ2:AQ500,'S&amp;L Data'!$D2:$D500,"Standard of Living and Aid to the Disadvantaged")</f>
        <v>419461488</v>
      </c>
      <c r="AF53">
        <f>SUMIFS('S&amp;L Data'!AR2:AR500,'S&amp;L Data'!$D2:$D500,"Standard of Living and Aid to the Disadvantaged")</f>
        <v>452619849</v>
      </c>
      <c r="AG53">
        <f>SUMIFS('S&amp;L Data'!AS2:AS500,'S&amp;L Data'!$D2:$D500,"Standard of Living and Aid to the Disadvantaged")</f>
        <v>488378697</v>
      </c>
      <c r="AH53">
        <f>SUMIFS('S&amp;L Data'!AT2:AT500,'S&amp;L Data'!$D2:$D500,"Standard of Living and Aid to the Disadvantaged")</f>
        <v>487911571</v>
      </c>
      <c r="AI53">
        <f>SUMIFS('S&amp;L Data'!AU2:AU500,'S&amp;L Data'!$D2:$D500,"Standard of Living and Aid to the Disadvantaged")</f>
        <v>513524594</v>
      </c>
      <c r="AJ53">
        <f>SUMIFS('S&amp;L Data'!AV2:AV500,'S&amp;L Data'!$D2:$D500,"Standard of Living and Aid to the Disadvantaged")</f>
        <v>537179646</v>
      </c>
    </row>
    <row r="54" spans="1:36">
      <c r="A54" s="4" t="s">
        <v>60</v>
      </c>
      <c r="B54">
        <f>SUMIFS('S&amp;L Data'!N2:N500,'S&amp;L Data'!$E2:$E500,"Cash Programs")</f>
        <v>12921675</v>
      </c>
      <c r="C54">
        <f>SUMIFS('S&amp;L Data'!O2:O500,'S&amp;L Data'!$E2:$E500,"Cash Programs")</f>
        <v>14349965</v>
      </c>
      <c r="D54">
        <f>SUMIFS('S&amp;L Data'!P2:P500,'S&amp;L Data'!$E2:$E500,"Cash Programs")</f>
        <v>14680016</v>
      </c>
      <c r="E54">
        <f>SUMIFS('S&amp;L Data'!Q2:Q500,'S&amp;L Data'!$E2:$E500,"Cash Programs")</f>
        <v>15892901</v>
      </c>
      <c r="F54">
        <f>SUMIFS('S&amp;L Data'!R2:R500,'S&amp;L Data'!$E2:$E500,"Cash Programs")</f>
        <v>16758966</v>
      </c>
      <c r="G54">
        <f>SUMIFS('S&amp;L Data'!S2:S500,'S&amp;L Data'!$E2:$E500,"Cash Programs")</f>
        <v>17401338</v>
      </c>
      <c r="H54">
        <f>SUMIFS('S&amp;L Data'!T2:T500,'S&amp;L Data'!$E2:$E500,"Cash Programs")</f>
        <v>18864344</v>
      </c>
      <c r="I54">
        <f>SUMIFS('S&amp;L Data'!U2:U500,'S&amp;L Data'!$E2:$E500,"Cash Programs")</f>
        <v>19490624</v>
      </c>
      <c r="J54">
        <f>SUMIFS('S&amp;L Data'!V2:V500,'S&amp;L Data'!$E2:$E500,"Cash Programs")</f>
        <v>19884027</v>
      </c>
      <c r="K54">
        <f>SUMIFS('S&amp;L Data'!W2:W500,'S&amp;L Data'!$E2:$E500,"Cash Programs")</f>
        <v>20733771</v>
      </c>
      <c r="L54">
        <f>SUMIFS('S&amp;L Data'!X2:X500,'S&amp;L Data'!$E2:$E500,"Cash Programs")</f>
        <v>22296127</v>
      </c>
      <c r="M54">
        <f>SUMIFS('S&amp;L Data'!Y2:Y500,'S&amp;L Data'!$E2:$E500,"Cash Programs")</f>
        <v>24920900</v>
      </c>
      <c r="N54">
        <f>SUMIFS('S&amp;L Data'!Z2:Z500,'S&amp;L Data'!$E2:$E500,"Cash Programs")</f>
        <v>27250163</v>
      </c>
      <c r="O54">
        <f>SUMIFS('S&amp;L Data'!AA2:AA500,'S&amp;L Data'!$E2:$E500,"Cash Programs")</f>
        <v>28451513</v>
      </c>
      <c r="P54">
        <f>SUMIFS('S&amp;L Data'!AB2:AB500,'S&amp;L Data'!$E2:$E500,"Cash Programs")</f>
        <v>28314899</v>
      </c>
      <c r="Q54">
        <f>SUMIFS('S&amp;L Data'!AC2:AC500,'S&amp;L Data'!$E2:$E500,"Cash Programs")</f>
        <v>28800857</v>
      </c>
      <c r="R54">
        <f>SUMIFS('S&amp;L Data'!AD2:AD500,'S&amp;L Data'!$E2:$E500,"Cash Programs")</f>
        <v>26930236</v>
      </c>
      <c r="S54">
        <f>SUMIFS('S&amp;L Data'!AE2:AE500,'S&amp;L Data'!$E2:$E500,"Cash Programs")</f>
        <v>24717265</v>
      </c>
      <c r="T54">
        <f>SUMIFS('S&amp;L Data'!AF2:AF500,'S&amp;L Data'!$E2:$E500,"Cash Programs")</f>
        <v>22225581</v>
      </c>
      <c r="U54">
        <f>SUMIFS('S&amp;L Data'!AG2:AG500,'S&amp;L Data'!$E2:$E500,"Cash Programs")</f>
        <v>21410391</v>
      </c>
      <c r="V54">
        <f>SUMIFS('S&amp;L Data'!AH2:AH500,'S&amp;L Data'!$E2:$E500,"Cash Programs")</f>
        <v>20661502</v>
      </c>
      <c r="W54">
        <f>SUMIFS('S&amp;L Data'!AI2:AI500,'S&amp;L Data'!$E2:$E500,"Cash Programs")</f>
        <v>20313467</v>
      </c>
      <c r="X54">
        <f>SUMIFS('S&amp;L Data'!AJ2:AJ500,'S&amp;L Data'!$E2:$E500,"Cash Programs")</f>
        <v>19447300</v>
      </c>
      <c r="Y54">
        <f>SUMIFS('S&amp;L Data'!AK2:AK500,'S&amp;L Data'!$E2:$E500,"Cash Programs")</f>
        <v>20660581</v>
      </c>
      <c r="Z54">
        <f>SUMIFS('S&amp;L Data'!AL2:AL500,'S&amp;L Data'!$E2:$E500,"Cash Programs")</f>
        <v>21351725</v>
      </c>
      <c r="AA54">
        <f>SUMIFS('S&amp;L Data'!AM2:AM500,'S&amp;L Data'!$E2:$E500,"Cash Programs")</f>
        <v>19986556</v>
      </c>
      <c r="AB54">
        <f>SUMIFS('S&amp;L Data'!AN2:AN500,'S&amp;L Data'!$E2:$E500,"Cash Programs")</f>
        <v>19823742</v>
      </c>
      <c r="AC54">
        <f>SUMIFS('S&amp;L Data'!AO2:AO500,'S&amp;L Data'!$E2:$E500,"Cash Programs")</f>
        <v>20019640</v>
      </c>
      <c r="AD54">
        <f>SUMIFS('S&amp;L Data'!AP2:AP500,'S&amp;L Data'!$E2:$E500,"Cash Programs")</f>
        <v>20629632</v>
      </c>
      <c r="AE54">
        <f>SUMIFS('S&amp;L Data'!AQ2:AQ500,'S&amp;L Data'!$E2:$E500,"Cash Programs")</f>
        <v>21825056</v>
      </c>
      <c r="AF54">
        <f>SUMIFS('S&amp;L Data'!AR2:AR500,'S&amp;L Data'!$E2:$E500,"Cash Programs")</f>
        <v>22643938</v>
      </c>
      <c r="AG54">
        <f>SUMIFS('S&amp;L Data'!AS2:AS500,'S&amp;L Data'!$E2:$E500,"Cash Programs")</f>
        <v>23787302</v>
      </c>
      <c r="AH54">
        <f>SUMIFS('S&amp;L Data'!AT2:AT500,'S&amp;L Data'!$E2:$E500,"Cash Programs")</f>
        <v>23106411</v>
      </c>
      <c r="AI54">
        <f>SUMIFS('S&amp;L Data'!AU2:AU500,'S&amp;L Data'!$E2:$E500,"Cash Programs")</f>
        <v>22593769</v>
      </c>
      <c r="AJ54">
        <f>SUMIFS('S&amp;L Data'!AV2:AV500,'S&amp;L Data'!$E2:$E500,"Cash Programs")</f>
        <v>23384152</v>
      </c>
    </row>
    <row r="55" spans="1:36">
      <c r="A55" s="4" t="s">
        <v>61</v>
      </c>
      <c r="B55">
        <f>SUMIFS('S&amp;L Data'!N2:N500,'S&amp;L Data'!$E2:$E500,"Non-Cash Programs")</f>
        <v>26105910</v>
      </c>
      <c r="C55">
        <f>SUMIFS('S&amp;L Data'!O2:O500,'S&amp;L Data'!$E2:$E500,"Non-Cash Programs")</f>
        <v>30525653</v>
      </c>
      <c r="D55">
        <f>SUMIFS('S&amp;L Data'!P2:P500,'S&amp;L Data'!$E2:$E500,"Non-Cash Programs")</f>
        <v>34177498</v>
      </c>
      <c r="E55">
        <f>SUMIFS('S&amp;L Data'!Q2:Q500,'S&amp;L Data'!$E2:$E500,"Non-Cash Programs")</f>
        <v>35756053</v>
      </c>
      <c r="F55">
        <f>SUMIFS('S&amp;L Data'!R2:R500,'S&amp;L Data'!$E2:$E500,"Non-Cash Programs")</f>
        <v>39589979</v>
      </c>
      <c r="G55">
        <f>SUMIFS('S&amp;L Data'!S2:S500,'S&amp;L Data'!$E2:$E500,"Non-Cash Programs")</f>
        <v>43113921</v>
      </c>
      <c r="H55">
        <f>SUMIFS('S&amp;L Data'!T2:T500,'S&amp;L Data'!$E2:$E500,"Non-Cash Programs")</f>
        <v>46244740</v>
      </c>
      <c r="I55">
        <f>SUMIFS('S&amp;L Data'!U2:U500,'S&amp;L Data'!$E2:$E500,"Non-Cash Programs")</f>
        <v>50502514</v>
      </c>
      <c r="J55">
        <f>SUMIFS('S&amp;L Data'!V2:V500,'S&amp;L Data'!$E2:$E500,"Non-Cash Programs")</f>
        <v>56229214</v>
      </c>
      <c r="K55">
        <f>SUMIFS('S&amp;L Data'!W2:W500,'S&amp;L Data'!$E2:$E500,"Non-Cash Programs")</f>
        <v>63077557</v>
      </c>
      <c r="L55">
        <f>SUMIFS('S&amp;L Data'!X2:X500,'S&amp;L Data'!$E2:$E500,"Non-Cash Programs")</f>
        <v>72164966</v>
      </c>
      <c r="M55">
        <f>SUMIFS('S&amp;L Data'!Y2:Y500,'S&amp;L Data'!$E2:$E500,"Non-Cash Programs")</f>
        <v>87473072</v>
      </c>
      <c r="N55">
        <f>SUMIFS('S&amp;L Data'!Z2:Z500,'S&amp;L Data'!$E2:$E500,"Non-Cash Programs")</f>
        <v>126634479</v>
      </c>
      <c r="O55">
        <f>SUMIFS('S&amp;L Data'!AA2:AA500,'S&amp;L Data'!$E2:$E500,"Non-Cash Programs")</f>
        <v>137332028</v>
      </c>
      <c r="P55">
        <f>SUMIFS('S&amp;L Data'!AB2:AB500,'S&amp;L Data'!$E2:$E500,"Non-Cash Programs")</f>
        <v>149783839</v>
      </c>
      <c r="Q55">
        <f>SUMIFS('S&amp;L Data'!AC2:AC500,'S&amp;L Data'!$E2:$E500,"Non-Cash Programs")</f>
        <v>160951488</v>
      </c>
      <c r="R55">
        <f>SUMIFS('S&amp;L Data'!AD2:AD500,'S&amp;L Data'!$E2:$E500,"Non-Cash Programs")</f>
        <v>163297366</v>
      </c>
      <c r="S55">
        <f>SUMIFS('S&amp;L Data'!AE2:AE500,'S&amp;L Data'!$E2:$E500,"Non-Cash Programs")</f>
        <v>170088231</v>
      </c>
      <c r="T55">
        <f>SUMIFS('S&amp;L Data'!AF2:AF500,'S&amp;L Data'!$E2:$E500,"Non-Cash Programs")</f>
        <v>173647425</v>
      </c>
      <c r="U55">
        <f>SUMIFS('S&amp;L Data'!AG2:AG500,'S&amp;L Data'!$E2:$E500,"Non-Cash Programs")</f>
        <v>182221539</v>
      </c>
      <c r="V55">
        <f>SUMIFS('S&amp;L Data'!AH2:AH500,'S&amp;L Data'!$E2:$E500,"Non-Cash Programs")</f>
        <v>198103096</v>
      </c>
      <c r="W55">
        <f>SUMIFS('S&amp;L Data'!AI2:AI500,'S&amp;L Data'!$E2:$E500,"Non-Cash Programs")</f>
        <v>219685468</v>
      </c>
      <c r="X55">
        <f>SUMIFS('S&amp;L Data'!AJ2:AJ500,'S&amp;L Data'!$E2:$E500,"Non-Cash Programs")</f>
        <v>243405834</v>
      </c>
      <c r="Y55">
        <f>SUMIFS('S&amp;L Data'!AK2:AK500,'S&amp;L Data'!$E2:$E500,"Non-Cash Programs")</f>
        <v>268507273</v>
      </c>
      <c r="Z55">
        <f>SUMIFS('S&amp;L Data'!AL2:AL500,'S&amp;L Data'!$E2:$E500,"Non-Cash Programs")</f>
        <v>300293844</v>
      </c>
      <c r="AA55">
        <f>SUMIFS('S&amp;L Data'!AM2:AM500,'S&amp;L Data'!$E2:$E500,"Non-Cash Programs")</f>
        <v>332632851</v>
      </c>
      <c r="AB55">
        <f>SUMIFS('S&amp;L Data'!AN2:AN500,'S&amp;L Data'!$E2:$E500,"Non-Cash Programs")</f>
        <v>330921471</v>
      </c>
      <c r="AC55">
        <f>SUMIFS('S&amp;L Data'!AO2:AO500,'S&amp;L Data'!$E2:$E500,"Non-Cash Programs")</f>
        <v>352939893</v>
      </c>
      <c r="AD55">
        <f>SUMIFS('S&amp;L Data'!AP2:AP500,'S&amp;L Data'!$E2:$E500,"Non-Cash Programs")</f>
        <v>371614162</v>
      </c>
      <c r="AE55">
        <f>SUMIFS('S&amp;L Data'!AQ2:AQ500,'S&amp;L Data'!$E2:$E500,"Non-Cash Programs")</f>
        <v>393066524</v>
      </c>
      <c r="AF55">
        <f>SUMIFS('S&amp;L Data'!AR2:AR500,'S&amp;L Data'!$E2:$E500,"Non-Cash Programs")</f>
        <v>424819191</v>
      </c>
      <c r="AG55">
        <f>SUMIFS('S&amp;L Data'!AS2:AS500,'S&amp;L Data'!$E2:$E500,"Non-Cash Programs")</f>
        <v>459335538</v>
      </c>
      <c r="AH55">
        <f>SUMIFS('S&amp;L Data'!AT2:AT500,'S&amp;L Data'!$E2:$E500,"Non-Cash Programs")</f>
        <v>459689018</v>
      </c>
      <c r="AI55">
        <f>SUMIFS('S&amp;L Data'!AU2:AU500,'S&amp;L Data'!$E2:$E500,"Non-Cash Programs")</f>
        <v>486029988</v>
      </c>
      <c r="AJ55">
        <f>SUMIFS('S&amp;L Data'!AV2:AV500,'S&amp;L Data'!$E2:$E500,"Non-Cash Programs")</f>
        <v>509395465</v>
      </c>
    </row>
    <row r="56" spans="1:36">
      <c r="A56" s="5" t="s">
        <v>291</v>
      </c>
      <c r="B56">
        <f>SUMIFS('S&amp;L Data'!N2:N500,'S&amp;L Data'!$F2:$F500,"Housing Assistance")</f>
        <v>5061989</v>
      </c>
      <c r="C56">
        <f>SUMIFS('S&amp;L Data'!O2:O500,'S&amp;L Data'!$F2:$F500,"Housing Assistance")</f>
        <v>6071388</v>
      </c>
      <c r="D56">
        <f>SUMIFS('S&amp;L Data'!P2:P500,'S&amp;L Data'!$F2:$F500,"Housing Assistance")</f>
        <v>7430589</v>
      </c>
      <c r="E56">
        <f>SUMIFS('S&amp;L Data'!Q2:Q500,'S&amp;L Data'!$F2:$F500,"Housing Assistance")</f>
        <v>7276703</v>
      </c>
      <c r="F56">
        <f>SUMIFS('S&amp;L Data'!R2:R500,'S&amp;L Data'!$F2:$F500,"Housing Assistance")</f>
        <v>7854343</v>
      </c>
      <c r="G56">
        <f>SUMIFS('S&amp;L Data'!S2:S500,'S&amp;L Data'!$F2:$F500,"Housing Assistance")</f>
        <v>8805953</v>
      </c>
      <c r="H56">
        <f>SUMIFS('S&amp;L Data'!T2:T500,'S&amp;L Data'!$F2:$F500,"Housing Assistance")</f>
        <v>9645066</v>
      </c>
      <c r="I56">
        <f>SUMIFS('S&amp;L Data'!U2:U500,'S&amp;L Data'!$F2:$F500,"Housing Assistance")</f>
        <v>9999627</v>
      </c>
      <c r="J56">
        <f>SUMIFS('S&amp;L Data'!V2:V500,'S&amp;L Data'!$F2:$F500,"Housing Assistance")</f>
        <v>11381455</v>
      </c>
      <c r="K56">
        <f>SUMIFS('S&amp;L Data'!W2:W500,'S&amp;L Data'!$F2:$F500,"Housing Assistance")</f>
        <v>12749635</v>
      </c>
      <c r="L56">
        <f>SUMIFS('S&amp;L Data'!X2:X500,'S&amp;L Data'!$F2:$F500,"Housing Assistance")</f>
        <v>13456105</v>
      </c>
      <c r="M56">
        <f>SUMIFS('S&amp;L Data'!Y2:Y500,'S&amp;L Data'!$F2:$F500,"Housing Assistance")</f>
        <v>14607339</v>
      </c>
      <c r="N56">
        <f>SUMIFS('S&amp;L Data'!Z2:Z500,'S&amp;L Data'!$F2:$F500,"Housing Assistance")</f>
        <v>15147724</v>
      </c>
      <c r="O56">
        <f>SUMIFS('S&amp;L Data'!AA2:AA500,'S&amp;L Data'!$F2:$F500,"Housing Assistance")</f>
        <v>16234548</v>
      </c>
      <c r="P56">
        <f>SUMIFS('S&amp;L Data'!AB2:AB500,'S&amp;L Data'!$F2:$F500,"Housing Assistance")</f>
        <v>17381145</v>
      </c>
      <c r="Q56">
        <f>SUMIFS('S&amp;L Data'!AC2:AC500,'S&amp;L Data'!$F2:$F500,"Housing Assistance")</f>
        <v>18951796</v>
      </c>
      <c r="R56">
        <f>SUMIFS('S&amp;L Data'!AD2:AD500,'S&amp;L Data'!$F2:$F500,"Housing Assistance")</f>
        <v>20031042</v>
      </c>
      <c r="S56">
        <f>SUMIFS('S&amp;L Data'!AE2:AE500,'S&amp;L Data'!$F2:$F500,"Housing Assistance")</f>
        <v>20353038</v>
      </c>
      <c r="T56">
        <f>SUMIFS('S&amp;L Data'!AF2:AF500,'S&amp;L Data'!$F2:$F500,"Housing Assistance")</f>
        <v>21711161</v>
      </c>
      <c r="U56">
        <f>SUMIFS('S&amp;L Data'!AG2:AG500,'S&amp;L Data'!$F2:$F500,"Housing Assistance")</f>
        <v>22367883</v>
      </c>
      <c r="V56">
        <f>SUMIFS('S&amp;L Data'!AH2:AH500,'S&amp;L Data'!$F2:$F500,"Housing Assistance")</f>
        <v>23587216</v>
      </c>
      <c r="W56">
        <f>SUMIFS('S&amp;L Data'!AI2:AI500,'S&amp;L Data'!$F2:$F500,"Housing Assistance")</f>
        <v>24452880</v>
      </c>
      <c r="X56">
        <f>SUMIFS('S&amp;L Data'!AJ2:AJ500,'S&amp;L Data'!$F2:$F500,"Housing Assistance")</f>
        <v>28739662</v>
      </c>
      <c r="Y56">
        <f>SUMIFS('S&amp;L Data'!AK2:AK500,'S&amp;L Data'!$F2:$F500,"Housing Assistance")</f>
        <v>31101947</v>
      </c>
      <c r="Z56">
        <f>SUMIFS('S&amp;L Data'!AL2:AL500,'S&amp;L Data'!$F2:$F500,"Housing Assistance")</f>
        <v>34147266</v>
      </c>
      <c r="AA56">
        <f>SUMIFS('S&amp;L Data'!AM2:AM500,'S&amp;L Data'!$F2:$F500,"Housing Assistance")</f>
        <v>39789359</v>
      </c>
      <c r="AB56">
        <f>SUMIFS('S&amp;L Data'!AN2:AN500,'S&amp;L Data'!$F2:$F500,"Housing Assistance")</f>
        <v>33978993</v>
      </c>
      <c r="AC56">
        <f>SUMIFS('S&amp;L Data'!AO2:AO500,'S&amp;L Data'!$F2:$F500,"Housing Assistance")</f>
        <v>46817204</v>
      </c>
      <c r="AD56">
        <f>SUMIFS('S&amp;L Data'!AP2:AP500,'S&amp;L Data'!$F2:$F500,"Housing Assistance")</f>
        <v>50958545</v>
      </c>
      <c r="AE56">
        <f>SUMIFS('S&amp;L Data'!AQ2:AQ500,'S&amp;L Data'!$F2:$F500,"Housing Assistance")</f>
        <v>50317590</v>
      </c>
      <c r="AF56">
        <f>SUMIFS('S&amp;L Data'!AR2:AR500,'S&amp;L Data'!$F2:$F500,"Housing Assistance")</f>
        <v>54372196</v>
      </c>
      <c r="AG56">
        <f>SUMIFS('S&amp;L Data'!AS2:AS500,'S&amp;L Data'!$F2:$F500,"Housing Assistance")</f>
        <v>56434691</v>
      </c>
      <c r="AH56">
        <f>SUMIFS('S&amp;L Data'!AT2:AT500,'S&amp;L Data'!$F2:$F500,"Housing Assistance")</f>
        <v>53422053</v>
      </c>
      <c r="AI56">
        <f>SUMIFS('S&amp;L Data'!AU2:AU500,'S&amp;L Data'!$F2:$F500,"Housing Assistance")</f>
        <v>49985105</v>
      </c>
      <c r="AJ56">
        <f>SUMIFS('S&amp;L Data'!AV2:AV500,'S&amp;L Data'!$F2:$F500,"Housing Assistance")</f>
        <v>49338659</v>
      </c>
    </row>
    <row r="57" spans="1:36">
      <c r="A57" s="5" t="s">
        <v>128</v>
      </c>
      <c r="B57">
        <f>SUMIFS('S&amp;L Data'!N2:N500,'S&amp;L Data'!$F2:$F500,"Medical Assistance to Poor")</f>
        <v>20630918</v>
      </c>
      <c r="C57">
        <f>SUMIFS('S&amp;L Data'!O2:O500,'S&amp;L Data'!$F2:$F500,"Medical Assistance to Poor")</f>
        <v>23940260</v>
      </c>
      <c r="D57">
        <f>SUMIFS('S&amp;L Data'!P2:P500,'S&amp;L Data'!$F2:$F500,"Medical Assistance to Poor")</f>
        <v>26092255</v>
      </c>
      <c r="E57">
        <f>SUMIFS('S&amp;L Data'!Q2:Q500,'S&amp;L Data'!$F2:$F500,"Medical Assistance to Poor")</f>
        <v>27631556</v>
      </c>
      <c r="F57">
        <f>SUMIFS('S&amp;L Data'!R2:R500,'S&amp;L Data'!$F2:$F500,"Medical Assistance to Poor")</f>
        <v>30815647</v>
      </c>
      <c r="G57">
        <f>SUMIFS('S&amp;L Data'!S2:S500,'S&amp;L Data'!$F2:$F500,"Medical Assistance to Poor")</f>
        <v>33240350</v>
      </c>
      <c r="H57">
        <f>SUMIFS('S&amp;L Data'!T2:T500,'S&amp;L Data'!$F2:$F500,"Medical Assistance to Poor")</f>
        <v>35511240</v>
      </c>
      <c r="I57">
        <f>SUMIFS('S&amp;L Data'!U2:U500,'S&amp;L Data'!$F2:$F500,"Medical Assistance to Poor")</f>
        <v>39379119</v>
      </c>
      <c r="J57">
        <f>SUMIFS('S&amp;L Data'!V2:V500,'S&amp;L Data'!$F2:$F500,"Medical Assistance to Poor")</f>
        <v>43764981</v>
      </c>
      <c r="K57">
        <f>SUMIFS('S&amp;L Data'!W2:W500,'S&amp;L Data'!$F2:$F500,"Medical Assistance to Poor")</f>
        <v>49061316</v>
      </c>
      <c r="L57">
        <f>SUMIFS('S&amp;L Data'!X2:X500,'S&amp;L Data'!$F2:$F500,"Medical Assistance to Poor")</f>
        <v>57375142</v>
      </c>
      <c r="M57">
        <f>SUMIFS('S&amp;L Data'!Y2:Y500,'S&amp;L Data'!$F2:$F500,"Medical Assistance to Poor")</f>
        <v>71429490</v>
      </c>
      <c r="N57">
        <f>SUMIFS('S&amp;L Data'!Z2:Z500,'S&amp;L Data'!$F2:$F500,"Medical Assistance to Poor")</f>
        <v>109991676</v>
      </c>
      <c r="O57">
        <f>SUMIFS('S&amp;L Data'!AA2:AA500,'S&amp;L Data'!$F2:$F500,"Medical Assistance to Poor")</f>
        <v>119558699</v>
      </c>
      <c r="P57">
        <f>SUMIFS('S&amp;L Data'!AB2:AB500,'S&amp;L Data'!$F2:$F500,"Medical Assistance to Poor")</f>
        <v>130802913</v>
      </c>
      <c r="Q57">
        <f>SUMIFS('S&amp;L Data'!AC2:AC500,'S&amp;L Data'!$F2:$F500,"Medical Assistance to Poor")</f>
        <v>140429746</v>
      </c>
      <c r="R57">
        <f>SUMIFS('S&amp;L Data'!AD2:AD500,'S&amp;L Data'!$F2:$F500,"Medical Assistance to Poor")</f>
        <v>141770725</v>
      </c>
      <c r="S57">
        <f>SUMIFS('S&amp;L Data'!AE2:AE500,'S&amp;L Data'!$F2:$F500,"Medical Assistance to Poor")</f>
        <v>148127427</v>
      </c>
      <c r="T57">
        <f>SUMIFS('S&amp;L Data'!AF2:AF500,'S&amp;L Data'!$F2:$F500,"Medical Assistance to Poor")</f>
        <v>150176972</v>
      </c>
      <c r="U57">
        <f>SUMIFS('S&amp;L Data'!AG2:AG500,'S&amp;L Data'!$F2:$F500,"Medical Assistance to Poor")</f>
        <v>158041669</v>
      </c>
      <c r="V57">
        <f>SUMIFS('S&amp;L Data'!AH2:AH500,'S&amp;L Data'!$F2:$F500,"Medical Assistance to Poor")</f>
        <v>172403743</v>
      </c>
      <c r="W57">
        <f>SUMIFS('S&amp;L Data'!AI2:AI500,'S&amp;L Data'!$F2:$F500,"Medical Assistance to Poor")</f>
        <v>193019301</v>
      </c>
      <c r="X57">
        <f>SUMIFS('S&amp;L Data'!AJ2:AJ500,'S&amp;L Data'!$F2:$F500,"Medical Assistance to Poor")</f>
        <v>212622838</v>
      </c>
      <c r="Y57">
        <f>SUMIFS('S&amp;L Data'!AK2:AK500,'S&amp;L Data'!$F2:$F500,"Medical Assistance to Poor")</f>
        <v>235174973</v>
      </c>
      <c r="Z57">
        <f>SUMIFS('S&amp;L Data'!AL2:AL500,'S&amp;L Data'!$F2:$F500,"Medical Assistance to Poor")</f>
        <v>261877054</v>
      </c>
      <c r="AA57">
        <f>SUMIFS('S&amp;L Data'!AM2:AM500,'S&amp;L Data'!$F2:$F500,"Medical Assistance to Poor")</f>
        <v>286705180</v>
      </c>
      <c r="AB57">
        <f>SUMIFS('S&amp;L Data'!AN2:AN500,'S&amp;L Data'!$F2:$F500,"Medical Assistance to Poor")</f>
        <v>288665189</v>
      </c>
      <c r="AC57">
        <f>SUMIFS('S&amp;L Data'!AO2:AO500,'S&amp;L Data'!$F2:$F500,"Medical Assistance to Poor")</f>
        <v>296358198</v>
      </c>
      <c r="AD57">
        <f>SUMIFS('S&amp;L Data'!AP2:AP500,'S&amp;L Data'!$F2:$F500,"Medical Assistance to Poor")</f>
        <v>310249563</v>
      </c>
      <c r="AE57">
        <f>SUMIFS('S&amp;L Data'!AQ2:AQ500,'S&amp;L Data'!$F2:$F500,"Medical Assistance to Poor")</f>
        <v>330320096</v>
      </c>
      <c r="AF57">
        <f>SUMIFS('S&amp;L Data'!AR2:AR500,'S&amp;L Data'!$F2:$F500,"Medical Assistance to Poor")</f>
        <v>356181593</v>
      </c>
      <c r="AG57">
        <f>SUMIFS('S&amp;L Data'!AS2:AS500,'S&amp;L Data'!$F2:$F500,"Medical Assistance to Poor")</f>
        <v>388626578</v>
      </c>
      <c r="AH57">
        <f>SUMIFS('S&amp;L Data'!AT2:AT500,'S&amp;L Data'!$F2:$F500,"Medical Assistance to Poor")</f>
        <v>393156476</v>
      </c>
      <c r="AI57">
        <f>SUMIFS('S&amp;L Data'!AU2:AU500,'S&amp;L Data'!$F2:$F500,"Medical Assistance to Poor")</f>
        <v>423997662</v>
      </c>
      <c r="AJ57">
        <f>SUMIFS('S&amp;L Data'!AV2:AV500,'S&amp;L Data'!$F2:$F500,"Medical Assistance to Poor")</f>
        <v>447827472</v>
      </c>
    </row>
    <row r="58" spans="1:36">
      <c r="A58" s="5" t="s">
        <v>134</v>
      </c>
      <c r="B58">
        <f>SUMIFS('S&amp;L Data'!N2:N500,'S&amp;L Data'!$E2:$E500,"Non-Cash Programs",'S&amp;L Data'!$F2:$F500,"Other")</f>
        <v>413003</v>
      </c>
      <c r="C58">
        <f>SUMIFS('S&amp;L Data'!O2:O500,'S&amp;L Data'!$E2:$E500,"Non-Cash Programs",'S&amp;L Data'!$F2:$F500,"Other")</f>
        <v>514005</v>
      </c>
      <c r="D58">
        <f>SUMIFS('S&amp;L Data'!P2:P500,'S&amp;L Data'!$E2:$E500,"Non-Cash Programs",'S&amp;L Data'!$F2:$F500,"Other")</f>
        <v>654654</v>
      </c>
      <c r="E58">
        <f>SUMIFS('S&amp;L Data'!Q2:Q500,'S&amp;L Data'!$E2:$E500,"Non-Cash Programs",'S&amp;L Data'!$F2:$F500,"Other")</f>
        <v>847794</v>
      </c>
      <c r="F58">
        <f>SUMIFS('S&amp;L Data'!R2:R500,'S&amp;L Data'!$E2:$E500,"Non-Cash Programs",'S&amp;L Data'!$F2:$F500,"Other")</f>
        <v>919989</v>
      </c>
      <c r="G58">
        <f>SUMIFS('S&amp;L Data'!S2:S500,'S&amp;L Data'!$E2:$E500,"Non-Cash Programs",'S&amp;L Data'!$F2:$F500,"Other")</f>
        <v>1067618</v>
      </c>
      <c r="H58">
        <f>SUMIFS('S&amp;L Data'!T2:T500,'S&amp;L Data'!$E2:$E500,"Non-Cash Programs",'S&amp;L Data'!$F2:$F500,"Other")</f>
        <v>1088434</v>
      </c>
      <c r="I58">
        <f>SUMIFS('S&amp;L Data'!U2:U500,'S&amp;L Data'!$E2:$E500,"Non-Cash Programs",'S&amp;L Data'!$F2:$F500,"Other")</f>
        <v>1123768</v>
      </c>
      <c r="J58">
        <f>SUMIFS('S&amp;L Data'!V2:V500,'S&amp;L Data'!$E2:$E500,"Non-Cash Programs",'S&amp;L Data'!$F2:$F500,"Other")</f>
        <v>1082778</v>
      </c>
      <c r="K58">
        <f>SUMIFS('S&amp;L Data'!W2:W500,'S&amp;L Data'!$E2:$E500,"Non-Cash Programs",'S&amp;L Data'!$F2:$F500,"Other")</f>
        <v>1266606</v>
      </c>
      <c r="L58">
        <f>SUMIFS('S&amp;L Data'!X2:X500,'S&amp;L Data'!$E2:$E500,"Non-Cash Programs",'S&amp;L Data'!$F2:$F500,"Other")</f>
        <v>1333719</v>
      </c>
      <c r="M58">
        <f>SUMIFS('S&amp;L Data'!Y2:Y500,'S&amp;L Data'!$E2:$E500,"Non-Cash Programs",'S&amp;L Data'!$F2:$F500,"Other")</f>
        <v>1436243</v>
      </c>
      <c r="N58">
        <f>SUMIFS('S&amp;L Data'!Z2:Z500,'S&amp;L Data'!$E2:$E500,"Non-Cash Programs",'S&amp;L Data'!$F2:$F500,"Other")</f>
        <v>1495079</v>
      </c>
      <c r="O58">
        <f>SUMIFS('S&amp;L Data'!AA2:AA500,'S&amp;L Data'!$E2:$E500,"Non-Cash Programs",'S&amp;L Data'!$F2:$F500,"Other")</f>
        <v>1538781</v>
      </c>
      <c r="P58">
        <f>SUMIFS('S&amp;L Data'!AB2:AB500,'S&amp;L Data'!$E2:$E500,"Non-Cash Programs",'S&amp;L Data'!$F2:$F500,"Other")</f>
        <v>1599781</v>
      </c>
      <c r="Q58">
        <f>SUMIFS('S&amp;L Data'!AC2:AC500,'S&amp;L Data'!$E2:$E500,"Non-Cash Programs",'S&amp;L Data'!$F2:$F500,"Other")</f>
        <v>1569946</v>
      </c>
      <c r="R58">
        <f>SUMIFS('S&amp;L Data'!AD2:AD500,'S&amp;L Data'!$E2:$E500,"Non-Cash Programs",'S&amp;L Data'!$F2:$F500,"Other")</f>
        <v>1495599</v>
      </c>
      <c r="S58">
        <f>SUMIFS('S&amp;L Data'!AE2:AE500,'S&amp;L Data'!$E2:$E500,"Non-Cash Programs",'S&amp;L Data'!$F2:$F500,"Other")</f>
        <v>1607766</v>
      </c>
      <c r="T58">
        <f>SUMIFS('S&amp;L Data'!AF2:AF500,'S&amp;L Data'!$E2:$E500,"Non-Cash Programs",'S&amp;L Data'!$F2:$F500,"Other")</f>
        <v>1759292</v>
      </c>
      <c r="U58">
        <f>SUMIFS('S&amp;L Data'!AG2:AG500,'S&amp;L Data'!$E2:$E500,"Non-Cash Programs",'S&amp;L Data'!$F2:$F500,"Other")</f>
        <v>1811987</v>
      </c>
      <c r="V58">
        <f>SUMIFS('S&amp;L Data'!AH2:AH500,'S&amp;L Data'!$E2:$E500,"Non-Cash Programs",'S&amp;L Data'!$F2:$F500,"Other")</f>
        <v>2112137</v>
      </c>
      <c r="W58">
        <f>SUMIFS('S&amp;L Data'!AI2:AI500,'S&amp;L Data'!$E2:$E500,"Non-Cash Programs",'S&amp;L Data'!$F2:$F500,"Other")</f>
        <v>2213287</v>
      </c>
      <c r="X58">
        <f>SUMIFS('S&amp;L Data'!AJ2:AJ500,'S&amp;L Data'!$E2:$E500,"Non-Cash Programs",'S&amp;L Data'!$F2:$F500,"Other")</f>
        <v>2043334</v>
      </c>
      <c r="Y58">
        <f>SUMIFS('S&amp;L Data'!AK2:AK500,'S&amp;L Data'!$E2:$E500,"Non-Cash Programs",'S&amp;L Data'!$F2:$F500,"Other")</f>
        <v>2230353</v>
      </c>
      <c r="Z58">
        <f>SUMIFS('S&amp;L Data'!AL2:AL500,'S&amp;L Data'!$E2:$E500,"Non-Cash Programs",'S&amp;L Data'!$F2:$F500,"Other")</f>
        <v>4269524</v>
      </c>
      <c r="AA58">
        <f>SUMIFS('S&amp;L Data'!AM2:AM500,'S&amp;L Data'!$E2:$E500,"Non-Cash Programs",'S&amp;L Data'!$F2:$F500,"Other")</f>
        <v>6138312</v>
      </c>
      <c r="AB58">
        <f>SUMIFS('S&amp;L Data'!AN2:AN500,'S&amp;L Data'!$E2:$E500,"Non-Cash Programs",'S&amp;L Data'!$F2:$F500,"Other")</f>
        <v>8277289</v>
      </c>
      <c r="AC58">
        <f>SUMIFS('S&amp;L Data'!AO2:AO500,'S&amp;L Data'!$E2:$E500,"Non-Cash Programs",'S&amp;L Data'!$F2:$F500,"Other")</f>
        <v>9764491</v>
      </c>
      <c r="AD58">
        <f>SUMIFS('S&amp;L Data'!AP2:AP500,'S&amp;L Data'!$E2:$E500,"Non-Cash Programs",'S&amp;L Data'!$F2:$F500,"Other")</f>
        <v>10406054</v>
      </c>
      <c r="AE58">
        <f>SUMIFS('S&amp;L Data'!AQ2:AQ500,'S&amp;L Data'!$E2:$E500,"Non-Cash Programs",'S&amp;L Data'!$F2:$F500,"Other")</f>
        <v>12428838</v>
      </c>
      <c r="AF58">
        <f>SUMIFS('S&amp;L Data'!AR2:AR500,'S&amp;L Data'!$E2:$E500,"Non-Cash Programs",'S&amp;L Data'!$F2:$F500,"Other")</f>
        <v>14265402</v>
      </c>
      <c r="AG58">
        <f>SUMIFS('S&amp;L Data'!AS2:AS500,'S&amp;L Data'!$E2:$E500,"Non-Cash Programs",'S&amp;L Data'!$F2:$F500,"Other")</f>
        <v>14274269</v>
      </c>
      <c r="AH58">
        <f>SUMIFS('S&amp;L Data'!AT2:AT500,'S&amp;L Data'!$E2:$E500,"Non-Cash Programs",'S&amp;L Data'!$F2:$F500,"Other")</f>
        <v>13110489</v>
      </c>
      <c r="AI58">
        <f>SUMIFS('S&amp;L Data'!AU2:AU500,'S&amp;L Data'!$E2:$E500,"Non-Cash Programs",'S&amp;L Data'!$F2:$F500,"Other")</f>
        <v>12047221</v>
      </c>
      <c r="AJ58">
        <f>SUMIFS('S&amp;L Data'!AV2:AV500,'S&amp;L Data'!$E2:$E500,"Non-Cash Programs",'S&amp;L Data'!$F2:$F500,"Other")</f>
        <v>12229334</v>
      </c>
    </row>
    <row r="59" spans="1:36">
      <c r="A59" s="4" t="s">
        <v>20</v>
      </c>
      <c r="B59">
        <f>SUMIFS('S&amp;L Data'!N2:N500,'S&amp;L Data'!$E2:$E500,"Unemployment Insurance")</f>
        <v>2008792</v>
      </c>
      <c r="C59">
        <f>SUMIFS('S&amp;L Data'!O2:O500,'S&amp;L Data'!$E2:$E500,"Unemployment Insurance")</f>
        <v>2276431</v>
      </c>
      <c r="D59">
        <f>SUMIFS('S&amp;L Data'!P2:P500,'S&amp;L Data'!$E2:$E500,"Unemployment Insurance")</f>
        <v>2285868</v>
      </c>
      <c r="E59">
        <f>SUMIFS('S&amp;L Data'!Q2:Q500,'S&amp;L Data'!$E2:$E500,"Unemployment Insurance")</f>
        <v>2473187</v>
      </c>
      <c r="F59">
        <f>SUMIFS('S&amp;L Data'!R2:R500,'S&amp;L Data'!$E2:$E500,"Unemployment Insurance")</f>
        <v>2555711</v>
      </c>
      <c r="G59">
        <f>SUMIFS('S&amp;L Data'!S2:S500,'S&amp;L Data'!$E2:$E500,"Unemployment Insurance")</f>
        <v>2592119</v>
      </c>
      <c r="H59">
        <f>SUMIFS('S&amp;L Data'!T2:T500,'S&amp;L Data'!$E2:$E500,"Unemployment Insurance")</f>
        <v>2707220</v>
      </c>
      <c r="I59">
        <f>SUMIFS('S&amp;L Data'!U2:U500,'S&amp;L Data'!$E2:$E500,"Unemployment Insurance")</f>
        <v>2751691</v>
      </c>
      <c r="J59">
        <f>SUMIFS('S&amp;L Data'!V2:V500,'S&amp;L Data'!$E2:$E500,"Unemployment Insurance")</f>
        <v>2853110</v>
      </c>
      <c r="K59">
        <f>SUMIFS('S&amp;L Data'!W2:W500,'S&amp;L Data'!$E2:$E500,"Unemployment Insurance")</f>
        <v>2947169</v>
      </c>
      <c r="L59">
        <f>SUMIFS('S&amp;L Data'!X2:X500,'S&amp;L Data'!$E2:$E500,"Unemployment Insurance")</f>
        <v>3014354</v>
      </c>
      <c r="M59">
        <f>SUMIFS('S&amp;L Data'!Y2:Y500,'S&amp;L Data'!$E2:$E500,"Unemployment Insurance")</f>
        <v>3249688</v>
      </c>
      <c r="N59">
        <f>SUMIFS('S&amp;L Data'!Z2:Z500,'S&amp;L Data'!$E2:$E500,"Unemployment Insurance")</f>
        <v>3716776</v>
      </c>
      <c r="O59">
        <f>SUMIFS('S&amp;L Data'!AA2:AA500,'S&amp;L Data'!$E2:$E500,"Unemployment Insurance")</f>
        <v>3945023</v>
      </c>
      <c r="P59">
        <f>SUMIFS('S&amp;L Data'!AB2:AB500,'S&amp;L Data'!$E2:$E500,"Unemployment Insurance")</f>
        <v>4070807</v>
      </c>
      <c r="Q59">
        <f>SUMIFS('S&amp;L Data'!AC2:AC500,'S&amp;L Data'!$E2:$E500,"Unemployment Insurance")</f>
        <v>3946014</v>
      </c>
      <c r="R59">
        <f>SUMIFS('S&amp;L Data'!AD2:AD500,'S&amp;L Data'!$E2:$E500,"Unemployment Insurance")</f>
        <v>3930611</v>
      </c>
      <c r="S59">
        <f>SUMIFS('S&amp;L Data'!AE2:AE500,'S&amp;L Data'!$E2:$E500,"Unemployment Insurance")</f>
        <v>4009035</v>
      </c>
      <c r="T59">
        <f>SUMIFS('S&amp;L Data'!AF2:AF500,'S&amp;L Data'!$E2:$E500,"Unemployment Insurance")</f>
        <v>4133183</v>
      </c>
      <c r="U59">
        <f>SUMIFS('S&amp;L Data'!AG2:AG500,'S&amp;L Data'!$E2:$E500,"Unemployment Insurance")</f>
        <v>4130347</v>
      </c>
      <c r="V59">
        <f>SUMIFS('S&amp;L Data'!AH2:AH500,'S&amp;L Data'!$E2:$E500,"Unemployment Insurance")</f>
        <v>4177665</v>
      </c>
      <c r="W59">
        <f>SUMIFS('S&amp;L Data'!AI2:AI500,'S&amp;L Data'!$E2:$E500,"Unemployment Insurance")</f>
        <v>4358830</v>
      </c>
      <c r="X59">
        <f>SUMIFS('S&amp;L Data'!AJ2:AJ500,'S&amp;L Data'!$E2:$E500,"Unemployment Insurance")</f>
        <v>5082130</v>
      </c>
      <c r="Y59">
        <f>SUMIFS('S&amp;L Data'!AK2:AK500,'S&amp;L Data'!$E2:$E500,"Unemployment Insurance")</f>
        <v>5267050</v>
      </c>
      <c r="Z59">
        <f>SUMIFS('S&amp;L Data'!AL2:AL500,'S&amp;L Data'!$E2:$E500,"Unemployment Insurance")</f>
        <v>4363626</v>
      </c>
      <c r="AA59">
        <f>SUMIFS('S&amp;L Data'!AM2:AM500,'S&amp;L Data'!$E2:$E500,"Unemployment Insurance")</f>
        <v>4264545</v>
      </c>
      <c r="AB59">
        <f>SUMIFS('S&amp;L Data'!AN2:AN500,'S&amp;L Data'!$E2:$E500,"Unemployment Insurance")</f>
        <v>4556093</v>
      </c>
      <c r="AC59">
        <f>SUMIFS('S&amp;L Data'!AO2:AO500,'S&amp;L Data'!$E2:$E500,"Unemployment Insurance")</f>
        <v>3982904</v>
      </c>
      <c r="AD59">
        <f>SUMIFS('S&amp;L Data'!AP2:AP500,'S&amp;L Data'!$E2:$E500,"Unemployment Insurance")</f>
        <v>4054823</v>
      </c>
      <c r="AE59">
        <f>SUMIFS('S&amp;L Data'!AQ2:AQ500,'S&amp;L Data'!$E2:$E500,"Unemployment Insurance")</f>
        <v>4569908</v>
      </c>
      <c r="AF59">
        <f>SUMIFS('S&amp;L Data'!AR2:AR500,'S&amp;L Data'!$E2:$E500,"Unemployment Insurance")</f>
        <v>5156720</v>
      </c>
      <c r="AG59">
        <f>SUMIFS('S&amp;L Data'!AS2:AS500,'S&amp;L Data'!$E2:$E500,"Unemployment Insurance")</f>
        <v>5255857</v>
      </c>
      <c r="AH59">
        <f>SUMIFS('S&amp;L Data'!AT2:AT500,'S&amp;L Data'!$E2:$E500,"Unemployment Insurance")</f>
        <v>5116142</v>
      </c>
      <c r="AI59">
        <f>SUMIFS('S&amp;L Data'!AU2:AU500,'S&amp;L Data'!$E2:$E500,"Unemployment Insurance")</f>
        <v>4900837</v>
      </c>
      <c r="AJ59">
        <f>SUMIFS('S&amp;L Data'!AV2:AV500,'S&amp;L Data'!$E2:$E500,"Unemployment Insurance")</f>
        <v>4400029</v>
      </c>
    </row>
    <row r="60" spans="1:36">
      <c r="A60" s="2" t="s">
        <v>263</v>
      </c>
      <c r="B60">
        <f>SUMIFS('S&amp;L Data'!N2:N500,'S&amp;L Data'!$C2:$C500,"Secure the Blessings")+SUMIFS('S&amp;L Data'!N2:N500,'S&amp;L Data'!$C2:$C500,"Obligations")</f>
        <v>165281694</v>
      </c>
      <c r="C60">
        <f>SUMIFS('S&amp;L Data'!O2:O500,'S&amp;L Data'!$C2:$C500,"Secure the Blessings")+SUMIFS('S&amp;L Data'!O2:O500,'S&amp;L Data'!$C2:$C500,"Obligations")</f>
        <v>182034501</v>
      </c>
      <c r="D60">
        <f>SUMIFS('S&amp;L Data'!P2:P500,'S&amp;L Data'!$C2:$C500,"Secure the Blessings")+SUMIFS('S&amp;L Data'!P2:P500,'S&amp;L Data'!$C2:$C500,"Obligations")</f>
        <v>191580741</v>
      </c>
      <c r="E60">
        <f>SUMIFS('S&amp;L Data'!Q2:Q500,'S&amp;L Data'!$C2:$C500,"Secure the Blessings")+SUMIFS('S&amp;L Data'!Q2:Q500,'S&amp;L Data'!$C2:$C500,"Obligations")</f>
        <v>208948825</v>
      </c>
      <c r="F60">
        <f>SUMIFS('S&amp;L Data'!R2:R500,'S&amp;L Data'!$C2:$C500,"Secure the Blessings")+SUMIFS('S&amp;L Data'!R2:R500,'S&amp;L Data'!$C2:$C500,"Obligations")</f>
        <v>228261854</v>
      </c>
      <c r="G60">
        <f>SUMIFS('S&amp;L Data'!S2:S500,'S&amp;L Data'!$C2:$C500,"Secure the Blessings")+SUMIFS('S&amp;L Data'!S2:S500,'S&amp;L Data'!$C2:$C500,"Obligations")</f>
        <v>249363347</v>
      </c>
      <c r="H60">
        <f>SUMIFS('S&amp;L Data'!T2:T500,'S&amp;L Data'!$C2:$C500,"Secure the Blessings")+SUMIFS('S&amp;L Data'!T2:T500,'S&amp;L Data'!$C2:$C500,"Obligations")</f>
        <v>278084806</v>
      </c>
      <c r="I60">
        <f>SUMIFS('S&amp;L Data'!U2:U500,'S&amp;L Data'!$C2:$C500,"Secure the Blessings")+SUMIFS('S&amp;L Data'!U2:U500,'S&amp;L Data'!$C2:$C500,"Obligations")</f>
        <v>306064532</v>
      </c>
      <c r="J60">
        <f>SUMIFS('S&amp;L Data'!V2:V500,'S&amp;L Data'!$C2:$C500,"Secure the Blessings")+SUMIFS('S&amp;L Data'!V2:V500,'S&amp;L Data'!$C2:$C500,"Obligations")</f>
        <v>315973292</v>
      </c>
      <c r="K60">
        <f>SUMIFS('S&amp;L Data'!W2:W500,'S&amp;L Data'!$C2:$C500,"Secure the Blessings")+SUMIFS('S&amp;L Data'!W2:W500,'S&amp;L Data'!$C2:$C500,"Obligations")</f>
        <v>336066516</v>
      </c>
      <c r="L60">
        <f>SUMIFS('S&amp;L Data'!X2:X500,'S&amp;L Data'!$C2:$C500,"Secure the Blessings")+SUMIFS('S&amp;L Data'!X2:X500,'S&amp;L Data'!$C2:$C500,"Obligations")</f>
        <v>364698000</v>
      </c>
      <c r="M60">
        <f>SUMIFS('S&amp;L Data'!Y2:Y500,'S&amp;L Data'!$C2:$C500,"Secure the Blessings")+SUMIFS('S&amp;L Data'!Y2:Y500,'S&amp;L Data'!$C2:$C500,"Obligations")</f>
        <v>392402951</v>
      </c>
      <c r="N60">
        <f>SUMIFS('S&amp;L Data'!Z2:Z500,'S&amp;L Data'!$C2:$C500,"Secure the Blessings")+SUMIFS('S&amp;L Data'!Z2:Z500,'S&amp;L Data'!$C2:$C500,"Obligations")</f>
        <v>362694675</v>
      </c>
      <c r="O60">
        <f>SUMIFS('S&amp;L Data'!AA2:AA500,'S&amp;L Data'!$C2:$C500,"Secure the Blessings")+SUMIFS('S&amp;L Data'!AA2:AA500,'S&amp;L Data'!$C2:$C500,"Obligations")</f>
        <v>385616748</v>
      </c>
      <c r="P60">
        <f>SUMIFS('S&amp;L Data'!AB2:AB500,'S&amp;L Data'!$C2:$C500,"Secure the Blessings")+SUMIFS('S&amp;L Data'!AB2:AB500,'S&amp;L Data'!$C2:$C500,"Obligations")</f>
        <v>395474549</v>
      </c>
      <c r="Q60">
        <f>SUMIFS('S&amp;L Data'!AC2:AC500,'S&amp;L Data'!$C2:$C500,"Secure the Blessings")+SUMIFS('S&amp;L Data'!AC2:AC500,'S&amp;L Data'!$C2:$C500,"Obligations")</f>
        <v>422292805</v>
      </c>
      <c r="R60">
        <f>SUMIFS('S&amp;L Data'!AD2:AD500,'S&amp;L Data'!$C2:$C500,"Secure the Blessings")+SUMIFS('S&amp;L Data'!AD2:AD500,'S&amp;L Data'!$C2:$C500,"Obligations")</f>
        <v>444827305</v>
      </c>
      <c r="S60">
        <f>SUMIFS('S&amp;L Data'!AE2:AE500,'S&amp;L Data'!$C2:$C500,"Secure the Blessings")+SUMIFS('S&amp;L Data'!AE2:AE500,'S&amp;L Data'!$C2:$C500,"Obligations")</f>
        <v>469819207</v>
      </c>
      <c r="T60">
        <f>SUMIFS('S&amp;L Data'!AF2:AF500,'S&amp;L Data'!$C2:$C500,"Secure the Blessings")+SUMIFS('S&amp;L Data'!AF2:AF500,'S&amp;L Data'!$C2:$C500,"Obligations")</f>
        <v>505165496</v>
      </c>
      <c r="U60">
        <f>SUMIFS('S&amp;L Data'!AG2:AG500,'S&amp;L Data'!$C2:$C500,"Secure the Blessings")+SUMIFS('S&amp;L Data'!AG2:AG500,'S&amp;L Data'!$C2:$C500,"Obligations")</f>
        <v>541558742</v>
      </c>
      <c r="V60">
        <f>SUMIFS('S&amp;L Data'!AH2:AH500,'S&amp;L Data'!$C2:$C500,"Secure the Blessings")+SUMIFS('S&amp;L Data'!AH2:AH500,'S&amp;L Data'!$C2:$C500,"Obligations")</f>
        <v>587981242</v>
      </c>
      <c r="W60">
        <f>SUMIFS('S&amp;L Data'!AI2:AI500,'S&amp;L Data'!$C2:$C500,"Secure the Blessings")+SUMIFS('S&amp;L Data'!AI2:AI500,'S&amp;L Data'!$C2:$C500,"Obligations")</f>
        <v>637202496</v>
      </c>
      <c r="X60">
        <f>SUMIFS('S&amp;L Data'!AJ2:AJ500,'S&amp;L Data'!$C2:$C500,"Secure the Blessings")+SUMIFS('S&amp;L Data'!AJ2:AJ500,'S&amp;L Data'!$C2:$C500,"Obligations")</f>
        <v>692412741</v>
      </c>
      <c r="Y60">
        <f>SUMIFS('S&amp;L Data'!AK2:AK500,'S&amp;L Data'!$C2:$C500,"Secure the Blessings")+SUMIFS('S&amp;L Data'!AK2:AK500,'S&amp;L Data'!$C2:$C500,"Obligations")</f>
        <v>732326384</v>
      </c>
      <c r="Z60">
        <f>SUMIFS('S&amp;L Data'!AL2:AL500,'S&amp;L Data'!$C2:$C500,"Secure the Blessings")+SUMIFS('S&amp;L Data'!AL2:AL500,'S&amp;L Data'!$C2:$C500,"Obligations")</f>
        <v>781612390</v>
      </c>
      <c r="AA60">
        <f>SUMIFS('S&amp;L Data'!AM2:AM500,'S&amp;L Data'!$C2:$C500,"Secure the Blessings")+SUMIFS('S&amp;L Data'!AM2:AM500,'S&amp;L Data'!$C2:$C500,"Obligations")</f>
        <v>808497617</v>
      </c>
      <c r="AB60">
        <f>SUMIFS('S&amp;L Data'!AN2:AN500,'S&amp;L Data'!$C2:$C500,"Secure the Blessings")+SUMIFS('S&amp;L Data'!AN2:AN500,'S&amp;L Data'!$C2:$C500,"Obligations")</f>
        <v>848646301</v>
      </c>
      <c r="AC60">
        <f>SUMIFS('S&amp;L Data'!AO2:AO500,'S&amp;L Data'!$C2:$C500,"Secure the Blessings")+SUMIFS('S&amp;L Data'!AO2:AO500,'S&amp;L Data'!$C2:$C500,"Obligations")</f>
        <v>900276755</v>
      </c>
      <c r="AD60">
        <f>SUMIFS('S&amp;L Data'!AP2:AP500,'S&amp;L Data'!$C2:$C500,"Secure the Blessings")+SUMIFS('S&amp;L Data'!AP2:AP500,'S&amp;L Data'!$C2:$C500,"Obligations")</f>
        <v>972370524</v>
      </c>
      <c r="AE60">
        <f>SUMIFS('S&amp;L Data'!AQ2:AQ500,'S&amp;L Data'!$C2:$C500,"Secure the Blessings")+SUMIFS('S&amp;L Data'!AQ2:AQ500,'S&amp;L Data'!$C2:$C500,"Obligations")</f>
        <v>1029576166</v>
      </c>
      <c r="AF60">
        <f>SUMIFS('S&amp;L Data'!AR2:AR500,'S&amp;L Data'!$C2:$C500,"Secure the Blessings")+SUMIFS('S&amp;L Data'!AR2:AR500,'S&amp;L Data'!$C2:$C500,"Obligations")</f>
        <v>1052994746</v>
      </c>
      <c r="AG60">
        <f>SUMIFS('S&amp;L Data'!AS2:AS500,'S&amp;L Data'!$C2:$C500,"Secure the Blessings")+SUMIFS('S&amp;L Data'!AS2:AS500,'S&amp;L Data'!$C2:$C500,"Obligations")</f>
        <v>1063207938</v>
      </c>
      <c r="AH60">
        <f>SUMIFS('S&amp;L Data'!AT2:AT500,'S&amp;L Data'!$C2:$C500,"Secure the Blessings")+SUMIFS('S&amp;L Data'!AT2:AT500,'S&amp;L Data'!$C2:$C500,"Obligations")</f>
        <v>1091205157</v>
      </c>
      <c r="AI60">
        <f>SUMIFS('S&amp;L Data'!AU2:AU500,'S&amp;L Data'!$C2:$C500,"Secure the Blessings")+SUMIFS('S&amp;L Data'!AU2:AU500,'S&amp;L Data'!$C2:$C500,"Obligations")</f>
        <v>1103268100</v>
      </c>
      <c r="AJ60">
        <f>SUMIFS('S&amp;L Data'!AV2:AV500,'S&amp;L Data'!$C2:$C500,"Secure the Blessings")+SUMIFS('S&amp;L Data'!AV2:AV500,'S&amp;L Data'!$C2:$C500,"Obligations")</f>
        <v>1132045887</v>
      </c>
    </row>
    <row r="61" spans="1:36">
      <c r="A61" s="3" t="s">
        <v>158</v>
      </c>
      <c r="B61">
        <f>SUMIFS('S&amp;L Data'!N2:N500,'S&amp;L Data'!$D2:$D500,"Education Inside the Classroom")+SUMIFS('S&amp;L Data'!N2:N500,'S&amp;L Data'!$D2:$D500,"Education Outside the Classroom")</f>
        <v>121147948</v>
      </c>
      <c r="C61">
        <f>SUMIFS('S&amp;L Data'!O2:O500,'S&amp;L Data'!$D2:$D500,"Education Inside the Classroom")+SUMIFS('S&amp;L Data'!O2:O500,'S&amp;L Data'!$D2:$D500,"Education Outside the Classroom")</f>
        <v>132323845</v>
      </c>
      <c r="D61">
        <f>SUMIFS('S&amp;L Data'!P2:P500,'S&amp;L Data'!$D2:$D500,"Education Inside the Classroom")+SUMIFS('S&amp;L Data'!P2:P500,'S&amp;L Data'!$D2:$D500,"Education Outside the Classroom")</f>
        <v>139197036</v>
      </c>
      <c r="E61">
        <f>SUMIFS('S&amp;L Data'!Q2:Q500,'S&amp;L Data'!$D2:$D500,"Education Inside the Classroom")+SUMIFS('S&amp;L Data'!Q2:Q500,'S&amp;L Data'!$D2:$D500,"Education Outside the Classroom")</f>
        <v>147259723</v>
      </c>
      <c r="F61">
        <f>SUMIFS('S&amp;L Data'!R2:R500,'S&amp;L Data'!$D2:$D500,"Education Inside the Classroom")+SUMIFS('S&amp;L Data'!R2:R500,'S&amp;L Data'!$D2:$D500,"Education Outside the Classroom")</f>
        <v>157905924</v>
      </c>
      <c r="G61">
        <f>SUMIFS('S&amp;L Data'!S2:S500,'S&amp;L Data'!$D2:$D500,"Education Inside the Classroom")+SUMIFS('S&amp;L Data'!S2:S500,'S&amp;L Data'!$D2:$D500,"Education Outside the Classroom")</f>
        <v>173428340</v>
      </c>
      <c r="H61">
        <f>SUMIFS('S&amp;L Data'!T2:T500,'S&amp;L Data'!$D2:$D500,"Education Inside the Classroom")+SUMIFS('S&amp;L Data'!T2:T500,'S&amp;L Data'!$D2:$D500,"Education Outside the Classroom")</f>
        <v>190020687</v>
      </c>
      <c r="I61">
        <f>SUMIFS('S&amp;L Data'!U2:U500,'S&amp;L Data'!$D2:$D500,"Education Inside the Classroom")+SUMIFS('S&amp;L Data'!U2:U500,'S&amp;L Data'!$D2:$D500,"Education Outside the Classroom")</f>
        <v>204928092</v>
      </c>
      <c r="J61">
        <f>SUMIFS('S&amp;L Data'!V2:V500,'S&amp;L Data'!$D2:$D500,"Education Inside the Classroom")+SUMIFS('S&amp;L Data'!V2:V500,'S&amp;L Data'!$D2:$D500,"Education Outside the Classroom")</f>
        <v>219150277</v>
      </c>
      <c r="K61">
        <f>SUMIFS('S&amp;L Data'!W2:W500,'S&amp;L Data'!$D2:$D500,"Education Inside the Classroom")+SUMIFS('S&amp;L Data'!W2:W500,'S&amp;L Data'!$D2:$D500,"Education Outside the Classroom")</f>
        <v>237621607</v>
      </c>
      <c r="L61">
        <f>SUMIFS('S&amp;L Data'!X2:X500,'S&amp;L Data'!$D2:$D500,"Education Inside the Classroom")+SUMIFS('S&amp;L Data'!X2:X500,'S&amp;L Data'!$D2:$D500,"Education Outside the Classroom")</f>
        <v>259409417</v>
      </c>
      <c r="M61">
        <f>SUMIFS('S&amp;L Data'!Y2:Y500,'S&amp;L Data'!$D2:$D500,"Education Inside the Classroom")+SUMIFS('S&amp;L Data'!Y2:Y500,'S&amp;L Data'!$D2:$D500,"Education Outside the Classroom")</f>
        <v>278117859</v>
      </c>
      <c r="N61">
        <f>SUMIFS('S&amp;L Data'!Z2:Z500,'S&amp;L Data'!$D2:$D500,"Education Inside the Classroom")+SUMIFS('S&amp;L Data'!Z2:Z500,'S&amp;L Data'!$D2:$D500,"Education Outside the Classroom")</f>
        <v>290216531</v>
      </c>
      <c r="O61">
        <f>SUMIFS('S&amp;L Data'!AA2:AA500,'S&amp;L Data'!$D2:$D500,"Education Inside the Classroom")+SUMIFS('S&amp;L Data'!AA2:AA500,'S&amp;L Data'!$D2:$D500,"Education Outside the Classroom")</f>
        <v>305022826</v>
      </c>
      <c r="P61">
        <f>SUMIFS('S&amp;L Data'!AB2:AB500,'S&amp;L Data'!$D2:$D500,"Education Inside the Classroom")+SUMIFS('S&amp;L Data'!AB2:AB500,'S&amp;L Data'!$D2:$D500,"Education Outside the Classroom")</f>
        <v>313748034</v>
      </c>
      <c r="Q61">
        <f>SUMIFS('S&amp;L Data'!AC2:AC500,'S&amp;L Data'!$D2:$D500,"Education Inside the Classroom")+SUMIFS('S&amp;L Data'!AC2:AC500,'S&amp;L Data'!$D2:$D500,"Education Outside the Classroom")</f>
        <v>336008895</v>
      </c>
      <c r="R61">
        <f>SUMIFS('S&amp;L Data'!AD2:AD500,'S&amp;L Data'!$D2:$D500,"Education Inside the Classroom")+SUMIFS('S&amp;L Data'!AD2:AD500,'S&amp;L Data'!$D2:$D500,"Education Outside the Classroom")</f>
        <v>354837286</v>
      </c>
      <c r="S61">
        <f>SUMIFS('S&amp;L Data'!AE2:AE500,'S&amp;L Data'!$D2:$D500,"Education Inside the Classroom")+SUMIFS('S&amp;L Data'!AE2:AE500,'S&amp;L Data'!$D2:$D500,"Education Outside the Classroom")</f>
        <v>372596204</v>
      </c>
      <c r="T61">
        <f>SUMIFS('S&amp;L Data'!AF2:AF500,'S&amp;L Data'!$D2:$D500,"Education Inside the Classroom")+SUMIFS('S&amp;L Data'!AF2:AF500,'S&amp;L Data'!$D2:$D500,"Education Outside the Classroom")</f>
        <v>400245205</v>
      </c>
      <c r="U61">
        <f>SUMIFS('S&amp;L Data'!AG2:AG500,'S&amp;L Data'!$D2:$D500,"Education Inside the Classroom")+SUMIFS('S&amp;L Data'!AG2:AG500,'S&amp;L Data'!$D2:$D500,"Education Outside the Classroom")</f>
        <v>429694947</v>
      </c>
      <c r="V61">
        <f>SUMIFS('S&amp;L Data'!AH2:AH500,'S&amp;L Data'!$D2:$D500,"Education Inside the Classroom")+SUMIFS('S&amp;L Data'!AH2:AH500,'S&amp;L Data'!$D2:$D500,"Education Outside the Classroom")</f>
        <v>463205679</v>
      </c>
      <c r="W61">
        <f>SUMIFS('S&amp;L Data'!AI2:AI500,'S&amp;L Data'!$D2:$D500,"Education Inside the Classroom")+SUMIFS('S&amp;L Data'!AI2:AI500,'S&amp;L Data'!$D2:$D500,"Education Outside the Classroom")</f>
        <v>501516420</v>
      </c>
      <c r="X61">
        <f>SUMIFS('S&amp;L Data'!AJ2:AJ500,'S&amp;L Data'!$D2:$D500,"Education Inside the Classroom")+SUMIFS('S&amp;L Data'!AJ2:AJ500,'S&amp;L Data'!$D2:$D500,"Education Outside the Classroom")</f>
        <v>530663565</v>
      </c>
      <c r="Y61">
        <f>SUMIFS('S&amp;L Data'!AK2:AK500,'S&amp;L Data'!$D2:$D500,"Education Inside the Classroom")+SUMIFS('S&amp;L Data'!AK2:AK500,'S&amp;L Data'!$D2:$D500,"Education Outside the Classroom")</f>
        <v>550395095</v>
      </c>
      <c r="Z61">
        <f>SUMIFS('S&amp;L Data'!AL2:AL500,'S&amp;L Data'!$D2:$D500,"Education Inside the Classroom")+SUMIFS('S&amp;L Data'!AL2:AL500,'S&amp;L Data'!$D2:$D500,"Education Outside the Classroom")</f>
        <v>581044204</v>
      </c>
      <c r="AA61">
        <f>SUMIFS('S&amp;L Data'!AM2:AM500,'S&amp;L Data'!$D2:$D500,"Education Inside the Classroom")+SUMIFS('S&amp;L Data'!AM2:AM500,'S&amp;L Data'!$D2:$D500,"Education Outside the Classroom")</f>
        <v>608037525</v>
      </c>
      <c r="AB61">
        <f>SUMIFS('S&amp;L Data'!AN2:AN500,'S&amp;L Data'!$D2:$D500,"Education Inside the Classroom")+SUMIFS('S&amp;L Data'!AN2:AN500,'S&amp;L Data'!$D2:$D500,"Education Outside the Classroom")</f>
        <v>641008656</v>
      </c>
      <c r="AC61">
        <f>SUMIFS('S&amp;L Data'!AO2:AO500,'S&amp;L Data'!$D2:$D500,"Education Inside the Classroom")+SUMIFS('S&amp;L Data'!AO2:AO500,'S&amp;L Data'!$D2:$D500,"Education Outside the Classroom")</f>
        <v>682952146</v>
      </c>
      <c r="AD61">
        <f>SUMIFS('S&amp;L Data'!AP2:AP500,'S&amp;L Data'!$D2:$D500,"Education Inside the Classroom")+SUMIFS('S&amp;L Data'!AP2:AP500,'S&amp;L Data'!$D2:$D500,"Education Outside the Classroom")</f>
        <v>728776677</v>
      </c>
      <c r="AE61">
        <f>SUMIFS('S&amp;L Data'!AQ2:AQ500,'S&amp;L Data'!$D2:$D500,"Education Inside the Classroom")+SUMIFS('S&amp;L Data'!AQ2:AQ500,'S&amp;L Data'!$D2:$D500,"Education Outside the Classroom")</f>
        <v>747579083</v>
      </c>
      <c r="AF61">
        <f>SUMIFS('S&amp;L Data'!AR2:AR500,'S&amp;L Data'!$D2:$D500,"Education Inside the Classroom")+SUMIFS('S&amp;L Data'!AR2:AR500,'S&amp;L Data'!$D2:$D500,"Education Outside the Classroom")</f>
        <v>749970217</v>
      </c>
      <c r="AG61">
        <f>SUMIFS('S&amp;L Data'!AS2:AS500,'S&amp;L Data'!$D2:$D500,"Education Inside the Classroom")+SUMIFS('S&amp;L Data'!AS2:AS500,'S&amp;L Data'!$D2:$D500,"Education Outside the Classroom")</f>
        <v>743869381</v>
      </c>
      <c r="AH61">
        <f>SUMIFS('S&amp;L Data'!AT2:AT500,'S&amp;L Data'!$D2:$D500,"Education Inside the Classroom")+SUMIFS('S&amp;L Data'!AT2:AT500,'S&amp;L Data'!$D2:$D500,"Education Outside the Classroom")</f>
        <v>766103398</v>
      </c>
      <c r="AI61">
        <f>SUMIFS('S&amp;L Data'!AU2:AU500,'S&amp;L Data'!$D2:$D500,"Education Inside the Classroom")+SUMIFS('S&amp;L Data'!AU2:AU500,'S&amp;L Data'!$D2:$D500,"Education Outside the Classroom")</f>
        <v>769804450</v>
      </c>
      <c r="AJ61">
        <f>SUMIFS('S&amp;L Data'!AV2:AV500,'S&amp;L Data'!$D2:$D500,"Education Inside the Classroom")+SUMIFS('S&amp;L Data'!AV2:AV500,'S&amp;L Data'!$D2:$D500,"Education Outside the Classroom")</f>
        <v>794723005</v>
      </c>
    </row>
    <row r="62" spans="1:36">
      <c r="A62" s="4" t="s">
        <v>44</v>
      </c>
      <c r="B62">
        <f>SUMIFS('S&amp;L Data'!N2:N500,'S&amp;L Data'!$D2:$D500,"Education Inside the Classroom")</f>
        <v>119454321</v>
      </c>
      <c r="C62">
        <f>SUMIFS('S&amp;L Data'!O2:O500,'S&amp;L Data'!$D2:$D500,"Education Inside the Classroom")</f>
        <v>130458655</v>
      </c>
      <c r="D62">
        <f>SUMIFS('S&amp;L Data'!P2:P500,'S&amp;L Data'!$D2:$D500,"Education Inside the Classroom")</f>
        <v>137184443</v>
      </c>
      <c r="E62">
        <f>SUMIFS('S&amp;L Data'!Q2:Q500,'S&amp;L Data'!$D2:$D500,"Education Inside the Classroom")</f>
        <v>145046501</v>
      </c>
      <c r="F62">
        <f>SUMIFS('S&amp;L Data'!R2:R500,'S&amp;L Data'!$D2:$D500,"Education Inside the Classroom")</f>
        <v>155493407</v>
      </c>
      <c r="G62">
        <f>SUMIFS('S&amp;L Data'!S2:S500,'S&amp;L Data'!$D2:$D500,"Education Inside the Classroom")</f>
        <v>170728411</v>
      </c>
      <c r="H62">
        <f>SUMIFS('S&amp;L Data'!T2:T500,'S&amp;L Data'!$D2:$D500,"Education Inside the Classroom")</f>
        <v>187073186</v>
      </c>
      <c r="I62">
        <f>SUMIFS('S&amp;L Data'!U2:U500,'S&amp;L Data'!$D2:$D500,"Education Inside the Classroom")</f>
        <v>201630514</v>
      </c>
      <c r="J62">
        <f>SUMIFS('S&amp;L Data'!V2:V500,'S&amp;L Data'!$D2:$D500,"Education Inside the Classroom")</f>
        <v>215649530</v>
      </c>
      <c r="K62">
        <f>SUMIFS('S&amp;L Data'!W2:W500,'S&amp;L Data'!$D2:$D500,"Education Inside the Classroom")</f>
        <v>233838156</v>
      </c>
      <c r="L62">
        <f>SUMIFS('S&amp;L Data'!X2:X500,'S&amp;L Data'!$D2:$D500,"Education Inside the Classroom")</f>
        <v>255307603</v>
      </c>
      <c r="M62">
        <f>SUMIFS('S&amp;L Data'!Y2:Y500,'S&amp;L Data'!$D2:$D500,"Education Inside the Classroom")</f>
        <v>273675722</v>
      </c>
      <c r="N62">
        <f>SUMIFS('S&amp;L Data'!Z2:Z500,'S&amp;L Data'!$D2:$D500,"Education Inside the Classroom")</f>
        <v>285506613</v>
      </c>
      <c r="O62">
        <f>SUMIFS('S&amp;L Data'!AA2:AA500,'S&amp;L Data'!$D2:$D500,"Education Inside the Classroom")</f>
        <v>300360379</v>
      </c>
      <c r="P62">
        <f>SUMIFS('S&amp;L Data'!AB2:AB500,'S&amp;L Data'!$D2:$D500,"Education Inside the Classroom")</f>
        <v>308793901</v>
      </c>
      <c r="Q62">
        <f>SUMIFS('S&amp;L Data'!AC2:AC500,'S&amp;L Data'!$D2:$D500,"Education Inside the Classroom")</f>
        <v>330724218</v>
      </c>
      <c r="R62">
        <f>SUMIFS('S&amp;L Data'!AD2:AD500,'S&amp;L Data'!$D2:$D500,"Education Inside the Classroom")</f>
        <v>349117247</v>
      </c>
      <c r="S62">
        <f>SUMIFS('S&amp;L Data'!AE2:AE500,'S&amp;L Data'!$D2:$D500,"Education Inside the Classroom")</f>
        <v>366303685</v>
      </c>
      <c r="T62">
        <f>SUMIFS('S&amp;L Data'!AF2:AF500,'S&amp;L Data'!$D2:$D500,"Education Inside the Classroom")</f>
        <v>393676082</v>
      </c>
      <c r="U62">
        <f>SUMIFS('S&amp;L Data'!AG2:AG500,'S&amp;L Data'!$D2:$D500,"Education Inside the Classroom")</f>
        <v>422853965</v>
      </c>
      <c r="V62">
        <f>SUMIFS('S&amp;L Data'!AH2:AH500,'S&amp;L Data'!$D2:$D500,"Education Inside the Classroom")</f>
        <v>456050323</v>
      </c>
      <c r="W62">
        <f>SUMIFS('S&amp;L Data'!AI2:AI500,'S&amp;L Data'!$D2:$D500,"Education Inside the Classroom")</f>
        <v>493714329</v>
      </c>
      <c r="X62">
        <f>SUMIFS('S&amp;L Data'!AJ2:AJ500,'S&amp;L Data'!$D2:$D500,"Education Inside the Classroom")</f>
        <v>522403494</v>
      </c>
      <c r="Y62">
        <f>SUMIFS('S&amp;L Data'!AK2:AK500,'S&amp;L Data'!$D2:$D500,"Education Inside the Classroom")</f>
        <v>542813411</v>
      </c>
      <c r="Z62">
        <f>SUMIFS('S&amp;L Data'!AL2:AL500,'S&amp;L Data'!$D2:$D500,"Education Inside the Classroom")</f>
        <v>571755621</v>
      </c>
      <c r="AA62">
        <f>SUMIFS('S&amp;L Data'!AM2:AM500,'S&amp;L Data'!$D2:$D500,"Education Inside the Classroom")</f>
        <v>598245147</v>
      </c>
      <c r="AB62">
        <f>SUMIFS('S&amp;L Data'!AN2:AN500,'S&amp;L Data'!$D2:$D500,"Education Inside the Classroom")</f>
        <v>632120996</v>
      </c>
      <c r="AC62">
        <f>SUMIFS('S&amp;L Data'!AO2:AO500,'S&amp;L Data'!$D2:$D500,"Education Inside the Classroom")</f>
        <v>672186206</v>
      </c>
      <c r="AD62">
        <f>SUMIFS('S&amp;L Data'!AP2:AP500,'S&amp;L Data'!$D2:$D500,"Education Inside the Classroom")</f>
        <v>717255487</v>
      </c>
      <c r="AE62">
        <f>SUMIFS('S&amp;L Data'!AQ2:AQ500,'S&amp;L Data'!$D2:$D500,"Education Inside the Classroom")</f>
        <v>736448822</v>
      </c>
      <c r="AF62">
        <f>SUMIFS('S&amp;L Data'!AR2:AR500,'S&amp;L Data'!$D2:$D500,"Education Inside the Classroom")</f>
        <v>738979205</v>
      </c>
      <c r="AG62">
        <f>SUMIFS('S&amp;L Data'!AS2:AS500,'S&amp;L Data'!$D2:$D500,"Education Inside the Classroom")</f>
        <v>733170870</v>
      </c>
      <c r="AH62">
        <f>SUMIFS('S&amp;L Data'!AT2:AT500,'S&amp;L Data'!$D2:$D500,"Education Inside the Classroom")</f>
        <v>754643667</v>
      </c>
      <c r="AI62">
        <f>SUMIFS('S&amp;L Data'!AU2:AU500,'S&amp;L Data'!$D2:$D500,"Education Inside the Classroom")</f>
        <v>758653999</v>
      </c>
      <c r="AJ62">
        <f>SUMIFS('S&amp;L Data'!AV2:AV500,'S&amp;L Data'!$D2:$D500,"Education Inside the Classroom")</f>
        <v>783564716</v>
      </c>
    </row>
    <row r="63" spans="1:36">
      <c r="A63" s="5" t="s">
        <v>289</v>
      </c>
      <c r="B63">
        <f>SUMIFS('S&amp;L Data'!N2:N500,'S&amp;L Data'!$E2:$E500,"Elementary and Secondary Education")</f>
        <v>91878286</v>
      </c>
      <c r="C63">
        <f>SUMIFS('S&amp;L Data'!O2:O500,'S&amp;L Data'!$E2:$E500,"Elementary and Secondary Education")</f>
        <v>99521862</v>
      </c>
      <c r="D63">
        <f>SUMIFS('S&amp;L Data'!P2:P500,'S&amp;L Data'!$E2:$E500,"Elementary and Secondary Education")</f>
        <v>104841980</v>
      </c>
      <c r="E63">
        <f>SUMIFS('S&amp;L Data'!Q2:Q500,'S&amp;L Data'!$E2:$E500,"Elementary and Secondary Education")</f>
        <v>111714345</v>
      </c>
      <c r="F63">
        <f>SUMIFS('S&amp;L Data'!R2:R500,'S&amp;L Data'!$E2:$E500,"Elementary and Secondary Education")</f>
        <v>119577524</v>
      </c>
      <c r="G63">
        <f>SUMIFS('S&amp;L Data'!S2:S500,'S&amp;L Data'!$E2:$E500,"Elementary and Secondary Education")</f>
        <v>130867116</v>
      </c>
      <c r="H63">
        <f>SUMIFS('S&amp;L Data'!T2:T500,'S&amp;L Data'!$E2:$E500,"Elementary and Secondary Education")</f>
        <v>144148137</v>
      </c>
      <c r="I63">
        <f>SUMIFS('S&amp;L Data'!U2:U500,'S&amp;L Data'!$E2:$E500,"Elementary and Secondary Education")</f>
        <v>156139518</v>
      </c>
      <c r="J63">
        <f>SUMIFS('S&amp;L Data'!V2:V500,'S&amp;L Data'!$E2:$E500,"Elementary and Secondary Education")</f>
        <v>168366811</v>
      </c>
      <c r="K63">
        <f>SUMIFS('S&amp;L Data'!W2:W500,'S&amp;L Data'!$E2:$E500,"Elementary and Secondary Education")</f>
        <v>183398503</v>
      </c>
      <c r="L63">
        <f>SUMIFS('S&amp;L Data'!X2:X500,'S&amp;L Data'!$E2:$E500,"Elementary and Secondary Education")</f>
        <v>200436227</v>
      </c>
      <c r="M63">
        <f>SUMIFS('S&amp;L Data'!Y2:Y500,'S&amp;L Data'!$E2:$E500,"Elementary and Secondary Education")</f>
        <v>216399102</v>
      </c>
      <c r="N63">
        <f>SUMIFS('S&amp;L Data'!Z2:Z500,'S&amp;L Data'!$E2:$E500,"Elementary and Secondary Education")</f>
        <v>225873520</v>
      </c>
      <c r="O63">
        <f>SUMIFS('S&amp;L Data'!AA2:AA500,'S&amp;L Data'!$E2:$E500,"Elementary and Secondary Education")</f>
        <v>239548787</v>
      </c>
      <c r="P63">
        <f>SUMIFS('S&amp;L Data'!AB2:AB500,'S&amp;L Data'!$E2:$E500,"Elementary and Secondary Education")</f>
        <v>246526230</v>
      </c>
      <c r="Q63">
        <f>SUMIFS('S&amp;L Data'!AC2:AC500,'S&amp;L Data'!$E2:$E500,"Elementary and Secondary Education")</f>
        <v>264507206</v>
      </c>
      <c r="R63">
        <f>SUMIFS('S&amp;L Data'!AD2:AD500,'S&amp;L Data'!$E2:$E500,"Elementary and Secondary Education")</f>
        <v>280378469</v>
      </c>
      <c r="S63">
        <f>SUMIFS('S&amp;L Data'!AE2:AE500,'S&amp;L Data'!$E2:$E500,"Elementary and Secondary Education")</f>
        <v>294817894</v>
      </c>
      <c r="T63">
        <f>SUMIFS('S&amp;L Data'!AF2:AF500,'S&amp;L Data'!$E2:$E500,"Elementary and Secondary Education")</f>
        <v>318289990</v>
      </c>
      <c r="U63">
        <f>SUMIFS('S&amp;L Data'!AG2:AG500,'S&amp;L Data'!$E2:$E500,"Elementary and Secondary Education")</f>
        <v>340215405</v>
      </c>
      <c r="V63">
        <f>SUMIFS('S&amp;L Data'!AH2:AH500,'S&amp;L Data'!$E2:$E500,"Elementary and Secondary Education")</f>
        <v>365624809</v>
      </c>
      <c r="W63">
        <f>SUMIFS('S&amp;L Data'!AI2:AI500,'S&amp;L Data'!$E2:$E500,"Elementary and Secondary Education")</f>
        <v>393822363</v>
      </c>
      <c r="X63">
        <f>SUMIFS('S&amp;L Data'!AJ2:AJ500,'S&amp;L Data'!$E2:$E500,"Elementary and Secondary Education")</f>
        <v>413905575</v>
      </c>
      <c r="Y63">
        <f>SUMIFS('S&amp;L Data'!AK2:AK500,'S&amp;L Data'!$E2:$E500,"Elementary and Secondary Education")</f>
        <v>431230698</v>
      </c>
      <c r="Z63">
        <f>SUMIFS('S&amp;L Data'!AL2:AL500,'S&amp;L Data'!$E2:$E500,"Elementary and Secondary Education")</f>
        <v>455364585</v>
      </c>
      <c r="AA63">
        <f>SUMIFS('S&amp;L Data'!AM2:AM500,'S&amp;L Data'!$E2:$E500,"Elementary and Secondary Education")</f>
        <v>478140102</v>
      </c>
      <c r="AB63">
        <f>SUMIFS('S&amp;L Data'!AN2:AN500,'S&amp;L Data'!$E2:$E500,"Elementary and Secondary Education")</f>
        <v>506849584</v>
      </c>
      <c r="AC63">
        <f>SUMIFS('S&amp;L Data'!AO2:AO500,'S&amp;L Data'!$E2:$E500,"Elementary and Secondary Education")</f>
        <v>539426458</v>
      </c>
      <c r="AD63">
        <f>SUMIFS('S&amp;L Data'!AP2:AP500,'S&amp;L Data'!$E2:$E500,"Elementary and Secondary Education")</f>
        <v>571134344</v>
      </c>
      <c r="AE63">
        <f>SUMIFS('S&amp;L Data'!AQ2:AQ500,'S&amp;L Data'!$E2:$E500,"Elementary and Secondary Education")</f>
        <v>584886702</v>
      </c>
      <c r="AF63">
        <f>SUMIFS('S&amp;L Data'!AR2:AR500,'S&amp;L Data'!$E2:$E500,"Elementary and Secondary Education")</f>
        <v>582942574</v>
      </c>
      <c r="AG63">
        <f>SUMIFS('S&amp;L Data'!AS2:AS500,'S&amp;L Data'!$E2:$E500,"Elementary and Secondary Education")</f>
        <v>576200339</v>
      </c>
      <c r="AH63">
        <f>SUMIFS('S&amp;L Data'!AT2:AT500,'S&amp;L Data'!$E2:$E500,"Elementary and Secondary Education")</f>
        <v>577011319</v>
      </c>
      <c r="AI63">
        <f>SUMIFS('S&amp;L Data'!AU2:AU500,'S&amp;L Data'!$E2:$E500,"Elementary and Secondary Education")</f>
        <v>582482623</v>
      </c>
      <c r="AJ63">
        <f>SUMIFS('S&amp;L Data'!AV2:AV500,'S&amp;L Data'!$E2:$E500,"Elementary and Secondary Education")</f>
        <v>601189209</v>
      </c>
    </row>
    <row r="64" spans="1:36">
      <c r="A64" s="5" t="s">
        <v>288</v>
      </c>
      <c r="B64">
        <f>SUMIFS('S&amp;L Data'!N2:N500,'S&amp;L Data'!$E2:$E500,"Higher Education")</f>
        <v>23510656</v>
      </c>
      <c r="C64">
        <f>SUMIFS('S&amp;L Data'!O2:O500,'S&amp;L Data'!$E2:$E500,"Higher Education")</f>
        <v>26311278</v>
      </c>
      <c r="D64">
        <f>SUMIFS('S&amp;L Data'!P2:P500,'S&amp;L Data'!$E2:$E500,"Higher Education")</f>
        <v>28045349</v>
      </c>
      <c r="E64">
        <f>SUMIFS('S&amp;L Data'!Q2:Q500,'S&amp;L Data'!$E2:$E500,"Higher Education")</f>
        <v>29011915</v>
      </c>
      <c r="F64">
        <f>SUMIFS('S&amp;L Data'!R2:R500,'S&amp;L Data'!$E2:$E500,"Higher Education")</f>
        <v>31250795</v>
      </c>
      <c r="G64">
        <f>SUMIFS('S&amp;L Data'!S2:S500,'S&amp;L Data'!$E2:$E500,"Higher Education")</f>
        <v>34782333</v>
      </c>
      <c r="H64">
        <f>SUMIFS('S&amp;L Data'!T2:T500,'S&amp;L Data'!$E2:$E500,"Higher Education")</f>
        <v>37474836</v>
      </c>
      <c r="I64">
        <f>SUMIFS('S&amp;L Data'!U2:U500,'S&amp;L Data'!$E2:$E500,"Higher Education")</f>
        <v>39829454</v>
      </c>
      <c r="J64">
        <f>SUMIFS('S&amp;L Data'!V2:V500,'S&amp;L Data'!$E2:$E500,"Higher Education")</f>
        <v>41023776</v>
      </c>
      <c r="K64">
        <f>SUMIFS('S&amp;L Data'!W2:W500,'S&amp;L Data'!$E2:$E500,"Higher Education")</f>
        <v>43500898</v>
      </c>
      <c r="L64">
        <f>SUMIFS('S&amp;L Data'!X2:X500,'S&amp;L Data'!$E2:$E500,"Higher Education")</f>
        <v>47078872</v>
      </c>
      <c r="M64">
        <f>SUMIFS('S&amp;L Data'!Y2:Y500,'S&amp;L Data'!$E2:$E500,"Higher Education")</f>
        <v>49897850</v>
      </c>
      <c r="N64">
        <f>SUMIFS('S&amp;L Data'!Z2:Z500,'S&amp;L Data'!$E2:$E500,"Higher Education")</f>
        <v>52109177</v>
      </c>
      <c r="O64">
        <f>SUMIFS('S&amp;L Data'!AA2:AA500,'S&amp;L Data'!$E2:$E500,"Higher Education")</f>
        <v>53153548</v>
      </c>
      <c r="P64">
        <f>SUMIFS('S&amp;L Data'!AB2:AB500,'S&amp;L Data'!$E2:$E500,"Higher Education")</f>
        <v>53811952</v>
      </c>
      <c r="Q64">
        <f>SUMIFS('S&amp;L Data'!AC2:AC500,'S&amp;L Data'!$E2:$E500,"Higher Education")</f>
        <v>57297710</v>
      </c>
      <c r="R64">
        <f>SUMIFS('S&amp;L Data'!AD2:AD500,'S&amp;L Data'!$E2:$E500,"Higher Education")</f>
        <v>59189988</v>
      </c>
      <c r="S64">
        <f>SUMIFS('S&amp;L Data'!AE2:AE500,'S&amp;L Data'!$E2:$E500,"Higher Education")</f>
        <v>61829911</v>
      </c>
      <c r="T64">
        <f>SUMIFS('S&amp;L Data'!AF2:AF500,'S&amp;L Data'!$E2:$E500,"Higher Education")</f>
        <v>65370084</v>
      </c>
      <c r="U64">
        <f>SUMIFS('S&amp;L Data'!AG2:AG500,'S&amp;L Data'!$E2:$E500,"Higher Education")</f>
        <v>72049963</v>
      </c>
      <c r="V64">
        <f>SUMIFS('S&amp;L Data'!AH2:AH500,'S&amp;L Data'!$E2:$E500,"Higher Education")</f>
        <v>79059205</v>
      </c>
      <c r="W64">
        <f>SUMIFS('S&amp;L Data'!AI2:AI500,'S&amp;L Data'!$E2:$E500,"Higher Education")</f>
        <v>87021971</v>
      </c>
      <c r="X64">
        <f>SUMIFS('S&amp;L Data'!AJ2:AJ500,'S&amp;L Data'!$E2:$E500,"Higher Education")</f>
        <v>95495625</v>
      </c>
      <c r="Y64">
        <f>SUMIFS('S&amp;L Data'!AK2:AK500,'S&amp;L Data'!$E2:$E500,"Higher Education")</f>
        <v>97355570</v>
      </c>
      <c r="Z64">
        <f>SUMIFS('S&amp;L Data'!AL2:AL500,'S&amp;L Data'!$E2:$E500,"Higher Education")</f>
        <v>101943499</v>
      </c>
      <c r="AA64">
        <f>SUMIFS('S&amp;L Data'!AM2:AM500,'S&amp;L Data'!$E2:$E500,"Higher Education")</f>
        <v>105406713</v>
      </c>
      <c r="AB64">
        <f>SUMIFS('S&amp;L Data'!AN2:AN500,'S&amp;L Data'!$E2:$E500,"Higher Education")</f>
        <v>109562107</v>
      </c>
      <c r="AC64">
        <f>SUMIFS('S&amp;L Data'!AO2:AO500,'S&amp;L Data'!$E2:$E500,"Higher Education")</f>
        <v>117501686</v>
      </c>
      <c r="AD64">
        <f>SUMIFS('S&amp;L Data'!AP2:AP500,'S&amp;L Data'!$E2:$E500,"Higher Education")</f>
        <v>129954447</v>
      </c>
      <c r="AE64">
        <f>SUMIFS('S&amp;L Data'!AQ2:AQ500,'S&amp;L Data'!$E2:$E500,"Higher Education")</f>
        <v>135155241</v>
      </c>
      <c r="AF64">
        <f>SUMIFS('S&amp;L Data'!AR2:AR500,'S&amp;L Data'!$E2:$E500,"Higher Education")</f>
        <v>137999872</v>
      </c>
      <c r="AG64">
        <f>SUMIFS('S&amp;L Data'!AS2:AS500,'S&amp;L Data'!$E2:$E500,"Higher Education")</f>
        <v>139241220</v>
      </c>
      <c r="AH64">
        <f>SUMIFS('S&amp;L Data'!AT2:AT500,'S&amp;L Data'!$E2:$E500,"Higher Education")</f>
        <v>160615261</v>
      </c>
      <c r="AI64">
        <f>SUMIFS('S&amp;L Data'!AU2:AU500,'S&amp;L Data'!$E2:$E500,"Higher Education")</f>
        <v>158986758</v>
      </c>
      <c r="AJ64">
        <f>SUMIFS('S&amp;L Data'!AV2:AV500,'S&amp;L Data'!$E2:$E500,"Higher Education")</f>
        <v>164109632</v>
      </c>
    </row>
    <row r="65" spans="1:36">
      <c r="A65" s="5" t="s">
        <v>48</v>
      </c>
      <c r="B65">
        <f>SUMIFS('S&amp;L Data'!N2:N500,'S&amp;L Data'!$E2:$E500,"Education Unallocable")</f>
        <v>4065379</v>
      </c>
      <c r="C65">
        <f>SUMIFS('S&amp;L Data'!O2:O500,'S&amp;L Data'!$E2:$E500,"Education Unallocable")</f>
        <v>4625515</v>
      </c>
      <c r="D65">
        <f>SUMIFS('S&amp;L Data'!P2:P500,'S&amp;L Data'!$E2:$E500,"Education Unallocable")</f>
        <v>4297114</v>
      </c>
      <c r="E65">
        <f>SUMIFS('S&amp;L Data'!Q2:Q500,'S&amp;L Data'!$E2:$E500,"Education Unallocable")</f>
        <v>4320241</v>
      </c>
      <c r="F65">
        <f>SUMIFS('S&amp;L Data'!R2:R500,'S&amp;L Data'!$E2:$E500,"Education Unallocable")</f>
        <v>4665088</v>
      </c>
      <c r="G65">
        <f>SUMIFS('S&amp;L Data'!S2:S500,'S&amp;L Data'!$E2:$E500,"Education Unallocable")</f>
        <v>5078962</v>
      </c>
      <c r="H65">
        <f>SUMIFS('S&amp;L Data'!T2:T500,'S&amp;L Data'!$E2:$E500,"Education Unallocable")</f>
        <v>5450213</v>
      </c>
      <c r="I65">
        <f>SUMIFS('S&amp;L Data'!U2:U500,'S&amp;L Data'!$E2:$E500,"Education Unallocable")</f>
        <v>5661542</v>
      </c>
      <c r="J65">
        <f>SUMIFS('S&amp;L Data'!V2:V500,'S&amp;L Data'!$E2:$E500,"Education Unallocable")</f>
        <v>6258943</v>
      </c>
      <c r="K65">
        <f>SUMIFS('S&amp;L Data'!W2:W500,'S&amp;L Data'!$E2:$E500,"Education Unallocable")</f>
        <v>6938755</v>
      </c>
      <c r="L65">
        <f>SUMIFS('S&amp;L Data'!X2:X500,'S&amp;L Data'!$E2:$E500,"Education Unallocable")</f>
        <v>7792504</v>
      </c>
      <c r="M65">
        <f>SUMIFS('S&amp;L Data'!Y2:Y500,'S&amp;L Data'!$E2:$E500,"Education Unallocable")</f>
        <v>7378770</v>
      </c>
      <c r="N65">
        <f>SUMIFS('S&amp;L Data'!Z2:Z500,'S&amp;L Data'!$E2:$E500,"Education Unallocable")</f>
        <v>7523916</v>
      </c>
      <c r="O65">
        <f>SUMIFS('S&amp;L Data'!AA2:AA500,'S&amp;L Data'!$E2:$E500,"Education Unallocable")</f>
        <v>7658044</v>
      </c>
      <c r="P65">
        <f>SUMIFS('S&amp;L Data'!AB2:AB500,'S&amp;L Data'!$E2:$E500,"Education Unallocable")</f>
        <v>8455719</v>
      </c>
      <c r="Q65">
        <f>SUMIFS('S&amp;L Data'!AC2:AC500,'S&amp;L Data'!$E2:$E500,"Education Unallocable")</f>
        <v>8919302</v>
      </c>
      <c r="R65">
        <f>SUMIFS('S&amp;L Data'!AD2:AD500,'S&amp;L Data'!$E2:$E500,"Education Unallocable")</f>
        <v>9548790</v>
      </c>
      <c r="S65">
        <f>SUMIFS('S&amp;L Data'!AE2:AE500,'S&amp;L Data'!$E2:$E500,"Education Unallocable")</f>
        <v>9655880</v>
      </c>
      <c r="T65">
        <f>SUMIFS('S&amp;L Data'!AF2:AF500,'S&amp;L Data'!$E2:$E500,"Education Unallocable")</f>
        <v>10016008</v>
      </c>
      <c r="U65">
        <f>SUMIFS('S&amp;L Data'!AG2:AG500,'S&amp;L Data'!$E2:$E500,"Education Unallocable")</f>
        <v>10588597</v>
      </c>
      <c r="V65">
        <f>SUMIFS('S&amp;L Data'!AH2:AH500,'S&amp;L Data'!$E2:$E500,"Education Unallocable")</f>
        <v>11366309</v>
      </c>
      <c r="W65">
        <f>SUMIFS('S&amp;L Data'!AI2:AI500,'S&amp;L Data'!$E2:$E500,"Education Unallocable")</f>
        <v>12869995</v>
      </c>
      <c r="X65">
        <f>SUMIFS('S&amp;L Data'!AJ2:AJ500,'S&amp;L Data'!$E2:$E500,"Education Unallocable")</f>
        <v>13002294</v>
      </c>
      <c r="Y65">
        <f>SUMIFS('S&amp;L Data'!AK2:AK500,'S&amp;L Data'!$E2:$E500,"Education Unallocable")</f>
        <v>14227143</v>
      </c>
      <c r="Z65">
        <f>SUMIFS('S&amp;L Data'!AL2:AL500,'S&amp;L Data'!$E2:$E500,"Education Unallocable")</f>
        <v>14447537</v>
      </c>
      <c r="AA65">
        <f>SUMIFS('S&amp;L Data'!AM2:AM500,'S&amp;L Data'!$E2:$E500,"Education Unallocable")</f>
        <v>14698332</v>
      </c>
      <c r="AB65">
        <f>SUMIFS('S&amp;L Data'!AN2:AN500,'S&amp;L Data'!$E2:$E500,"Education Unallocable")</f>
        <v>15709305</v>
      </c>
      <c r="AC65">
        <f>SUMIFS('S&amp;L Data'!AO2:AO500,'S&amp;L Data'!$E2:$E500,"Education Unallocable")</f>
        <v>15258062</v>
      </c>
      <c r="AD65">
        <f>SUMIFS('S&amp;L Data'!AP2:AP500,'S&amp;L Data'!$E2:$E500,"Education Unallocable")</f>
        <v>16166696</v>
      </c>
      <c r="AE65">
        <f>SUMIFS('S&amp;L Data'!AQ2:AQ500,'S&amp;L Data'!$E2:$E500,"Education Unallocable")</f>
        <v>16406879</v>
      </c>
      <c r="AF65">
        <f>SUMIFS('S&amp;L Data'!AR2:AR500,'S&amp;L Data'!$E2:$E500,"Education Unallocable")</f>
        <v>18036759</v>
      </c>
      <c r="AG65">
        <f>SUMIFS('S&amp;L Data'!AS2:AS500,'S&amp;L Data'!$E2:$E500,"Education Unallocable")</f>
        <v>17729311</v>
      </c>
      <c r="AH65">
        <f>SUMIFS('S&amp;L Data'!AT2:AT500,'S&amp;L Data'!$E2:$E500,"Education Unallocable")</f>
        <v>17017087</v>
      </c>
      <c r="AI65">
        <f>SUMIFS('S&amp;L Data'!AU2:AU500,'S&amp;L Data'!$E2:$E500,"Education Unallocable")</f>
        <v>17184618</v>
      </c>
      <c r="AJ65">
        <f>SUMIFS('S&amp;L Data'!AV2:AV500,'S&amp;L Data'!$E2:$E500,"Education Unallocable")</f>
        <v>18265875</v>
      </c>
    </row>
    <row r="66" spans="1:36">
      <c r="A66" s="4" t="s">
        <v>129</v>
      </c>
      <c r="B66">
        <f>SUMIFS('S&amp;L Data'!N2:N500,'S&amp;L Data'!$D2:$D500,"Education Outside the Classroom")</f>
        <v>1693627</v>
      </c>
      <c r="C66">
        <f>SUMIFS('S&amp;L Data'!O2:O500,'S&amp;L Data'!$D2:$D500,"Education Outside the Classroom")</f>
        <v>1865190</v>
      </c>
      <c r="D66">
        <f>SUMIFS('S&amp;L Data'!P2:P500,'S&amp;L Data'!$D2:$D500,"Education Outside the Classroom")</f>
        <v>2012593</v>
      </c>
      <c r="E66">
        <f>SUMIFS('S&amp;L Data'!Q2:Q500,'S&amp;L Data'!$D2:$D500,"Education Outside the Classroom")</f>
        <v>2213222</v>
      </c>
      <c r="F66">
        <f>SUMIFS('S&amp;L Data'!R2:R500,'S&amp;L Data'!$D2:$D500,"Education Outside the Classroom")</f>
        <v>2412517</v>
      </c>
      <c r="G66">
        <f>SUMIFS('S&amp;L Data'!S2:S500,'S&amp;L Data'!$D2:$D500,"Education Outside the Classroom")</f>
        <v>2699929</v>
      </c>
      <c r="H66">
        <f>SUMIFS('S&amp;L Data'!T2:T500,'S&amp;L Data'!$D2:$D500,"Education Outside the Classroom")</f>
        <v>2947501</v>
      </c>
      <c r="I66">
        <f>SUMIFS('S&amp;L Data'!U2:U500,'S&amp;L Data'!$D2:$D500,"Education Outside the Classroom")</f>
        <v>3297578</v>
      </c>
      <c r="J66">
        <f>SUMIFS('S&amp;L Data'!V2:V500,'S&amp;L Data'!$D2:$D500,"Education Outside the Classroom")</f>
        <v>3500747</v>
      </c>
      <c r="K66">
        <f>SUMIFS('S&amp;L Data'!W2:W500,'S&amp;L Data'!$D2:$D500,"Education Outside the Classroom")</f>
        <v>3783451</v>
      </c>
      <c r="L66">
        <f>SUMIFS('S&amp;L Data'!X2:X500,'S&amp;L Data'!$D2:$D500,"Education Outside the Classroom")</f>
        <v>4101814</v>
      </c>
      <c r="M66">
        <f>SUMIFS('S&amp;L Data'!Y2:Y500,'S&amp;L Data'!$D2:$D500,"Education Outside the Classroom")</f>
        <v>4442137</v>
      </c>
      <c r="N66">
        <f>SUMIFS('S&amp;L Data'!Z2:Z500,'S&amp;L Data'!$D2:$D500,"Education Outside the Classroom")</f>
        <v>4709918</v>
      </c>
      <c r="O66">
        <f>SUMIFS('S&amp;L Data'!AA2:AA500,'S&amp;L Data'!$D2:$D500,"Education Outside the Classroom")</f>
        <v>4662447</v>
      </c>
      <c r="P66">
        <f>SUMIFS('S&amp;L Data'!AB2:AB500,'S&amp;L Data'!$D2:$D500,"Education Outside the Classroom")</f>
        <v>4954133</v>
      </c>
      <c r="Q66">
        <f>SUMIFS('S&amp;L Data'!AC2:AC500,'S&amp;L Data'!$D2:$D500,"Education Outside the Classroom")</f>
        <v>5284677</v>
      </c>
      <c r="R66">
        <f>SUMIFS('S&amp;L Data'!AD2:AD500,'S&amp;L Data'!$D2:$D500,"Education Outside the Classroom")</f>
        <v>5720039</v>
      </c>
      <c r="S66">
        <f>SUMIFS('S&amp;L Data'!AE2:AE500,'S&amp;L Data'!$D2:$D500,"Education Outside the Classroom")</f>
        <v>6292519</v>
      </c>
      <c r="T66">
        <f>SUMIFS('S&amp;L Data'!AF2:AF500,'S&amp;L Data'!$D2:$D500,"Education Outside the Classroom")</f>
        <v>6569123</v>
      </c>
      <c r="U66">
        <f>SUMIFS('S&amp;L Data'!AG2:AG500,'S&amp;L Data'!$D2:$D500,"Education Outside the Classroom")</f>
        <v>6840982</v>
      </c>
      <c r="V66">
        <f>SUMIFS('S&amp;L Data'!AH2:AH500,'S&amp;L Data'!$D2:$D500,"Education Outside the Classroom")</f>
        <v>7155356</v>
      </c>
      <c r="W66">
        <f>SUMIFS('S&amp;L Data'!AI2:AI500,'S&amp;L Data'!$D2:$D500,"Education Outside the Classroom")</f>
        <v>7802091</v>
      </c>
      <c r="X66">
        <f>SUMIFS('S&amp;L Data'!AJ2:AJ500,'S&amp;L Data'!$D2:$D500,"Education Outside the Classroom")</f>
        <v>8260071</v>
      </c>
      <c r="Y66">
        <f>SUMIFS('S&amp;L Data'!AK2:AK500,'S&amp;L Data'!$D2:$D500,"Education Outside the Classroom")</f>
        <v>7581684</v>
      </c>
      <c r="Z66">
        <f>SUMIFS('S&amp;L Data'!AL2:AL500,'S&amp;L Data'!$D2:$D500,"Education Outside the Classroom")</f>
        <v>9288583</v>
      </c>
      <c r="AA66">
        <f>SUMIFS('S&amp;L Data'!AM2:AM500,'S&amp;L Data'!$D2:$D500,"Education Outside the Classroom")</f>
        <v>9792378</v>
      </c>
      <c r="AB66">
        <f>SUMIFS('S&amp;L Data'!AN2:AN500,'S&amp;L Data'!$D2:$D500,"Education Outside the Classroom")</f>
        <v>8887660</v>
      </c>
      <c r="AC66">
        <f>SUMIFS('S&amp;L Data'!AO2:AO500,'S&amp;L Data'!$D2:$D500,"Education Outside the Classroom")</f>
        <v>10765940</v>
      </c>
      <c r="AD66">
        <f>SUMIFS('S&amp;L Data'!AP2:AP500,'S&amp;L Data'!$D2:$D500,"Education Outside the Classroom")</f>
        <v>11521190</v>
      </c>
      <c r="AE66">
        <f>SUMIFS('S&amp;L Data'!AQ2:AQ500,'S&amp;L Data'!$D2:$D500,"Education Outside the Classroom")</f>
        <v>11130261</v>
      </c>
      <c r="AF66">
        <f>SUMIFS('S&amp;L Data'!AR2:AR500,'S&amp;L Data'!$D2:$D500,"Education Outside the Classroom")</f>
        <v>10991012</v>
      </c>
      <c r="AG66">
        <f>SUMIFS('S&amp;L Data'!AS2:AS500,'S&amp;L Data'!$D2:$D500,"Education Outside the Classroom")</f>
        <v>10698511</v>
      </c>
      <c r="AH66">
        <f>SUMIFS('S&amp;L Data'!AT2:AT500,'S&amp;L Data'!$D2:$D500,"Education Outside the Classroom")</f>
        <v>11459731</v>
      </c>
      <c r="AI66">
        <f>SUMIFS('S&amp;L Data'!AU2:AU500,'S&amp;L Data'!$D2:$D500,"Education Outside the Classroom")</f>
        <v>11150451</v>
      </c>
      <c r="AJ66">
        <f>SUMIFS('S&amp;L Data'!AV2:AV500,'S&amp;L Data'!$D2:$D500,"Education Outside the Classroom")</f>
        <v>11158289</v>
      </c>
    </row>
    <row r="67" spans="1:36">
      <c r="A67" s="3" t="s">
        <v>159</v>
      </c>
      <c r="B67">
        <f>SUMIFS('S&amp;L Data'!N2:N500,'S&amp;L Data'!$D2:$D500,"Energy, Environment, and Agriculture")</f>
        <v>22416657</v>
      </c>
      <c r="C67">
        <f>SUMIFS('S&amp;L Data'!O2:O500,'S&amp;L Data'!$D2:$D500,"Energy, Environment, and Agriculture")</f>
        <v>24770787</v>
      </c>
      <c r="D67">
        <f>SUMIFS('S&amp;L Data'!P2:P500,'S&amp;L Data'!$D2:$D500,"Energy, Environment, and Agriculture")</f>
        <v>24218384</v>
      </c>
      <c r="E67">
        <f>SUMIFS('S&amp;L Data'!Q2:Q500,'S&amp;L Data'!$D2:$D500,"Energy, Environment, and Agriculture")</f>
        <v>23843553</v>
      </c>
      <c r="F67">
        <f>SUMIFS('S&amp;L Data'!R2:R500,'S&amp;L Data'!$D2:$D500,"Energy, Environment, and Agriculture")</f>
        <v>21497636</v>
      </c>
      <c r="G67">
        <f>SUMIFS('S&amp;L Data'!S2:S500,'S&amp;L Data'!$D2:$D500,"Energy, Environment, and Agriculture")</f>
        <v>22846228</v>
      </c>
      <c r="H67">
        <f>SUMIFS('S&amp;L Data'!T2:T500,'S&amp;L Data'!$D2:$D500,"Energy, Environment, and Agriculture")</f>
        <v>26639225</v>
      </c>
      <c r="I67">
        <f>SUMIFS('S&amp;L Data'!U2:U500,'S&amp;L Data'!$D2:$D500,"Energy, Environment, and Agriculture")</f>
        <v>28166069</v>
      </c>
      <c r="J67">
        <f>SUMIFS('S&amp;L Data'!V2:V500,'S&amp;L Data'!$D2:$D500,"Energy, Environment, and Agriculture")</f>
        <v>27642744</v>
      </c>
      <c r="K67">
        <f>SUMIFS('S&amp;L Data'!W2:W500,'S&amp;L Data'!$D2:$D500,"Energy, Environment, and Agriculture")</f>
        <v>28547127</v>
      </c>
      <c r="L67">
        <f>SUMIFS('S&amp;L Data'!X2:X500,'S&amp;L Data'!$D2:$D500,"Energy, Environment, and Agriculture")</f>
        <v>31386197</v>
      </c>
      <c r="M67">
        <f>SUMIFS('S&amp;L Data'!Y2:Y500,'S&amp;L Data'!$D2:$D500,"Energy, Environment, and Agriculture")</f>
        <v>33562949</v>
      </c>
      <c r="N67">
        <f>SUMIFS('S&amp;L Data'!Z2:Z500,'S&amp;L Data'!$D2:$D500,"Energy, Environment, and Agriculture")</f>
        <v>33489758</v>
      </c>
      <c r="O67">
        <f>SUMIFS('S&amp;L Data'!AA2:AA500,'S&amp;L Data'!$D2:$D500,"Energy, Environment, and Agriculture")</f>
        <v>32526295</v>
      </c>
      <c r="P67">
        <f>SUMIFS('S&amp;L Data'!AB2:AB500,'S&amp;L Data'!$D2:$D500,"Energy, Environment, and Agriculture")</f>
        <v>30044663</v>
      </c>
      <c r="Q67">
        <f>SUMIFS('S&amp;L Data'!AC2:AC500,'S&amp;L Data'!$D2:$D500,"Energy, Environment, and Agriculture")</f>
        <v>32905878</v>
      </c>
      <c r="R67">
        <f>SUMIFS('S&amp;L Data'!AD2:AD500,'S&amp;L Data'!$D2:$D500,"Energy, Environment, and Agriculture")</f>
        <v>31721155</v>
      </c>
      <c r="S67">
        <f>SUMIFS('S&amp;L Data'!AE2:AE500,'S&amp;L Data'!$D2:$D500,"Energy, Environment, and Agriculture")</f>
        <v>35329234</v>
      </c>
      <c r="T67">
        <f>SUMIFS('S&amp;L Data'!AF2:AF500,'S&amp;L Data'!$D2:$D500,"Energy, Environment, and Agriculture")</f>
        <v>36612304</v>
      </c>
      <c r="U67">
        <f>SUMIFS('S&amp;L Data'!AG2:AG500,'S&amp;L Data'!$D2:$D500,"Energy, Environment, and Agriculture")</f>
        <v>37644771</v>
      </c>
      <c r="V67">
        <f>SUMIFS('S&amp;L Data'!AH2:AH500,'S&amp;L Data'!$D2:$D500,"Energy, Environment, and Agriculture")</f>
        <v>42072698</v>
      </c>
      <c r="W67">
        <f>SUMIFS('S&amp;L Data'!AI2:AI500,'S&amp;L Data'!$D2:$D500,"Energy, Environment, and Agriculture")</f>
        <v>53449567</v>
      </c>
      <c r="X67">
        <f>SUMIFS('S&amp;L Data'!AJ2:AJ500,'S&amp;L Data'!$D2:$D500,"Energy, Environment, and Agriculture")</f>
        <v>55115084</v>
      </c>
      <c r="Y67">
        <f>SUMIFS('S&amp;L Data'!AK2:AK500,'S&amp;L Data'!$D2:$D500,"Energy, Environment, and Agriculture")</f>
        <v>55127281</v>
      </c>
      <c r="Z67">
        <f>SUMIFS('S&amp;L Data'!AL2:AL500,'S&amp;L Data'!$D2:$D500,"Energy, Environment, and Agriculture")</f>
        <v>60585332</v>
      </c>
      <c r="AA67">
        <f>SUMIFS('S&amp;L Data'!AM2:AM500,'S&amp;L Data'!$D2:$D500,"Energy, Environment, and Agriculture")</f>
        <v>59608129</v>
      </c>
      <c r="AB67">
        <f>SUMIFS('S&amp;L Data'!AN2:AN500,'S&amp;L Data'!$D2:$D500,"Energy, Environment, and Agriculture")</f>
        <v>63743731</v>
      </c>
      <c r="AC67">
        <f>SUMIFS('S&amp;L Data'!AO2:AO500,'S&amp;L Data'!$D2:$D500,"Energy, Environment, and Agriculture")</f>
        <v>76337260</v>
      </c>
      <c r="AD67">
        <f>SUMIFS('S&amp;L Data'!AP2:AP500,'S&amp;L Data'!$D2:$D500,"Energy, Environment, and Agriculture")</f>
        <v>80749640</v>
      </c>
      <c r="AE67">
        <f>SUMIFS('S&amp;L Data'!AQ2:AQ500,'S&amp;L Data'!$D2:$D500,"Energy, Environment, and Agriculture")</f>
        <v>84856766</v>
      </c>
      <c r="AF67">
        <f>SUMIFS('S&amp;L Data'!AR2:AR500,'S&amp;L Data'!$D2:$D500,"Energy, Environment, and Agriculture")</f>
        <v>77052636</v>
      </c>
      <c r="AG67">
        <f>SUMIFS('S&amp;L Data'!AS2:AS500,'S&amp;L Data'!$D2:$D500,"Energy, Environment, and Agriculture")</f>
        <v>71499830</v>
      </c>
      <c r="AH67">
        <f>SUMIFS('S&amp;L Data'!AT2:AT500,'S&amp;L Data'!$D2:$D500,"Energy, Environment, and Agriculture")</f>
        <v>63063628</v>
      </c>
      <c r="AI67">
        <f>SUMIFS('S&amp;L Data'!AU2:AU500,'S&amp;L Data'!$D2:$D500,"Energy, Environment, and Agriculture")</f>
        <v>57425549</v>
      </c>
      <c r="AJ67">
        <f>SUMIFS('S&amp;L Data'!AV2:AV500,'S&amp;L Data'!$D2:$D500,"Energy, Environment, and Agriculture")</f>
        <v>51687828</v>
      </c>
    </row>
    <row r="68" spans="1:36">
      <c r="A68" s="4" t="s">
        <v>285</v>
      </c>
      <c r="B68">
        <f>SUMIFS('S&amp;L Data'!N2:N500,'S&amp;L Data'!$E2:$E500,"Energy")</f>
        <v>1983966</v>
      </c>
      <c r="C68">
        <f>SUMIFS('S&amp;L Data'!O2:O500,'S&amp;L Data'!$E2:$E500,"Energy")</f>
        <v>2216364</v>
      </c>
      <c r="D68">
        <f>SUMIFS('S&amp;L Data'!P2:P500,'S&amp;L Data'!$E2:$E500,"Energy")</f>
        <v>1708481</v>
      </c>
      <c r="E68">
        <f>SUMIFS('S&amp;L Data'!Q2:Q500,'S&amp;L Data'!$E2:$E500,"Energy")</f>
        <v>1122151</v>
      </c>
      <c r="F68">
        <f>SUMIFS('S&amp;L Data'!R2:R500,'S&amp;L Data'!$E2:$E500,"Energy")</f>
        <v>-175766</v>
      </c>
      <c r="G68">
        <f>SUMIFS('S&amp;L Data'!S2:S500,'S&amp;L Data'!$E2:$E500,"Energy")</f>
        <v>-603633</v>
      </c>
      <c r="H68">
        <f>SUMIFS('S&amp;L Data'!T2:T500,'S&amp;L Data'!$E2:$E500,"Energy")</f>
        <v>629495</v>
      </c>
      <c r="I68">
        <f>SUMIFS('S&amp;L Data'!U2:U500,'S&amp;L Data'!$E2:$E500,"Energy")</f>
        <v>-1226990</v>
      </c>
      <c r="J68">
        <f>SUMIFS('S&amp;L Data'!V2:V500,'S&amp;L Data'!$E2:$E500,"Energy")</f>
        <v>-2575341</v>
      </c>
      <c r="K68">
        <f>SUMIFS('S&amp;L Data'!W2:W500,'S&amp;L Data'!$E2:$E500,"Energy")</f>
        <v>-3538754</v>
      </c>
      <c r="L68">
        <f>SUMIFS('S&amp;L Data'!X2:X500,'S&amp;L Data'!$E2:$E500,"Energy")</f>
        <v>-3832537</v>
      </c>
      <c r="M68">
        <f>SUMIFS('S&amp;L Data'!Y2:Y500,'S&amp;L Data'!$E2:$E500,"Energy")</f>
        <v>-4764614</v>
      </c>
      <c r="N68">
        <f>SUMIFS('S&amp;L Data'!Z2:Z500,'S&amp;L Data'!$E2:$E500,"Energy")</f>
        <v>-4262831</v>
      </c>
      <c r="O68">
        <f>SUMIFS('S&amp;L Data'!AA2:AA500,'S&amp;L Data'!$E2:$E500,"Energy")</f>
        <v>-5046003</v>
      </c>
      <c r="P68">
        <f>SUMIFS('S&amp;L Data'!AB2:AB500,'S&amp;L Data'!$E2:$E500,"Energy")</f>
        <v>-5189453</v>
      </c>
      <c r="Q68">
        <f>SUMIFS('S&amp;L Data'!AC2:AC500,'S&amp;L Data'!$E2:$E500,"Energy")</f>
        <v>-5754958</v>
      </c>
      <c r="R68">
        <f>SUMIFS('S&amp;L Data'!AD2:AD500,'S&amp;L Data'!$E2:$E500,"Energy")</f>
        <v>-6652537</v>
      </c>
      <c r="S68">
        <f>SUMIFS('S&amp;L Data'!AE2:AE500,'S&amp;L Data'!$E2:$E500,"Energy")</f>
        <v>-6401882</v>
      </c>
      <c r="T68">
        <f>SUMIFS('S&amp;L Data'!AF2:AF500,'S&amp;L Data'!$E2:$E500,"Energy")</f>
        <v>-6715744</v>
      </c>
      <c r="U68">
        <f>SUMIFS('S&amp;L Data'!AG2:AG500,'S&amp;L Data'!$E2:$E500,"Energy")</f>
        <v>-7625171</v>
      </c>
      <c r="V68">
        <f>SUMIFS('S&amp;L Data'!AH2:AH500,'S&amp;L Data'!$E2:$E500,"Energy")</f>
        <v>-7634397</v>
      </c>
      <c r="W68">
        <f>SUMIFS('S&amp;L Data'!AI2:AI500,'S&amp;L Data'!$E2:$E500,"Energy")</f>
        <v>-642368</v>
      </c>
      <c r="X68">
        <f>SUMIFS('S&amp;L Data'!AJ2:AJ500,'S&amp;L Data'!$E2:$E500,"Energy")</f>
        <v>-3546137</v>
      </c>
      <c r="Y68">
        <f>SUMIFS('S&amp;L Data'!AK2:AK500,'S&amp;L Data'!$E2:$E500,"Energy")</f>
        <v>-4599194</v>
      </c>
      <c r="Z68">
        <f>SUMIFS('S&amp;L Data'!AL2:AL500,'S&amp;L Data'!$E2:$E500,"Energy")</f>
        <v>-1371072</v>
      </c>
      <c r="AA68">
        <f>SUMIFS('S&amp;L Data'!AM2:AM500,'S&amp;L Data'!$E2:$E500,"Energy")</f>
        <v>-4925850</v>
      </c>
      <c r="AB68">
        <f>SUMIFS('S&amp;L Data'!AN2:AN500,'S&amp;L Data'!$E2:$E500,"Energy")</f>
        <v>-3762181</v>
      </c>
      <c r="AC68">
        <f>SUMIFS('S&amp;L Data'!AO2:AO500,'S&amp;L Data'!$E2:$E500,"Energy")</f>
        <v>-2284722</v>
      </c>
      <c r="AD68">
        <f>SUMIFS('S&amp;L Data'!AP2:AP500,'S&amp;L Data'!$E2:$E500,"Energy")</f>
        <v>-1273401</v>
      </c>
      <c r="AE68">
        <f>SUMIFS('S&amp;L Data'!AQ2:AQ500,'S&amp;L Data'!$E2:$E500,"Energy")</f>
        <v>-2221545</v>
      </c>
      <c r="AF68">
        <f>SUMIFS('S&amp;L Data'!AR2:AR500,'S&amp;L Data'!$E2:$E500,"Energy")</f>
        <v>-3485174</v>
      </c>
      <c r="AG68">
        <f>SUMIFS('S&amp;L Data'!AS2:AS500,'S&amp;L Data'!$E2:$E500,"Energy")</f>
        <v>-3750466</v>
      </c>
      <c r="AH68">
        <f>SUMIFS('S&amp;L Data'!AT2:AT500,'S&amp;L Data'!$E2:$E500,"Energy")</f>
        <v>-5148262</v>
      </c>
      <c r="AI68">
        <f>SUMIFS('S&amp;L Data'!AU2:AU500,'S&amp;L Data'!$E2:$E500,"Energy")</f>
        <v>-5191609</v>
      </c>
      <c r="AJ68">
        <f>SUMIFS('S&amp;L Data'!AV2:AV500,'S&amp;L Data'!$E2:$E500,"Energy")</f>
        <v>-6682265</v>
      </c>
    </row>
    <row r="69" spans="1:36">
      <c r="A69" s="4" t="s">
        <v>51</v>
      </c>
      <c r="B69">
        <f>SUMIFS('S&amp;L Data'!N2:N500,'S&amp;L Data'!$E2:$E500,"Environment and Natural Resources")</f>
        <v>18670189</v>
      </c>
      <c r="C69">
        <f>SUMIFS('S&amp;L Data'!O2:O500,'S&amp;L Data'!$E2:$E500,"Environment and Natural Resources")</f>
        <v>20565108</v>
      </c>
      <c r="D69">
        <f>SUMIFS('S&amp;L Data'!P2:P500,'S&amp;L Data'!$E2:$E500,"Environment and Natural Resources")</f>
        <v>20344221</v>
      </c>
      <c r="E69">
        <f>SUMIFS('S&amp;L Data'!Q2:Q500,'S&amp;L Data'!$E2:$E500,"Environment and Natural Resources")</f>
        <v>20451914</v>
      </c>
      <c r="F69">
        <f>SUMIFS('S&amp;L Data'!R2:R500,'S&amp;L Data'!$E2:$E500,"Environment and Natural Resources")</f>
        <v>19304710</v>
      </c>
      <c r="G69">
        <f>SUMIFS('S&amp;L Data'!S2:S500,'S&amp;L Data'!$E2:$E500,"Environment and Natural Resources")</f>
        <v>20876905</v>
      </c>
      <c r="H69">
        <f>SUMIFS('S&amp;L Data'!T2:T500,'S&amp;L Data'!$E2:$E500,"Environment and Natural Resources")</f>
        <v>23223562</v>
      </c>
      <c r="I69">
        <f>SUMIFS('S&amp;L Data'!U2:U500,'S&amp;L Data'!$E2:$E500,"Environment and Natural Resources")</f>
        <v>26404465</v>
      </c>
      <c r="J69">
        <f>SUMIFS('S&amp;L Data'!V2:V500,'S&amp;L Data'!$E2:$E500,"Environment and Natural Resources")</f>
        <v>27208034</v>
      </c>
      <c r="K69">
        <f>SUMIFS('S&amp;L Data'!W2:W500,'S&amp;L Data'!$E2:$E500,"Environment and Natural Resources")</f>
        <v>28844238</v>
      </c>
      <c r="L69">
        <f>SUMIFS('S&amp;L Data'!X2:X500,'S&amp;L Data'!$E2:$E500,"Environment and Natural Resources")</f>
        <v>31687053</v>
      </c>
      <c r="M69">
        <f>SUMIFS('S&amp;L Data'!Y2:Y500,'S&amp;L Data'!$E2:$E500,"Environment and Natural Resources")</f>
        <v>34691881</v>
      </c>
      <c r="N69">
        <f>SUMIFS('S&amp;L Data'!Z2:Z500,'S&amp;L Data'!$E2:$E500,"Environment and Natural Resources")</f>
        <v>34099498</v>
      </c>
      <c r="O69">
        <f>SUMIFS('S&amp;L Data'!AA2:AA500,'S&amp;L Data'!$E2:$E500,"Environment and Natural Resources")</f>
        <v>33822476</v>
      </c>
      <c r="P69">
        <f>SUMIFS('S&amp;L Data'!AB2:AB500,'S&amp;L Data'!$E2:$E500,"Environment and Natural Resources")</f>
        <v>31438965</v>
      </c>
      <c r="Q69">
        <f>SUMIFS('S&amp;L Data'!AC2:AC500,'S&amp;L Data'!$E2:$E500,"Environment and Natural Resources")</f>
        <v>34794028</v>
      </c>
      <c r="R69">
        <f>SUMIFS('S&amp;L Data'!AD2:AD500,'S&amp;L Data'!$E2:$E500,"Environment and Natural Resources")</f>
        <v>34380285</v>
      </c>
      <c r="S69">
        <f>SUMIFS('S&amp;L Data'!AE2:AE500,'S&amp;L Data'!$E2:$E500,"Environment and Natural Resources")</f>
        <v>37611396</v>
      </c>
      <c r="T69">
        <f>SUMIFS('S&amp;L Data'!AF2:AF500,'S&amp;L Data'!$E2:$E500,"Environment and Natural Resources")</f>
        <v>38941015</v>
      </c>
      <c r="U69">
        <f>SUMIFS('S&amp;L Data'!AG2:AG500,'S&amp;L Data'!$E2:$E500,"Environment and Natural Resources")</f>
        <v>40624029</v>
      </c>
      <c r="V69">
        <f>SUMIFS('S&amp;L Data'!AH2:AH500,'S&amp;L Data'!$E2:$E500,"Environment and Natural Resources")</f>
        <v>44250821</v>
      </c>
      <c r="W69">
        <f>SUMIFS('S&amp;L Data'!AI2:AI500,'S&amp;L Data'!$E2:$E500,"Environment and Natural Resources")</f>
        <v>48454306</v>
      </c>
      <c r="X69">
        <f>SUMIFS('S&amp;L Data'!AJ2:AJ500,'S&amp;L Data'!$E2:$E500,"Environment and Natural Resources")</f>
        <v>53157357</v>
      </c>
      <c r="Y69">
        <f>SUMIFS('S&amp;L Data'!AK2:AK500,'S&amp;L Data'!$E2:$E500,"Environment and Natural Resources")</f>
        <v>54135122</v>
      </c>
      <c r="Z69">
        <f>SUMIFS('S&amp;L Data'!AL2:AL500,'S&amp;L Data'!$E2:$E500,"Environment and Natural Resources")</f>
        <v>56382786</v>
      </c>
      <c r="AA69">
        <f>SUMIFS('S&amp;L Data'!AM2:AM500,'S&amp;L Data'!$E2:$E500,"Environment and Natural Resources")</f>
        <v>64533979</v>
      </c>
      <c r="AB69">
        <f>SUMIFS('S&amp;L Data'!AN2:AN500,'S&amp;L Data'!$E2:$E500,"Environment and Natural Resources")</f>
        <v>67505912</v>
      </c>
      <c r="AC69">
        <f>SUMIFS('S&amp;L Data'!AO2:AO500,'S&amp;L Data'!$E2:$E500,"Environment and Natural Resources")</f>
        <v>78621982</v>
      </c>
      <c r="AD69">
        <f>SUMIFS('S&amp;L Data'!AP2:AP500,'S&amp;L Data'!$E2:$E500,"Environment and Natural Resources")</f>
        <v>82023041</v>
      </c>
      <c r="AE69">
        <f>SUMIFS('S&amp;L Data'!AQ2:AQ500,'S&amp;L Data'!$E2:$E500,"Environment and Natural Resources")</f>
        <v>87078311</v>
      </c>
      <c r="AF69">
        <f>SUMIFS('S&amp;L Data'!AR2:AR500,'S&amp;L Data'!$E2:$E500,"Environment and Natural Resources")</f>
        <v>80537810</v>
      </c>
      <c r="AG69">
        <f>SUMIFS('S&amp;L Data'!AS2:AS500,'S&amp;L Data'!$E2:$E500,"Environment and Natural Resources")</f>
        <v>75250296</v>
      </c>
      <c r="AH69">
        <f>SUMIFS('S&amp;L Data'!AT2:AT500,'S&amp;L Data'!$E2:$E500,"Environment and Natural Resources")</f>
        <v>68211890</v>
      </c>
      <c r="AI69">
        <f>SUMIFS('S&amp;L Data'!AU2:AU500,'S&amp;L Data'!$E2:$E500,"Environment and Natural Resources")</f>
        <v>62617158</v>
      </c>
      <c r="AJ69">
        <f>SUMIFS('S&amp;L Data'!AV2:AV500,'S&amp;L Data'!$E2:$E500,"Environment and Natural Resources")</f>
        <v>52509304.010971516</v>
      </c>
    </row>
    <row r="70" spans="1:36">
      <c r="A70" s="5" t="s">
        <v>286</v>
      </c>
      <c r="B70">
        <f>SUMIFS('S&amp;L Data'!N2:N500,'S&amp;L Data'!$F2:$F500,"Sewerage and Waste Management (Govt. Business)")</f>
        <v>8341230</v>
      </c>
      <c r="C70">
        <f>SUMIFS('S&amp;L Data'!O2:O500,'S&amp;L Data'!$F2:$F500,"Sewerage and Waste Management (Govt. Business)")</f>
        <v>9195961</v>
      </c>
      <c r="D70">
        <f>SUMIFS('S&amp;L Data'!P2:P500,'S&amp;L Data'!$F2:$F500,"Sewerage and Waste Management (Govt. Business)")</f>
        <v>8560298</v>
      </c>
      <c r="E70">
        <f>SUMIFS('S&amp;L Data'!Q2:Q500,'S&amp;L Data'!$F2:$F500,"Sewerage and Waste Management (Govt. Business)")</f>
        <v>8143290</v>
      </c>
      <c r="F70">
        <f>SUMIFS('S&amp;L Data'!R2:R500,'S&amp;L Data'!$F2:$F500,"Sewerage and Waste Management (Govt. Business)")</f>
        <v>7642469</v>
      </c>
      <c r="G70">
        <f>SUMIFS('S&amp;L Data'!S2:S500,'S&amp;L Data'!$F2:$F500,"Sewerage and Waste Management (Govt. Business)")</f>
        <v>7824794</v>
      </c>
      <c r="H70">
        <f>SUMIFS('S&amp;L Data'!T2:T500,'S&amp;L Data'!$F2:$F500,"Sewerage and Waste Management (Govt. Business)")</f>
        <v>8333331</v>
      </c>
      <c r="I70">
        <f>SUMIFS('S&amp;L Data'!U2:U500,'S&amp;L Data'!$F2:$F500,"Sewerage and Waste Management (Govt. Business)")</f>
        <v>9495297</v>
      </c>
      <c r="J70">
        <f>SUMIFS('S&amp;L Data'!V2:V500,'S&amp;L Data'!$F2:$F500,"Sewerage and Waste Management (Govt. Business)")</f>
        <v>10196274</v>
      </c>
      <c r="K70">
        <f>SUMIFS('S&amp;L Data'!W2:W500,'S&amp;L Data'!$F2:$F500,"Sewerage and Waste Management (Govt. Business)")</f>
        <v>10610364</v>
      </c>
      <c r="L70">
        <f>SUMIFS('S&amp;L Data'!X2:X500,'S&amp;L Data'!$F2:$F500,"Sewerage and Waste Management (Govt. Business)")</f>
        <v>10805485</v>
      </c>
      <c r="M70">
        <f>SUMIFS('S&amp;L Data'!Y2:Y500,'S&amp;L Data'!$F2:$F500,"Sewerage and Waste Management (Govt. Business)")</f>
        <v>11409979</v>
      </c>
      <c r="N70">
        <f>SUMIFS('S&amp;L Data'!Z2:Z500,'S&amp;L Data'!$F2:$F500,"Sewerage and Waste Management (Govt. Business)")</f>
        <v>11249244</v>
      </c>
      <c r="O70">
        <f>SUMIFS('S&amp;L Data'!AA2:AA500,'S&amp;L Data'!$F2:$F500,"Sewerage and Waste Management (Govt. Business)")</f>
        <v>12311045</v>
      </c>
      <c r="P70">
        <f>SUMIFS('S&amp;L Data'!AB2:AB500,'S&amp;L Data'!$F2:$F500,"Sewerage and Waste Management (Govt. Business)")</f>
        <v>9154626</v>
      </c>
      <c r="Q70">
        <f>SUMIFS('S&amp;L Data'!AC2:AC500,'S&amp;L Data'!$F2:$F500,"Sewerage and Waste Management (Govt. Business)")</f>
        <v>10213734</v>
      </c>
      <c r="R70">
        <f>SUMIFS('S&amp;L Data'!AD2:AD500,'S&amp;L Data'!$F2:$F500,"Sewerage and Waste Management (Govt. Business)")</f>
        <v>9278426</v>
      </c>
      <c r="S70">
        <f>SUMIFS('S&amp;L Data'!AE2:AE500,'S&amp;L Data'!$F2:$F500,"Sewerage and Waste Management (Govt. Business)")</f>
        <v>10098444</v>
      </c>
      <c r="T70">
        <f>SUMIFS('S&amp;L Data'!AF2:AF500,'S&amp;L Data'!$F2:$F500,"Sewerage and Waste Management (Govt. Business)")</f>
        <v>9430530</v>
      </c>
      <c r="U70">
        <f>SUMIFS('S&amp;L Data'!AG2:AG500,'S&amp;L Data'!$F2:$F500,"Sewerage and Waste Management (Govt. Business)")</f>
        <v>9412339</v>
      </c>
      <c r="V70">
        <f>SUMIFS('S&amp;L Data'!AH2:AH500,'S&amp;L Data'!$F2:$F500,"Sewerage and Waste Management (Govt. Business)")</f>
        <v>10724713</v>
      </c>
      <c r="W70">
        <f>SUMIFS('S&amp;L Data'!AI2:AI500,'S&amp;L Data'!$F2:$F500,"Sewerage and Waste Management (Govt. Business)")</f>
        <v>9922620</v>
      </c>
      <c r="X70">
        <f>SUMIFS('S&amp;L Data'!AJ2:AJ500,'S&amp;L Data'!$F2:$F500,"Sewerage and Waste Management (Govt. Business)")</f>
        <v>12004103</v>
      </c>
      <c r="Y70">
        <f>SUMIFS('S&amp;L Data'!AK2:AK500,'S&amp;L Data'!$F2:$F500,"Sewerage and Waste Management (Govt. Business)")</f>
        <v>11926725</v>
      </c>
      <c r="Z70">
        <f>SUMIFS('S&amp;L Data'!AL2:AL500,'S&amp;L Data'!$F2:$F500,"Sewerage and Waste Management (Govt. Business)")</f>
        <v>13397142</v>
      </c>
      <c r="AA70">
        <f>SUMIFS('S&amp;L Data'!AM2:AM500,'S&amp;L Data'!$F2:$F500,"Sewerage and Waste Management (Govt. Business)")</f>
        <v>13459669</v>
      </c>
      <c r="AB70">
        <f>SUMIFS('S&amp;L Data'!AN2:AN500,'S&amp;L Data'!$F2:$F500,"Sewerage and Waste Management (Govt. Business)")</f>
        <v>14445095</v>
      </c>
      <c r="AC70">
        <f>SUMIFS('S&amp;L Data'!AO2:AO500,'S&amp;L Data'!$F2:$F500,"Sewerage and Waste Management (Govt. Business)")</f>
        <v>16243556</v>
      </c>
      <c r="AD70">
        <f>SUMIFS('S&amp;L Data'!AP2:AP500,'S&amp;L Data'!$F2:$F500,"Sewerage and Waste Management (Govt. Business)")</f>
        <v>16991980</v>
      </c>
      <c r="AE70">
        <f>SUMIFS('S&amp;L Data'!AQ2:AQ500,'S&amp;L Data'!$F2:$F500,"Sewerage and Waste Management (Govt. Business)")</f>
        <v>17985610</v>
      </c>
      <c r="AF70">
        <f>SUMIFS('S&amp;L Data'!AR2:AR500,'S&amp;L Data'!$F2:$F500,"Sewerage and Waste Management (Govt. Business)")</f>
        <v>16410439</v>
      </c>
      <c r="AG70">
        <f>SUMIFS('S&amp;L Data'!AS2:AS500,'S&amp;L Data'!$F2:$F500,"Sewerage and Waste Management (Govt. Business)")</f>
        <v>15415085</v>
      </c>
      <c r="AH70">
        <f>SUMIFS('S&amp;L Data'!AT2:AT500,'S&amp;L Data'!$F2:$F500,"Sewerage and Waste Management (Govt. Business)")</f>
        <v>11980227</v>
      </c>
      <c r="AI70">
        <f>SUMIFS('S&amp;L Data'!AU2:AU500,'S&amp;L Data'!$F2:$F500,"Sewerage and Waste Management (Govt. Business)")</f>
        <v>8964158</v>
      </c>
      <c r="AJ70">
        <f>SUMIFS('S&amp;L Data'!AV2:AV500,'S&amp;L Data'!$F2:$F500,"Sewerage and Waste Management (Govt. Business)")</f>
        <v>5859147</v>
      </c>
    </row>
    <row r="71" spans="1:36">
      <c r="A71" s="5" t="s">
        <v>287</v>
      </c>
      <c r="B71">
        <f>SUMIFS('S&amp;L Data'!N2:N500,'S&amp;L Data'!$F2:$F500,"Water Utilities (Govt. Business)")</f>
        <v>1440828</v>
      </c>
      <c r="C71">
        <f>SUMIFS('S&amp;L Data'!O2:O500,'S&amp;L Data'!$F2:$F500,"Water Utilities (Govt. Business)")</f>
        <v>1722163</v>
      </c>
      <c r="D71">
        <f>SUMIFS('S&amp;L Data'!P2:P500,'S&amp;L Data'!$F2:$F500,"Water Utilities (Govt. Business)")</f>
        <v>1660730</v>
      </c>
      <c r="E71">
        <f>SUMIFS('S&amp;L Data'!Q2:Q500,'S&amp;L Data'!$F2:$F500,"Water Utilities (Govt. Business)")</f>
        <v>1428280</v>
      </c>
      <c r="F71">
        <f>SUMIFS('S&amp;L Data'!R2:R500,'S&amp;L Data'!$F2:$F500,"Water Utilities (Govt. Business)")</f>
        <v>447131</v>
      </c>
      <c r="G71">
        <f>SUMIFS('S&amp;L Data'!S2:S500,'S&amp;L Data'!$F2:$F500,"Water Utilities (Govt. Business)")</f>
        <v>508053</v>
      </c>
      <c r="H71">
        <f>SUMIFS('S&amp;L Data'!T2:T500,'S&amp;L Data'!$F2:$F500,"Water Utilities (Govt. Business)")</f>
        <v>952585</v>
      </c>
      <c r="I71">
        <f>SUMIFS('S&amp;L Data'!U2:U500,'S&amp;L Data'!$F2:$F500,"Water Utilities (Govt. Business)")</f>
        <v>1696942</v>
      </c>
      <c r="J71">
        <f>SUMIFS('S&amp;L Data'!V2:V500,'S&amp;L Data'!$F2:$F500,"Water Utilities (Govt. Business)")</f>
        <v>1096065</v>
      </c>
      <c r="K71">
        <f>SUMIFS('S&amp;L Data'!W2:W500,'S&amp;L Data'!$F2:$F500,"Water Utilities (Govt. Business)")</f>
        <v>1019580</v>
      </c>
      <c r="L71">
        <f>SUMIFS('S&amp;L Data'!X2:X500,'S&amp;L Data'!$F2:$F500,"Water Utilities (Govt. Business)")</f>
        <v>1522909</v>
      </c>
      <c r="M71">
        <f>SUMIFS('S&amp;L Data'!Y2:Y500,'S&amp;L Data'!$F2:$F500,"Water Utilities (Govt. Business)")</f>
        <v>2455623</v>
      </c>
      <c r="N71">
        <f>SUMIFS('S&amp;L Data'!Z2:Z500,'S&amp;L Data'!$F2:$F500,"Water Utilities (Govt. Business)")</f>
        <v>2089384</v>
      </c>
      <c r="O71">
        <f>SUMIFS('S&amp;L Data'!AA2:AA500,'S&amp;L Data'!$F2:$F500,"Water Utilities (Govt. Business)")</f>
        <v>578261</v>
      </c>
      <c r="P71">
        <f>SUMIFS('S&amp;L Data'!AB2:AB500,'S&amp;L Data'!$F2:$F500,"Water Utilities (Govt. Business)")</f>
        <v>295709</v>
      </c>
      <c r="Q71">
        <f>SUMIFS('S&amp;L Data'!AC2:AC500,'S&amp;L Data'!$F2:$F500,"Water Utilities (Govt. Business)")</f>
        <v>543110</v>
      </c>
      <c r="R71">
        <f>SUMIFS('S&amp;L Data'!AD2:AD500,'S&amp;L Data'!$F2:$F500,"Water Utilities (Govt. Business)")</f>
        <v>-396673</v>
      </c>
      <c r="S71">
        <f>SUMIFS('S&amp;L Data'!AE2:AE500,'S&amp;L Data'!$F2:$F500,"Water Utilities (Govt. Business)")</f>
        <v>223742</v>
      </c>
      <c r="T71">
        <f>SUMIFS('S&amp;L Data'!AF2:AF500,'S&amp;L Data'!$F2:$F500,"Water Utilities (Govt. Business)")</f>
        <v>338715</v>
      </c>
      <c r="U71">
        <f>SUMIFS('S&amp;L Data'!AG2:AG500,'S&amp;L Data'!$F2:$F500,"Water Utilities (Govt. Business)")</f>
        <v>782042</v>
      </c>
      <c r="V71">
        <f>SUMIFS('S&amp;L Data'!AH2:AH500,'S&amp;L Data'!$F2:$F500,"Water Utilities (Govt. Business)")</f>
        <v>625076</v>
      </c>
      <c r="W71">
        <f>SUMIFS('S&amp;L Data'!AI2:AI500,'S&amp;L Data'!$F2:$F500,"Water Utilities (Govt. Business)")</f>
        <v>1258363</v>
      </c>
      <c r="X71">
        <f>SUMIFS('S&amp;L Data'!AJ2:AJ500,'S&amp;L Data'!$F2:$F500,"Water Utilities (Govt. Business)")</f>
        <v>2296164</v>
      </c>
      <c r="Y71">
        <f>SUMIFS('S&amp;L Data'!AK2:AK500,'S&amp;L Data'!$F2:$F500,"Water Utilities (Govt. Business)")</f>
        <v>3352783</v>
      </c>
      <c r="Z71">
        <f>SUMIFS('S&amp;L Data'!AL2:AL500,'S&amp;L Data'!$F2:$F500,"Water Utilities (Govt. Business)")</f>
        <v>3105898</v>
      </c>
      <c r="AA71">
        <f>SUMIFS('S&amp;L Data'!AM2:AM500,'S&amp;L Data'!$F2:$F500,"Water Utilities (Govt. Business)")</f>
        <v>3566383</v>
      </c>
      <c r="AB71">
        <f>SUMIFS('S&amp;L Data'!AN2:AN500,'S&amp;L Data'!$F2:$F500,"Water Utilities (Govt. Business)")</f>
        <v>2667558</v>
      </c>
      <c r="AC71">
        <f>SUMIFS('S&amp;L Data'!AO2:AO500,'S&amp;L Data'!$F2:$F500,"Water Utilities (Govt. Business)")</f>
        <v>4990622</v>
      </c>
      <c r="AD71">
        <f>SUMIFS('S&amp;L Data'!AP2:AP500,'S&amp;L Data'!$F2:$F500,"Water Utilities (Govt. Business)")</f>
        <v>4262671</v>
      </c>
      <c r="AE71">
        <f>SUMIFS('S&amp;L Data'!AQ2:AQ500,'S&amp;L Data'!$F2:$F500,"Water Utilities (Govt. Business)")</f>
        <v>6572650</v>
      </c>
      <c r="AF71">
        <f>SUMIFS('S&amp;L Data'!AR2:AR500,'S&amp;L Data'!$F2:$F500,"Water Utilities (Govt. Business)")</f>
        <v>4775891</v>
      </c>
      <c r="AG71">
        <f>SUMIFS('S&amp;L Data'!AS2:AS500,'S&amp;L Data'!$F2:$F500,"Water Utilities (Govt. Business)")</f>
        <v>2142024</v>
      </c>
      <c r="AH71">
        <f>SUMIFS('S&amp;L Data'!AT2:AT500,'S&amp;L Data'!$F2:$F500,"Water Utilities (Govt. Business)")</f>
        <v>-471360</v>
      </c>
      <c r="AI71">
        <f>SUMIFS('S&amp;L Data'!AU2:AU500,'S&amp;L Data'!$F2:$F500,"Water Utilities (Govt. Business)")</f>
        <v>-1887657</v>
      </c>
      <c r="AJ71">
        <f>SUMIFS('S&amp;L Data'!AV2:AV500,'S&amp;L Data'!$F2:$F500,"Water Utilities (Govt. Business)")</f>
        <v>-1835919</v>
      </c>
    </row>
    <row r="72" spans="1:36">
      <c r="A72" s="5" t="s">
        <v>133</v>
      </c>
      <c r="B72">
        <f>SUMIFS('S&amp;L Data'!N2:N500,'S&amp;L Data'!$E2:$E500,"Environment and Natural Resources")-B70-B71</f>
        <v>8888131</v>
      </c>
      <c r="C72">
        <f>SUMIFS('S&amp;L Data'!O2:O500,'S&amp;L Data'!$E2:$E500,"Environment and Natural Resources")-C70-C71</f>
        <v>9646984</v>
      </c>
      <c r="D72">
        <f>SUMIFS('S&amp;L Data'!P2:P500,'S&amp;L Data'!$E2:$E500,"Environment and Natural Resources")-D70-D71</f>
        <v>10123193</v>
      </c>
      <c r="E72">
        <f>SUMIFS('S&amp;L Data'!Q2:Q500,'S&amp;L Data'!$E2:$E500,"Environment and Natural Resources")-E70-E71</f>
        <v>10880344</v>
      </c>
      <c r="F72">
        <f>SUMIFS('S&amp;L Data'!R2:R500,'S&amp;L Data'!$E2:$E500,"Environment and Natural Resources")-F70-F71</f>
        <v>11215110</v>
      </c>
      <c r="G72">
        <f>SUMIFS('S&amp;L Data'!S2:S500,'S&amp;L Data'!$E2:$E500,"Environment and Natural Resources")-G70-G71</f>
        <v>12544058</v>
      </c>
      <c r="H72">
        <f>SUMIFS('S&amp;L Data'!T2:T500,'S&amp;L Data'!$E2:$E500,"Environment and Natural Resources")-H70-H71</f>
        <v>13937646</v>
      </c>
      <c r="I72">
        <f>SUMIFS('S&amp;L Data'!U2:U500,'S&amp;L Data'!$E2:$E500,"Environment and Natural Resources")-I70-I71</f>
        <v>15212226</v>
      </c>
      <c r="J72">
        <f>SUMIFS('S&amp;L Data'!V2:V500,'S&amp;L Data'!$E2:$E500,"Environment and Natural Resources")-J70-J71</f>
        <v>15915695</v>
      </c>
      <c r="K72">
        <f>SUMIFS('S&amp;L Data'!W2:W500,'S&amp;L Data'!$E2:$E500,"Environment and Natural Resources")-K70-K71</f>
        <v>17214294</v>
      </c>
      <c r="L72">
        <f>SUMIFS('S&amp;L Data'!X2:X500,'S&amp;L Data'!$E2:$E500,"Environment and Natural Resources")-L70-L71</f>
        <v>19358659</v>
      </c>
      <c r="M72">
        <f>SUMIFS('S&amp;L Data'!Y2:Y500,'S&amp;L Data'!$E2:$E500,"Environment and Natural Resources")-M70-M71</f>
        <v>20826279</v>
      </c>
      <c r="N72">
        <f>SUMIFS('S&amp;L Data'!Z2:Z500,'S&amp;L Data'!$E2:$E500,"Environment and Natural Resources")-N70-N71</f>
        <v>20760870</v>
      </c>
      <c r="O72">
        <f>SUMIFS('S&amp;L Data'!AA2:AA500,'S&amp;L Data'!$E2:$E500,"Environment and Natural Resources")-O70-O71</f>
        <v>20933170</v>
      </c>
      <c r="P72">
        <f>SUMIFS('S&amp;L Data'!AB2:AB500,'S&amp;L Data'!$E2:$E500,"Environment and Natural Resources")-P70-P71</f>
        <v>21988630</v>
      </c>
      <c r="Q72">
        <f>SUMIFS('S&amp;L Data'!AC2:AC500,'S&amp;L Data'!$E2:$E500,"Environment and Natural Resources")-Q70-Q71</f>
        <v>24037184</v>
      </c>
      <c r="R72">
        <f>SUMIFS('S&amp;L Data'!AD2:AD500,'S&amp;L Data'!$E2:$E500,"Environment and Natural Resources")-R70-R71</f>
        <v>25498532</v>
      </c>
      <c r="S72">
        <f>SUMIFS('S&amp;L Data'!AE2:AE500,'S&amp;L Data'!$E2:$E500,"Environment and Natural Resources")-S70-S71</f>
        <v>27289210</v>
      </c>
      <c r="T72">
        <f>SUMIFS('S&amp;L Data'!AF2:AF500,'S&amp;L Data'!$E2:$E500,"Environment and Natural Resources")-T70-T71</f>
        <v>29171770</v>
      </c>
      <c r="U72">
        <f>SUMIFS('S&amp;L Data'!AG2:AG500,'S&amp;L Data'!$E2:$E500,"Environment and Natural Resources")-U70-U71</f>
        <v>30429648</v>
      </c>
      <c r="V72">
        <f>SUMIFS('S&amp;L Data'!AH2:AH500,'S&amp;L Data'!$E2:$E500,"Environment and Natural Resources")-V70-V71</f>
        <v>32901032</v>
      </c>
      <c r="W72">
        <f>SUMIFS('S&amp;L Data'!AI2:AI500,'S&amp;L Data'!$E2:$E500,"Environment and Natural Resources")-W70-W71</f>
        <v>37273323</v>
      </c>
      <c r="X72">
        <f>SUMIFS('S&amp;L Data'!AJ2:AJ500,'S&amp;L Data'!$E2:$E500,"Environment and Natural Resources")-X70-X71</f>
        <v>38857090</v>
      </c>
      <c r="Y72">
        <f>SUMIFS('S&amp;L Data'!AK2:AK500,'S&amp;L Data'!$E2:$E500,"Environment and Natural Resources")-Y70-Y71</f>
        <v>38855614</v>
      </c>
      <c r="Z72">
        <f>SUMIFS('S&amp;L Data'!AL2:AL500,'S&amp;L Data'!$E2:$E500,"Environment and Natural Resources")-Z70-Z71</f>
        <v>39879746</v>
      </c>
      <c r="AA72" s="16">
        <f>SUMIFS('S&amp;L Data'!AM2:AM500,'S&amp;L Data'!$E2:$E500,"Environment and Natural Resources")-AA70-AA71-AA73</f>
        <v>41906654.619230531</v>
      </c>
      <c r="AB72" s="16">
        <f>SUMIFS('S&amp;L Data'!AN2:AN500,'S&amp;L Data'!$E2:$E500,"Environment and Natural Resources")-AB70-AB71-AB73</f>
        <v>44764332.238461055</v>
      </c>
      <c r="AC72" s="16">
        <f>SUMIFS('S&amp;L Data'!AO2:AO500,'S&amp;L Data'!$E2:$E500,"Environment and Natural Resources")-AC70-AC71-AC73</f>
        <v>51731222.857691586</v>
      </c>
      <c r="AD72" s="16">
        <f>SUMIFS('S&amp;L Data'!AP2:AP500,'S&amp;L Data'!$E2:$E500,"Environment and Natural Resources")-AD70-AD71-AD73</f>
        <v>55084154.476922117</v>
      </c>
      <c r="AE72" s="16">
        <f>SUMIFS('S&amp;L Data'!AQ2:AQ500,'S&amp;L Data'!$E2:$E500,"Environment and Natural Resources")-AE70-AE71-AE73</f>
        <v>56808161.096152648</v>
      </c>
      <c r="AF72" s="16">
        <f>SUMIFS('S&amp;L Data'!AR2:AR500,'S&amp;L Data'!$E2:$E500,"Environment and Natural Resources")-AF70-AF71-AF73</f>
        <v>53611935.715383172</v>
      </c>
      <c r="AG72" s="16">
        <f>SUMIFS('S&amp;L Data'!AS2:AS500,'S&amp;L Data'!$E2:$E500,"Environment and Natural Resources")-AG70-AG71-AG73</f>
        <v>51925988.334613703</v>
      </c>
      <c r="AH72" s="16">
        <f>SUMIFS('S&amp;L Data'!AT2:AT500,'S&amp;L Data'!$E2:$E500,"Environment and Natural Resources")-AH70-AH71-AH73</f>
        <v>50908169.953844234</v>
      </c>
      <c r="AI72" s="16">
        <f>SUMIFS('S&amp;L Data'!AU2:AU500,'S&amp;L Data'!$E2:$E500,"Environment and Natural Resources")-AI70-AI71-AI73</f>
        <v>49718149.573074758</v>
      </c>
      <c r="AJ72">
        <f>SUMIFS('S&amp;L Data'!AV2:AV500,'S&amp;L Data'!$E2:$E500,"Environment and Natural Resources")-AJ70-AJ71</f>
        <v>48486076.010971516</v>
      </c>
    </row>
    <row r="73" spans="1:36">
      <c r="A73" s="4" t="s">
        <v>50</v>
      </c>
      <c r="B73">
        <f>SUMIFS('S&amp;L Data'!N2:N500,'S&amp;L Data'!$E2:$E500,"Agriculture")</f>
        <v>1762502</v>
      </c>
      <c r="C73">
        <f>SUMIFS('S&amp;L Data'!O2:O500,'S&amp;L Data'!$E2:$E500,"Agriculture")</f>
        <v>1989315</v>
      </c>
      <c r="D73">
        <f>SUMIFS('S&amp;L Data'!P2:P500,'S&amp;L Data'!$E2:$E500,"Agriculture")</f>
        <v>2165682</v>
      </c>
      <c r="E73">
        <f>SUMIFS('S&amp;L Data'!Q2:Q500,'S&amp;L Data'!$E2:$E500,"Agriculture")</f>
        <v>2269488</v>
      </c>
      <c r="F73">
        <f>SUMIFS('S&amp;L Data'!R2:R500,'S&amp;L Data'!$E2:$E500,"Agriculture")</f>
        <v>2368692</v>
      </c>
      <c r="G73">
        <f>SUMIFS('S&amp;L Data'!S2:S500,'S&amp;L Data'!$E2:$E500,"Agriculture")</f>
        <v>2572956</v>
      </c>
      <c r="H73">
        <f>SUMIFS('S&amp;L Data'!T2:T500,'S&amp;L Data'!$E2:$E500,"Agriculture")</f>
        <v>2786168</v>
      </c>
      <c r="I73">
        <f>SUMIFS('S&amp;L Data'!U2:U500,'S&amp;L Data'!$E2:$E500,"Agriculture")</f>
        <v>2988594</v>
      </c>
      <c r="J73">
        <f>SUMIFS('S&amp;L Data'!V2:V500,'S&amp;L Data'!$E2:$E500,"Agriculture")</f>
        <v>3010051</v>
      </c>
      <c r="K73">
        <f>SUMIFS('S&amp;L Data'!W2:W500,'S&amp;L Data'!$E2:$E500,"Agriculture")</f>
        <v>3241643</v>
      </c>
      <c r="L73">
        <f>SUMIFS('S&amp;L Data'!X2:X500,'S&amp;L Data'!$E2:$E500,"Agriculture")</f>
        <v>3531681</v>
      </c>
      <c r="M73">
        <f>SUMIFS('S&amp;L Data'!Y2:Y500,'S&amp;L Data'!$E2:$E500,"Agriculture")</f>
        <v>3635682</v>
      </c>
      <c r="N73">
        <f>SUMIFS('S&amp;L Data'!Z2:Z500,'S&amp;L Data'!$E2:$E500,"Agriculture")</f>
        <v>3653091</v>
      </c>
      <c r="O73">
        <f>SUMIFS('S&amp;L Data'!AA2:AA500,'S&amp;L Data'!$E2:$E500,"Agriculture")</f>
        <v>3749822</v>
      </c>
      <c r="P73">
        <f>SUMIFS('S&amp;L Data'!AB2:AB500,'S&amp;L Data'!$E2:$E500,"Agriculture")</f>
        <v>3795151</v>
      </c>
      <c r="Q73">
        <f>SUMIFS('S&amp;L Data'!AC2:AC500,'S&amp;L Data'!$E2:$E500,"Agriculture")</f>
        <v>3866808</v>
      </c>
      <c r="R73">
        <f>SUMIFS('S&amp;L Data'!AD2:AD500,'S&amp;L Data'!$E2:$E500,"Agriculture")</f>
        <v>3993407</v>
      </c>
      <c r="S73">
        <f>SUMIFS('S&amp;L Data'!AE2:AE500,'S&amp;L Data'!$E2:$E500,"Agriculture")</f>
        <v>4119720</v>
      </c>
      <c r="T73">
        <f>SUMIFS('S&amp;L Data'!AF2:AF500,'S&amp;L Data'!$E2:$E500,"Agriculture")</f>
        <v>4387033</v>
      </c>
      <c r="U73">
        <f>SUMIFS('S&amp;L Data'!AG2:AG500,'S&amp;L Data'!$E2:$E500,"Agriculture")</f>
        <v>4645913</v>
      </c>
      <c r="V73">
        <f>SUMIFS('S&amp;L Data'!AH2:AH500,'S&amp;L Data'!$E2:$E500,"Agriculture")</f>
        <v>5456274</v>
      </c>
      <c r="W73">
        <f>SUMIFS('S&amp;L Data'!AI2:AI500,'S&amp;L Data'!$E2:$E500,"Agriculture")</f>
        <v>5637629</v>
      </c>
      <c r="X73">
        <f>SUMIFS('S&amp;L Data'!AJ2:AJ500,'S&amp;L Data'!$E2:$E500,"Agriculture")</f>
        <v>5503864</v>
      </c>
      <c r="Y73">
        <f>SUMIFS('S&amp;L Data'!AK2:AK500,'S&amp;L Data'!$E2:$E500,"Agriculture")</f>
        <v>5591353</v>
      </c>
      <c r="Z73">
        <f>SUMIFS('S&amp;L Data'!AL2:AL500,'S&amp;L Data'!$E2:$E500,"Agriculture")</f>
        <v>5573618</v>
      </c>
      <c r="AA73" s="16">
        <v>5601272.3807694707</v>
      </c>
      <c r="AB73" s="16">
        <v>5628926.7615389423</v>
      </c>
      <c r="AC73" s="16">
        <v>5656581.1423084121</v>
      </c>
      <c r="AD73" s="16">
        <v>5684235.5230778838</v>
      </c>
      <c r="AE73" s="16">
        <v>5711889.9038473554</v>
      </c>
      <c r="AF73" s="16">
        <v>5739544.2846168261</v>
      </c>
      <c r="AG73" s="16">
        <v>5767198.6653862968</v>
      </c>
      <c r="AH73" s="16">
        <v>5794853.0461557675</v>
      </c>
      <c r="AI73" s="16">
        <v>5822507.4269252392</v>
      </c>
      <c r="AJ73">
        <f>SUMIFS('S&amp;L Data'!AV2:AV500,'S&amp;L Data'!$E2:$E500,"Agriculture")</f>
        <v>5860788.9890284827</v>
      </c>
    </row>
    <row r="74" spans="1:36">
      <c r="A74" s="3" t="s">
        <v>157</v>
      </c>
      <c r="B74">
        <f>SUMIFS('S&amp;L Data'!N2:N500,'S&amp;L Data'!$C2:$C500,"Obligations")+SUMIFS('S&amp;L Data'!N2:N500,'S&amp;L Data'!$C2:$C500,"Wealth and Savings")</f>
        <v>21717089</v>
      </c>
      <c r="C74">
        <f>SUMIFS('S&amp;L Data'!O2:O500,'S&amp;L Data'!$C2:$C500,"Obligations")+SUMIFS('S&amp;L Data'!O2:O500,'S&amp;L Data'!$C2:$C500,"Wealth and Savings")</f>
        <v>24939869</v>
      </c>
      <c r="D74">
        <f>SUMIFS('S&amp;L Data'!P2:P500,'S&amp;L Data'!$C2:$C500,"Obligations")+SUMIFS('S&amp;L Data'!P2:P500,'S&amp;L Data'!$C2:$C500,"Wealth and Savings")</f>
        <v>28165321</v>
      </c>
      <c r="E74">
        <f>SUMIFS('S&amp;L Data'!Q2:Q500,'S&amp;L Data'!$C2:$C500,"Obligations")+SUMIFS('S&amp;L Data'!Q2:Q500,'S&amp;L Data'!$C2:$C500,"Wealth and Savings")</f>
        <v>37845549</v>
      </c>
      <c r="F74">
        <f>SUMIFS('S&amp;L Data'!R2:R500,'S&amp;L Data'!$C2:$C500,"Obligations")+SUMIFS('S&amp;L Data'!R2:R500,'S&amp;L Data'!$C2:$C500,"Wealth and Savings")</f>
        <v>48858294</v>
      </c>
      <c r="G74">
        <f>SUMIFS('S&amp;L Data'!S2:S500,'S&amp;L Data'!$C2:$C500,"Obligations")+SUMIFS('S&amp;L Data'!S2:S500,'S&amp;L Data'!$C2:$C500,"Wealth and Savings")</f>
        <v>53088779</v>
      </c>
      <c r="H74">
        <f>SUMIFS('S&amp;L Data'!T2:T500,'S&amp;L Data'!$C2:$C500,"Obligations")+SUMIFS('S&amp;L Data'!T2:T500,'S&amp;L Data'!$C2:$C500,"Wealth and Savings")</f>
        <v>61424894</v>
      </c>
      <c r="I74">
        <f>SUMIFS('S&amp;L Data'!U2:U500,'S&amp;L Data'!$C2:$C500,"Obligations")+SUMIFS('S&amp;L Data'!U2:U500,'S&amp;L Data'!$C2:$C500,"Wealth and Savings")</f>
        <v>72970371</v>
      </c>
      <c r="J74">
        <f>SUMIFS('S&amp;L Data'!V2:V500,'S&amp;L Data'!$C2:$C500,"Obligations")+SUMIFS('S&amp;L Data'!V2:V500,'S&amp;L Data'!$C2:$C500,"Wealth and Savings")</f>
        <v>69180271</v>
      </c>
      <c r="K74">
        <f>SUMIFS('S&amp;L Data'!W2:W500,'S&amp;L Data'!$C2:$C500,"Obligations")+SUMIFS('S&amp;L Data'!W2:W500,'S&amp;L Data'!$C2:$C500,"Wealth and Savings")</f>
        <v>69897782</v>
      </c>
      <c r="L74">
        <f>SUMIFS('S&amp;L Data'!X2:X500,'S&amp;L Data'!$C2:$C500,"Obligations")+SUMIFS('S&amp;L Data'!X2:X500,'S&amp;L Data'!$C2:$C500,"Wealth and Savings")</f>
        <v>73902386</v>
      </c>
      <c r="M74">
        <f>SUMIFS('S&amp;L Data'!Y2:Y500,'S&amp;L Data'!$C2:$C500,"Obligations")+SUMIFS('S&amp;L Data'!Y2:Y500,'S&amp;L Data'!$C2:$C500,"Wealth and Savings")</f>
        <v>80722143</v>
      </c>
      <c r="N74">
        <f>SUMIFS('S&amp;L Data'!Z2:Z500,'S&amp;L Data'!$C2:$C500,"Obligations")+SUMIFS('S&amp;L Data'!Z2:Z500,'S&amp;L Data'!$C2:$C500,"Wealth and Savings")</f>
        <v>38988386</v>
      </c>
      <c r="O74">
        <f>SUMIFS('S&amp;L Data'!AA2:AA500,'S&amp;L Data'!$C2:$C500,"Obligations")+SUMIFS('S&amp;L Data'!AA2:AA500,'S&amp;L Data'!$C2:$C500,"Wealth and Savings")</f>
        <v>48067627</v>
      </c>
      <c r="P74">
        <f>SUMIFS('S&amp;L Data'!AB2:AB500,'S&amp;L Data'!$C2:$C500,"Obligations")+SUMIFS('S&amp;L Data'!AB2:AB500,'S&amp;L Data'!$C2:$C500,"Wealth and Savings")</f>
        <v>51681852</v>
      </c>
      <c r="Q74">
        <f>SUMIFS('S&amp;L Data'!AC2:AC500,'S&amp;L Data'!$C2:$C500,"Obligations")+SUMIFS('S&amp;L Data'!AC2:AC500,'S&amp;L Data'!$C2:$C500,"Wealth and Savings")</f>
        <v>53378032</v>
      </c>
      <c r="R74">
        <f>SUMIFS('S&amp;L Data'!AD2:AD500,'S&amp;L Data'!$C2:$C500,"Obligations")+SUMIFS('S&amp;L Data'!AD2:AD500,'S&amp;L Data'!$C2:$C500,"Wealth and Savings")</f>
        <v>58268864</v>
      </c>
      <c r="S74">
        <f>SUMIFS('S&amp;L Data'!AE2:AE500,'S&amp;L Data'!$C2:$C500,"Obligations")+SUMIFS('S&amp;L Data'!AE2:AE500,'S&amp;L Data'!$C2:$C500,"Wealth and Savings")</f>
        <v>61893769</v>
      </c>
      <c r="T74">
        <f>SUMIFS('S&amp;L Data'!AF2:AF500,'S&amp;L Data'!$C2:$C500,"Obligations")+SUMIFS('S&amp;L Data'!AF2:AF500,'S&amp;L Data'!$C2:$C500,"Wealth and Savings")</f>
        <v>68307987</v>
      </c>
      <c r="U74">
        <f>SUMIFS('S&amp;L Data'!AG2:AG500,'S&amp;L Data'!$C2:$C500,"Obligations")+SUMIFS('S&amp;L Data'!AG2:AG500,'S&amp;L Data'!$C2:$C500,"Wealth and Savings")</f>
        <v>74219024</v>
      </c>
      <c r="V74">
        <f>SUMIFS('S&amp;L Data'!AH2:AH500,'S&amp;L Data'!$C2:$C500,"Obligations")+SUMIFS('S&amp;L Data'!AH2:AH500,'S&amp;L Data'!$C2:$C500,"Wealth and Savings")</f>
        <v>82702865</v>
      </c>
      <c r="W74">
        <f>SUMIFS('S&amp;L Data'!AI2:AI500,'S&amp;L Data'!$C2:$C500,"Obligations")+SUMIFS('S&amp;L Data'!AI2:AI500,'S&amp;L Data'!$C2:$C500,"Wealth and Savings")</f>
        <v>82236509</v>
      </c>
      <c r="X74">
        <f>SUMIFS('S&amp;L Data'!AJ2:AJ500,'S&amp;L Data'!$C2:$C500,"Obligations")+SUMIFS('S&amp;L Data'!AJ2:AJ500,'S&amp;L Data'!$C2:$C500,"Wealth and Savings")</f>
        <v>106634092</v>
      </c>
      <c r="Y74">
        <f>SUMIFS('S&amp;L Data'!AK2:AK500,'S&amp;L Data'!$C2:$C500,"Obligations")+SUMIFS('S&amp;L Data'!AK2:AK500,'S&amp;L Data'!$C2:$C500,"Wealth and Savings")</f>
        <v>126804008</v>
      </c>
      <c r="Z74">
        <f>SUMIFS('S&amp;L Data'!AL2:AL500,'S&amp;L Data'!$C2:$C500,"Obligations")+SUMIFS('S&amp;L Data'!AL2:AL500,'S&amp;L Data'!$C2:$C500,"Wealth and Savings")</f>
        <v>139982854</v>
      </c>
      <c r="AA74">
        <f>SUMIFS('S&amp;L Data'!AM2:AM500,'S&amp;L Data'!$C2:$C500,"Obligations")+SUMIFS('S&amp;L Data'!AM2:AM500,'S&amp;L Data'!$C2:$C500,"Wealth and Savings")</f>
        <v>140851963</v>
      </c>
      <c r="AB74">
        <f>SUMIFS('S&amp;L Data'!AN2:AN500,'S&amp;L Data'!$C2:$C500,"Obligations")+SUMIFS('S&amp;L Data'!AN2:AN500,'S&amp;L Data'!$C2:$C500,"Wealth and Savings")</f>
        <v>143893914</v>
      </c>
      <c r="AC74">
        <f>SUMIFS('S&amp;L Data'!AO2:AO500,'S&amp;L Data'!$C2:$C500,"Obligations")+SUMIFS('S&amp;L Data'!AO2:AO500,'S&amp;L Data'!$C2:$C500,"Wealth and Savings")</f>
        <v>140987349</v>
      </c>
      <c r="AD74">
        <f>SUMIFS('S&amp;L Data'!AP2:AP500,'S&amp;L Data'!$C2:$C500,"Obligations")+SUMIFS('S&amp;L Data'!AP2:AP500,'S&amp;L Data'!$C2:$C500,"Wealth and Savings")</f>
        <v>162844207</v>
      </c>
      <c r="AE74">
        <f>SUMIFS('S&amp;L Data'!AQ2:AQ500,'S&amp;L Data'!$C2:$C500,"Obligations")+SUMIFS('S&amp;L Data'!AQ2:AQ500,'S&amp;L Data'!$C2:$C500,"Wealth and Savings")</f>
        <v>197140317</v>
      </c>
      <c r="AF74">
        <f>SUMIFS('S&amp;L Data'!AR2:AR500,'S&amp;L Data'!$C2:$C500,"Obligations")+SUMIFS('S&amp;L Data'!AR2:AR500,'S&amp;L Data'!$C2:$C500,"Wealth and Savings")</f>
        <v>225971893</v>
      </c>
      <c r="AG74">
        <f>SUMIFS('S&amp;L Data'!AS2:AS500,'S&amp;L Data'!$C2:$C500,"Obligations")+SUMIFS('S&amp;L Data'!AS2:AS500,'S&amp;L Data'!$C2:$C500,"Wealth and Savings")</f>
        <v>247838727</v>
      </c>
      <c r="AH74">
        <f>SUMIFS('S&amp;L Data'!AT2:AT500,'S&amp;L Data'!$C2:$C500,"Obligations")+SUMIFS('S&amp;L Data'!AT2:AT500,'S&amp;L Data'!$C2:$C500,"Wealth and Savings")</f>
        <v>262038131</v>
      </c>
      <c r="AI74">
        <f>SUMIFS('S&amp;L Data'!AU2:AU500,'S&amp;L Data'!$C2:$C500,"Obligations")+SUMIFS('S&amp;L Data'!AU2:AU500,'S&amp;L Data'!$C2:$C500,"Wealth and Savings")</f>
        <v>276038101</v>
      </c>
      <c r="AJ74">
        <f>SUMIFS('S&amp;L Data'!AV2:AV500,'S&amp;L Data'!$C2:$C500,"Obligations")+SUMIFS('S&amp;L Data'!AV2:AV500,'S&amp;L Data'!$C2:$C500,"Wealth and Savings")</f>
        <v>285635054</v>
      </c>
    </row>
    <row r="75" spans="1:36">
      <c r="A75" s="4" t="s">
        <v>41</v>
      </c>
      <c r="B75">
        <f>SUMIFS('S&amp;L Data'!N2:N500,'S&amp;L Data'!$C2:$C500,"Obligations")</f>
        <v>21717089</v>
      </c>
      <c r="C75">
        <f>SUMIFS('S&amp;L Data'!O2:O500,'S&amp;L Data'!$C2:$C500,"Obligations")</f>
        <v>24939869</v>
      </c>
      <c r="D75">
        <f>SUMIFS('S&amp;L Data'!P2:P500,'S&amp;L Data'!$C2:$C500,"Obligations")</f>
        <v>28165321</v>
      </c>
      <c r="E75">
        <f>SUMIFS('S&amp;L Data'!Q2:Q500,'S&amp;L Data'!$C2:$C500,"Obligations")</f>
        <v>37845549</v>
      </c>
      <c r="F75">
        <f>SUMIFS('S&amp;L Data'!R2:R500,'S&amp;L Data'!$C2:$C500,"Obligations")</f>
        <v>48858294</v>
      </c>
      <c r="G75">
        <f>SUMIFS('S&amp;L Data'!S2:S500,'S&amp;L Data'!$C2:$C500,"Obligations")</f>
        <v>53088779</v>
      </c>
      <c r="H75">
        <f>SUMIFS('S&amp;L Data'!T2:T500,'S&amp;L Data'!$C2:$C500,"Obligations")</f>
        <v>61424894</v>
      </c>
      <c r="I75">
        <f>SUMIFS('S&amp;L Data'!U2:U500,'S&amp;L Data'!$C2:$C500,"Obligations")</f>
        <v>72970371</v>
      </c>
      <c r="J75">
        <f>SUMIFS('S&amp;L Data'!V2:V500,'S&amp;L Data'!$C2:$C500,"Obligations")</f>
        <v>69180271</v>
      </c>
      <c r="K75">
        <f>SUMIFS('S&amp;L Data'!W2:W500,'S&amp;L Data'!$C2:$C500,"Obligations")</f>
        <v>69897782</v>
      </c>
      <c r="L75">
        <f>SUMIFS('S&amp;L Data'!X2:X500,'S&amp;L Data'!$C2:$C500,"Obligations")</f>
        <v>73902386</v>
      </c>
      <c r="M75">
        <f>SUMIFS('S&amp;L Data'!Y2:Y500,'S&amp;L Data'!$C2:$C500,"Obligations")</f>
        <v>80722143</v>
      </c>
      <c r="N75">
        <f>SUMIFS('S&amp;L Data'!Z2:Z500,'S&amp;L Data'!$C2:$C500,"Obligations")</f>
        <v>38988386</v>
      </c>
      <c r="O75">
        <f>SUMIFS('S&amp;L Data'!AA2:AA500,'S&amp;L Data'!$C2:$C500,"Obligations")</f>
        <v>48067627</v>
      </c>
      <c r="P75">
        <f>SUMIFS('S&amp;L Data'!AB2:AB500,'S&amp;L Data'!$C2:$C500,"Obligations")</f>
        <v>51681852</v>
      </c>
      <c r="Q75">
        <f>SUMIFS('S&amp;L Data'!AC2:AC500,'S&amp;L Data'!$C2:$C500,"Obligations")</f>
        <v>53378032</v>
      </c>
      <c r="R75">
        <f>SUMIFS('S&amp;L Data'!AD2:AD500,'S&amp;L Data'!$C2:$C500,"Obligations")</f>
        <v>58268864</v>
      </c>
      <c r="S75">
        <f>SUMIFS('S&amp;L Data'!AE2:AE500,'S&amp;L Data'!$C2:$C500,"Obligations")</f>
        <v>61893769</v>
      </c>
      <c r="T75">
        <f>SUMIFS('S&amp;L Data'!AF2:AF500,'S&amp;L Data'!$C2:$C500,"Obligations")</f>
        <v>68307987</v>
      </c>
      <c r="U75">
        <f>SUMIFS('S&amp;L Data'!AG2:AG500,'S&amp;L Data'!$C2:$C500,"Obligations")</f>
        <v>74219024</v>
      </c>
      <c r="V75">
        <f>SUMIFS('S&amp;L Data'!AH2:AH500,'S&amp;L Data'!$C2:$C500,"Obligations")</f>
        <v>82702865</v>
      </c>
      <c r="W75">
        <f>SUMIFS('S&amp;L Data'!AI2:AI500,'S&amp;L Data'!$C2:$C500,"Obligations")</f>
        <v>82236509</v>
      </c>
      <c r="X75">
        <f>SUMIFS('S&amp;L Data'!AJ2:AJ500,'S&amp;L Data'!$C2:$C500,"Obligations")</f>
        <v>106634092</v>
      </c>
      <c r="Y75">
        <f>SUMIFS('S&amp;L Data'!AK2:AK500,'S&amp;L Data'!$C2:$C500,"Obligations")</f>
        <v>126804008</v>
      </c>
      <c r="Z75">
        <f>SUMIFS('S&amp;L Data'!AL2:AL500,'S&amp;L Data'!$C2:$C500,"Obligations")</f>
        <v>139982854</v>
      </c>
      <c r="AA75">
        <f>SUMIFS('S&amp;L Data'!AM2:AM500,'S&amp;L Data'!$C2:$C500,"Obligations")</f>
        <v>140851963</v>
      </c>
      <c r="AB75">
        <f>SUMIFS('S&amp;L Data'!AN2:AN500,'S&amp;L Data'!$C2:$C500,"Obligations")</f>
        <v>143893914</v>
      </c>
      <c r="AC75">
        <f>SUMIFS('S&amp;L Data'!AO2:AO500,'S&amp;L Data'!$C2:$C500,"Obligations")</f>
        <v>140987349</v>
      </c>
      <c r="AD75">
        <f>SUMIFS('S&amp;L Data'!AP2:AP500,'S&amp;L Data'!$C2:$C500,"Obligations")</f>
        <v>162844207</v>
      </c>
      <c r="AE75">
        <f>SUMIFS('S&amp;L Data'!AQ2:AQ500,'S&amp;L Data'!$C2:$C500,"Obligations")</f>
        <v>197140317</v>
      </c>
      <c r="AF75">
        <f>SUMIFS('S&amp;L Data'!AR2:AR500,'S&amp;L Data'!$C2:$C500,"Obligations")</f>
        <v>225971893</v>
      </c>
      <c r="AG75">
        <f>SUMIFS('S&amp;L Data'!AS2:AS500,'S&amp;L Data'!$C2:$C500,"Obligations")</f>
        <v>247838727</v>
      </c>
      <c r="AH75">
        <f>SUMIFS('S&amp;L Data'!AT2:AT500,'S&amp;L Data'!$C2:$C500,"Obligations")</f>
        <v>262038131</v>
      </c>
      <c r="AI75">
        <f>SUMIFS('S&amp;L Data'!AU2:AU500,'S&amp;L Data'!$C2:$C500,"Obligations")</f>
        <v>276038101</v>
      </c>
      <c r="AJ75">
        <f>SUMIFS('S&amp;L Data'!AV2:AV500,'S&amp;L Data'!$C2:$C500,"Obligations")</f>
        <v>285635054</v>
      </c>
    </row>
    <row r="76" spans="1:36">
      <c r="A76" s="5" t="s">
        <v>42</v>
      </c>
      <c r="B76">
        <f>SUMIFS('S&amp;L Data'!N2:N500,'S&amp;L Data'!$D2:$D500,"Employee Retirement and Disability Benefits")</f>
        <v>16725998</v>
      </c>
      <c r="C76">
        <f>SUMIFS('S&amp;L Data'!O2:O500,'S&amp;L Data'!$D2:$D500,"Employee Retirement and Disability Benefits")</f>
        <v>18650130</v>
      </c>
      <c r="D76">
        <f>SUMIFS('S&amp;L Data'!P2:P500,'S&amp;L Data'!$D2:$D500,"Employee Retirement and Disability Benefits")</f>
        <v>21316508</v>
      </c>
      <c r="E76">
        <f>SUMIFS('S&amp;L Data'!Q2:Q500,'S&amp;L Data'!$D2:$D500,"Employee Retirement and Disability Benefits")</f>
        <v>23162124</v>
      </c>
      <c r="F76">
        <f>SUMIFS('S&amp;L Data'!R2:R500,'S&amp;L Data'!$D2:$D500,"Employee Retirement and Disability Benefits")</f>
        <v>26093110</v>
      </c>
      <c r="G76">
        <f>SUMIFS('S&amp;L Data'!S2:S500,'S&amp;L Data'!$D2:$D500,"Employee Retirement and Disability Benefits")</f>
        <v>29195532</v>
      </c>
      <c r="H76">
        <f>SUMIFS('S&amp;L Data'!T2:T500,'S&amp;L Data'!$D2:$D500,"Employee Retirement and Disability Benefits")</f>
        <v>31651311</v>
      </c>
      <c r="I76">
        <f>SUMIFS('S&amp;L Data'!U2:U500,'S&amp;L Data'!$D2:$D500,"Employee Retirement and Disability Benefits")</f>
        <v>35555474</v>
      </c>
      <c r="J76">
        <f>SUMIFS('S&amp;L Data'!V2:V500,'S&amp;L Data'!$D2:$D500,"Employee Retirement and Disability Benefits")</f>
        <v>38786642</v>
      </c>
      <c r="K76">
        <f>SUMIFS('S&amp;L Data'!W2:W500,'S&amp;L Data'!$D2:$D500,"Employee Retirement and Disability Benefits")</f>
        <v>42131706</v>
      </c>
      <c r="L76">
        <f>SUMIFS('S&amp;L Data'!X2:X500,'S&amp;L Data'!$D2:$D500,"Employee Retirement and Disability Benefits")</f>
        <v>46821905</v>
      </c>
      <c r="M76">
        <f>SUMIFS('S&amp;L Data'!Y2:Y500,'S&amp;L Data'!$D2:$D500,"Employee Retirement and Disability Benefits")</f>
        <v>52023117</v>
      </c>
      <c r="N76">
        <f>SUMIFS('S&amp;L Data'!Z2:Z500,'S&amp;L Data'!$D2:$D500,"Employee Retirement and Disability Benefits")</f>
        <v>57327293</v>
      </c>
      <c r="O76">
        <f>SUMIFS('S&amp;L Data'!AA2:AA500,'S&amp;L Data'!$D2:$D500,"Employee Retirement and Disability Benefits")</f>
        <v>63397702</v>
      </c>
      <c r="P76">
        <f>SUMIFS('S&amp;L Data'!AB2:AB500,'S&amp;L Data'!$D2:$D500,"Employee Retirement and Disability Benefits")</f>
        <v>66838500</v>
      </c>
      <c r="Q76">
        <f>SUMIFS('S&amp;L Data'!AC2:AC500,'S&amp;L Data'!$D2:$D500,"Employee Retirement and Disability Benefits")</f>
        <v>72135714</v>
      </c>
      <c r="R76">
        <f>SUMIFS('S&amp;L Data'!AD2:AD500,'S&amp;L Data'!$D2:$D500,"Employee Retirement and Disability Benefits")</f>
        <v>79241399</v>
      </c>
      <c r="S76">
        <f>SUMIFS('S&amp;L Data'!AE2:AE500,'S&amp;L Data'!$D2:$D500,"Employee Retirement and Disability Benefits")</f>
        <v>83204583</v>
      </c>
      <c r="T76">
        <f>SUMIFS('S&amp;L Data'!AF2:AF500,'S&amp;L Data'!$D2:$D500,"Employee Retirement and Disability Benefits")</f>
        <v>90621254</v>
      </c>
      <c r="U76">
        <f>SUMIFS('S&amp;L Data'!AG2:AG500,'S&amp;L Data'!$D2:$D500,"Employee Retirement and Disability Benefits")</f>
        <v>95949025</v>
      </c>
      <c r="V76">
        <f>SUMIFS('S&amp;L Data'!AH2:AH500,'S&amp;L Data'!$D2:$D500,"Employee Retirement and Disability Benefits")</f>
        <v>106581171</v>
      </c>
      <c r="W76">
        <f>SUMIFS('S&amp;L Data'!AI2:AI500,'S&amp;L Data'!$D2:$D500,"Employee Retirement and Disability Benefits")</f>
        <v>116556397</v>
      </c>
      <c r="X76">
        <f>SUMIFS('S&amp;L Data'!AJ2:AJ500,'S&amp;L Data'!$D2:$D500,"Employee Retirement and Disability Benefits")</f>
        <v>128596440</v>
      </c>
      <c r="Y76">
        <f>SUMIFS('S&amp;L Data'!AK2:AK500,'S&amp;L Data'!$D2:$D500,"Employee Retirement and Disability Benefits")</f>
        <v>141716972</v>
      </c>
      <c r="Z76">
        <f>SUMIFS('S&amp;L Data'!AL2:AL500,'S&amp;L Data'!$D2:$D500,"Employee Retirement and Disability Benefits")</f>
        <v>154564283</v>
      </c>
      <c r="AA76">
        <f>SUMIFS('S&amp;L Data'!AM2:AM500,'S&amp;L Data'!$D2:$D500,"Employee Retirement and Disability Benefits")</f>
        <v>165886533</v>
      </c>
      <c r="AB76">
        <f>SUMIFS('S&amp;L Data'!AN2:AN500,'S&amp;L Data'!$D2:$D500,"Employee Retirement and Disability Benefits")</f>
        <v>175982997</v>
      </c>
      <c r="AC76">
        <f>SUMIFS('S&amp;L Data'!AO2:AO500,'S&amp;L Data'!$D2:$D500,"Employee Retirement and Disability Benefits")</f>
        <v>184916909</v>
      </c>
      <c r="AD76">
        <f>SUMIFS('S&amp;L Data'!AP2:AP500,'S&amp;L Data'!$D2:$D500,"Employee Retirement and Disability Benefits")</f>
        <v>199632225</v>
      </c>
      <c r="AE76">
        <f>SUMIFS('S&amp;L Data'!AQ2:AQ500,'S&amp;L Data'!$D2:$D500,"Employee Retirement and Disability Benefits")</f>
        <v>210904021</v>
      </c>
      <c r="AF76">
        <f>SUMIFS('S&amp;L Data'!AR2:AR500,'S&amp;L Data'!$D2:$D500,"Employee Retirement and Disability Benefits")</f>
        <v>223659874</v>
      </c>
      <c r="AG76">
        <f>SUMIFS('S&amp;L Data'!AS2:AS500,'S&amp;L Data'!$D2:$D500,"Employee Retirement and Disability Benefits")</f>
        <v>239017752</v>
      </c>
      <c r="AH76">
        <f>SUMIFS('S&amp;L Data'!AT2:AT500,'S&amp;L Data'!$D2:$D500,"Employee Retirement and Disability Benefits")</f>
        <v>249507210</v>
      </c>
      <c r="AI76">
        <f>SUMIFS('S&amp;L Data'!AU2:AU500,'S&amp;L Data'!$D2:$D500,"Employee Retirement and Disability Benefits")</f>
        <v>263675303</v>
      </c>
      <c r="AJ76">
        <f>SUMIFS('S&amp;L Data'!AV2:AV500,'S&amp;L Data'!$D2:$D500,"Employee Retirement and Disability Benefits")</f>
        <v>276557940</v>
      </c>
    </row>
    <row r="77" spans="1:36" s="18" customFormat="1">
      <c r="A77" s="17" t="s">
        <v>314</v>
      </c>
      <c r="B77" s="18">
        <f>SUMIFS('S&amp;L Data'!N2:N500,'S&amp;L Data'!$D2:$D500,"Employee Contributions for Retirement and Disability")</f>
        <v>-10335303</v>
      </c>
      <c r="C77" s="18">
        <f>SUMIFS('S&amp;L Data'!O2:O500,'S&amp;L Data'!$D2:$D500,"Employee Contributions for Retirement and Disability")</f>
        <v>-10894517</v>
      </c>
      <c r="D77" s="18">
        <f>SUMIFS('S&amp;L Data'!P2:P500,'S&amp;L Data'!$D2:$D500,"Employee Contributions for Retirement and Disability")</f>
        <v>-11887489</v>
      </c>
      <c r="E77" s="18">
        <f>SUMIFS('S&amp;L Data'!Q2:Q500,'S&amp;L Data'!$D2:$D500,"Employee Contributions for Retirement and Disability")</f>
        <v>-12528720</v>
      </c>
      <c r="F77" s="18">
        <f>SUMIFS('S&amp;L Data'!R2:R500,'S&amp;L Data'!$D2:$D500,"Employee Contributions for Retirement and Disability")</f>
        <v>-12913795</v>
      </c>
      <c r="G77" s="18">
        <f>SUMIFS('S&amp;L Data'!S2:S500,'S&amp;L Data'!$D2:$D500,"Employee Contributions for Retirement and Disability")</f>
        <v>-14047155</v>
      </c>
      <c r="H77" s="18">
        <f>SUMIFS('S&amp;L Data'!T2:T500,'S&amp;L Data'!$D2:$D500,"Employee Contributions for Retirement and Disability")</f>
        <v>-15758488</v>
      </c>
      <c r="I77" s="18">
        <f>SUMIFS('S&amp;L Data'!U2:U500,'S&amp;L Data'!$D2:$D500,"Employee Contributions for Retirement and Disability")</f>
        <v>-17725324</v>
      </c>
      <c r="J77" s="18">
        <f>SUMIFS('S&amp;L Data'!V2:V500,'S&amp;L Data'!$D2:$D500,"Employee Contributions for Retirement and Disability")</f>
        <v>-19420311</v>
      </c>
      <c r="K77" s="18">
        <f>SUMIFS('S&amp;L Data'!W2:W500,'S&amp;L Data'!$D2:$D500,"Employee Contributions for Retirement and Disability")</f>
        <v>-21251402</v>
      </c>
      <c r="L77" s="18">
        <f>SUMIFS('S&amp;L Data'!X2:X500,'S&amp;L Data'!$D2:$D500,"Employee Contributions for Retirement and Disability")</f>
        <v>-22848992</v>
      </c>
      <c r="M77" s="18">
        <f>SUMIFS('S&amp;L Data'!Y2:Y500,'S&amp;L Data'!$D2:$D500,"Employee Contributions for Retirement and Disability")</f>
        <v>-26481732</v>
      </c>
      <c r="N77" s="18">
        <f>SUMIFS('S&amp;L Data'!Z2:Z500,'S&amp;L Data'!$D2:$D500,"Employee Contributions for Retirement and Disability")</f>
        <v>-27760841</v>
      </c>
      <c r="O77" s="18">
        <f>SUMIFS('S&amp;L Data'!AA2:AA500,'S&amp;L Data'!$D2:$D500,"Employee Contributions for Retirement and Disability")</f>
        <v>-29326048</v>
      </c>
      <c r="P77" s="18">
        <f>SUMIFS('S&amp;L Data'!AB2:AB500,'S&amp;L Data'!$D2:$D500,"Employee Contributions for Retirement and Disability")</f>
        <v>-30964392</v>
      </c>
      <c r="Q77" s="18">
        <f>SUMIFS('S&amp;L Data'!AC2:AC500,'S&amp;L Data'!$D2:$D500,"Employee Contributions for Retirement and Disability")</f>
        <v>-31723411</v>
      </c>
      <c r="R77" s="18">
        <f>SUMIFS('S&amp;L Data'!AD2:AD500,'S&amp;L Data'!$D2:$D500,"Employee Contributions for Retirement and Disability")</f>
        <v>-32123809</v>
      </c>
      <c r="S77" s="18">
        <f>SUMIFS('S&amp;L Data'!AE2:AE500,'S&amp;L Data'!$D2:$D500,"Employee Contributions for Retirement and Disability")</f>
        <v>-31795676</v>
      </c>
      <c r="T77" s="18">
        <f>SUMIFS('S&amp;L Data'!AF2:AF500,'S&amp;L Data'!$D2:$D500,"Employee Contributions for Retirement and Disability")</f>
        <v>-31493901</v>
      </c>
      <c r="U77" s="18">
        <f>SUMIFS('S&amp;L Data'!AG2:AG500,'S&amp;L Data'!$D2:$D500,"Employee Contributions for Retirement and Disability")</f>
        <v>-33299480</v>
      </c>
      <c r="V77" s="18">
        <f>SUMIFS('S&amp;L Data'!AH2:AH500,'S&amp;L Data'!$D2:$D500,"Employee Contributions for Retirement and Disability")</f>
        <v>-33887563</v>
      </c>
      <c r="W77" s="18">
        <f>SUMIFS('S&amp;L Data'!AI2:AI500,'S&amp;L Data'!$D2:$D500,"Employee Contributions for Retirement and Disability")</f>
        <v>-38771656</v>
      </c>
      <c r="X77" s="18">
        <f>SUMIFS('S&amp;L Data'!AJ2:AJ500,'S&amp;L Data'!$D2:$D500,"Employee Contributions for Retirement and Disability")</f>
        <v>-41734573</v>
      </c>
      <c r="Y77" s="18">
        <f>SUMIFS('S&amp;L Data'!AK2:AK500,'S&amp;L Data'!$D2:$D500,"Employee Contributions for Retirement and Disability")</f>
        <v>-45536446</v>
      </c>
      <c r="Z77" s="18">
        <f>SUMIFS('S&amp;L Data'!AL2:AL500,'S&amp;L Data'!$D2:$D500,"Employee Contributions for Retirement and Disability")</f>
        <v>-54665833</v>
      </c>
      <c r="AA77" s="18">
        <f>SUMIFS('S&amp;L Data'!AM2:AM500,'S&amp;L Data'!$D2:$D500,"Employee Contributions for Retirement and Disability")</f>
        <v>-57439174</v>
      </c>
      <c r="AB77" s="18">
        <f>SUMIFS('S&amp;L Data'!AN2:AN500,'S&amp;L Data'!$D2:$D500,"Employee Contributions for Retirement and Disability")</f>
        <v>-57688305</v>
      </c>
      <c r="AC77" s="18">
        <f>SUMIFS('S&amp;L Data'!AO2:AO500,'S&amp;L Data'!$D2:$D500,"Employee Contributions for Retirement and Disability")</f>
        <v>-58153090</v>
      </c>
      <c r="AD77" s="18">
        <f>SUMIFS('S&amp;L Data'!AP2:AP500,'S&amp;L Data'!$D2:$D500,"Employee Contributions for Retirement and Disability")</f>
        <v>-56337574</v>
      </c>
      <c r="AE77" s="18">
        <f>SUMIFS('S&amp;L Data'!AQ2:AQ500,'S&amp;L Data'!$D2:$D500,"Employee Contributions for Retirement and Disability")</f>
        <v>-59356093</v>
      </c>
      <c r="AF77" s="18">
        <f>SUMIFS('S&amp;L Data'!AR2:AR500,'S&amp;L Data'!$D2:$D500,"Employee Contributions for Retirement and Disability")</f>
        <v>-57799064</v>
      </c>
      <c r="AG77" s="18">
        <f>SUMIFS('S&amp;L Data'!AS2:AS500,'S&amp;L Data'!$D2:$D500,"Employee Contributions for Retirement and Disability")</f>
        <v>-58372058</v>
      </c>
      <c r="AH77" s="18">
        <f>SUMIFS('S&amp;L Data'!AT2:AT500,'S&amp;L Data'!$D2:$D500,"Employee Contributions for Retirement and Disability")</f>
        <v>-61699123</v>
      </c>
      <c r="AI77" s="18">
        <f>SUMIFS('S&amp;L Data'!AU2:AU500,'S&amp;L Data'!$D2:$D500,"Employee Contributions for Retirement and Disability")</f>
        <v>-62272034</v>
      </c>
      <c r="AJ77" s="18">
        <f>SUMIFS('S&amp;L Data'!AV2:AV500,'S&amp;L Data'!$D2:$D500,"Employee Contributions for Retirement and Disability")</f>
        <v>-64260027</v>
      </c>
    </row>
    <row r="78" spans="1:36">
      <c r="A78" s="5" t="s">
        <v>310</v>
      </c>
      <c r="B78">
        <f>SUMIFS('S&amp;L Data'!N2:N500,'S&amp;L Data'!$D2:$D500,"Net Interest on Debt")</f>
        <v>15326394</v>
      </c>
      <c r="C78">
        <f>SUMIFS('S&amp;L Data'!O2:O500,'S&amp;L Data'!$D2:$D500,"Net Interest on Debt")</f>
        <v>17184256</v>
      </c>
      <c r="D78">
        <f>SUMIFS('S&amp;L Data'!P2:P500,'S&amp;L Data'!$D2:$D500,"Net Interest on Debt")</f>
        <v>18736302</v>
      </c>
      <c r="E78">
        <f>SUMIFS('S&amp;L Data'!Q2:Q500,'S&amp;L Data'!$D2:$D500,"Net Interest on Debt")</f>
        <v>27212145</v>
      </c>
      <c r="F78">
        <f>SUMIFS('S&amp;L Data'!R2:R500,'S&amp;L Data'!$D2:$D500,"Net Interest on Debt")</f>
        <v>35678979</v>
      </c>
      <c r="G78">
        <f>SUMIFS('S&amp;L Data'!S2:S500,'S&amp;L Data'!$D2:$D500,"Net Interest on Debt")</f>
        <v>37940402</v>
      </c>
      <c r="H78">
        <f>SUMIFS('S&amp;L Data'!T2:T500,'S&amp;L Data'!$D2:$D500,"Net Interest on Debt")</f>
        <v>45532071</v>
      </c>
      <c r="I78">
        <f>SUMIFS('S&amp;L Data'!U2:U500,'S&amp;L Data'!$D2:$D500,"Net Interest on Debt")</f>
        <v>55140221</v>
      </c>
      <c r="J78">
        <f>SUMIFS('S&amp;L Data'!V2:V500,'S&amp;L Data'!$D2:$D500,"Net Interest on Debt")</f>
        <v>49813940</v>
      </c>
      <c r="K78">
        <f>SUMIFS('S&amp;L Data'!W2:W500,'S&amp;L Data'!$D2:$D500,"Net Interest on Debt")</f>
        <v>49017478</v>
      </c>
      <c r="L78">
        <f>SUMIFS('S&amp;L Data'!X2:X500,'S&amp;L Data'!$D2:$D500,"Net Interest on Debt")</f>
        <v>49929473</v>
      </c>
      <c r="M78">
        <f>SUMIFS('S&amp;L Data'!Y2:Y500,'S&amp;L Data'!$D2:$D500,"Net Interest on Debt")</f>
        <v>55180758</v>
      </c>
      <c r="N78">
        <f>SUMIFS('S&amp;L Data'!Z2:Z500,'S&amp;L Data'!$D2:$D500,"Net Interest on Debt")</f>
        <v>9421934</v>
      </c>
      <c r="O78">
        <f>SUMIFS('S&amp;L Data'!AA2:AA500,'S&amp;L Data'!$D2:$D500,"Net Interest on Debt")</f>
        <v>13995973</v>
      </c>
      <c r="P78">
        <f>SUMIFS('S&amp;L Data'!AB2:AB500,'S&amp;L Data'!$D2:$D500,"Net Interest on Debt")</f>
        <v>15807744</v>
      </c>
      <c r="Q78">
        <f>SUMIFS('S&amp;L Data'!AC2:AC500,'S&amp;L Data'!$D2:$D500,"Net Interest on Debt")</f>
        <v>12965729</v>
      </c>
      <c r="R78">
        <f>SUMIFS('S&amp;L Data'!AD2:AD500,'S&amp;L Data'!$D2:$D500,"Net Interest on Debt")</f>
        <v>11151274</v>
      </c>
      <c r="S78">
        <f>SUMIFS('S&amp;L Data'!AE2:AE500,'S&amp;L Data'!$D2:$D500,"Net Interest on Debt")</f>
        <v>10484862</v>
      </c>
      <c r="T78">
        <f>SUMIFS('S&amp;L Data'!AF2:AF500,'S&amp;L Data'!$D2:$D500,"Net Interest on Debt")</f>
        <v>9180634</v>
      </c>
      <c r="U78">
        <f>SUMIFS('S&amp;L Data'!AG2:AG500,'S&amp;L Data'!$D2:$D500,"Net Interest on Debt")</f>
        <v>11569479</v>
      </c>
      <c r="V78">
        <f>SUMIFS('S&amp;L Data'!AH2:AH500,'S&amp;L Data'!$D2:$D500,"Net Interest on Debt")</f>
        <v>10009257</v>
      </c>
      <c r="W78">
        <f>SUMIFS('S&amp;L Data'!AI2:AI500,'S&amp;L Data'!$D2:$D500,"Net Interest on Debt")</f>
        <v>4451768</v>
      </c>
      <c r="X78">
        <f>SUMIFS('S&amp;L Data'!AJ2:AJ500,'S&amp;L Data'!$D2:$D500,"Net Interest on Debt")</f>
        <v>19772225</v>
      </c>
      <c r="Y78">
        <f>SUMIFS('S&amp;L Data'!AK2:AK500,'S&amp;L Data'!$D2:$D500,"Net Interest on Debt")</f>
        <v>30623482</v>
      </c>
      <c r="Z78">
        <f>SUMIFS('S&amp;L Data'!AL2:AL500,'S&amp;L Data'!$D2:$D500,"Net Interest on Debt")</f>
        <v>40084404</v>
      </c>
      <c r="AA78">
        <f>SUMIFS('S&amp;L Data'!AM2:AM500,'S&amp;L Data'!$D2:$D500,"Net Interest on Debt")</f>
        <v>32404604</v>
      </c>
      <c r="AB78">
        <f>SUMIFS('S&amp;L Data'!AN2:AN500,'S&amp;L Data'!$D2:$D500,"Net Interest on Debt")</f>
        <v>25599222</v>
      </c>
      <c r="AC78">
        <f>SUMIFS('S&amp;L Data'!AO2:AO500,'S&amp;L Data'!$D2:$D500,"Net Interest on Debt")</f>
        <v>14223530</v>
      </c>
      <c r="AD78">
        <f>SUMIFS('S&amp;L Data'!AP2:AP500,'S&amp;L Data'!$D2:$D500,"Net Interest on Debt")</f>
        <v>19549556</v>
      </c>
      <c r="AE78">
        <f>SUMIFS('S&amp;L Data'!AQ2:AQ500,'S&amp;L Data'!$D2:$D500,"Net Interest on Debt")</f>
        <v>45592389</v>
      </c>
      <c r="AF78">
        <f>SUMIFS('S&amp;L Data'!AR2:AR500,'S&amp;L Data'!$D2:$D500,"Net Interest on Debt")</f>
        <v>60111083</v>
      </c>
      <c r="AG78">
        <f>SUMIFS('S&amp;L Data'!AS2:AS500,'S&amp;L Data'!$D2:$D500,"Net Interest on Debt")</f>
        <v>67193033</v>
      </c>
      <c r="AH78">
        <f>SUMIFS('S&amp;L Data'!AT2:AT500,'S&amp;L Data'!$D2:$D500,"Net Interest on Debt")</f>
        <v>74230044</v>
      </c>
      <c r="AI78">
        <f>SUMIFS('S&amp;L Data'!AU2:AU500,'S&amp;L Data'!$D2:$D500,"Net Interest on Debt")</f>
        <v>74634832</v>
      </c>
      <c r="AJ78">
        <f>SUMIFS('S&amp;L Data'!AV2:AV500,'S&amp;L Data'!$D2:$D500,"Net Interest on Debt")</f>
        <v>73337141</v>
      </c>
    </row>
    <row r="79" spans="1:36">
      <c r="A79" s="2" t="s">
        <v>40</v>
      </c>
      <c r="B79">
        <f>SUMIFS('S&amp;L Data'!N2:N500,'S&amp;L Data'!$C2:$C500,"General Government")</f>
        <v>33490017</v>
      </c>
      <c r="C79">
        <f>SUMIFS('S&amp;L Data'!O2:O500,'S&amp;L Data'!$C2:$C500,"General Government")</f>
        <v>36047905</v>
      </c>
      <c r="D79">
        <f>SUMIFS('S&amp;L Data'!P2:P500,'S&amp;L Data'!$C2:$C500,"General Government")</f>
        <v>36321833</v>
      </c>
      <c r="E79">
        <f>SUMIFS('S&amp;L Data'!Q2:Q500,'S&amp;L Data'!$C2:$C500,"General Government")</f>
        <v>36125794</v>
      </c>
      <c r="F79">
        <f>SUMIFS('S&amp;L Data'!R2:R500,'S&amp;L Data'!$C2:$C500,"General Government")</f>
        <v>38891922</v>
      </c>
      <c r="G79">
        <f>SUMIFS('S&amp;L Data'!S2:S500,'S&amp;L Data'!$C2:$C500,"General Government")</f>
        <v>42895231</v>
      </c>
      <c r="H79">
        <f>SUMIFS('S&amp;L Data'!T2:T500,'S&amp;L Data'!$C2:$C500,"General Government")</f>
        <v>46789058</v>
      </c>
      <c r="I79">
        <f>SUMIFS('S&amp;L Data'!U2:U500,'S&amp;L Data'!$C2:$C500,"General Government")</f>
        <v>51030336</v>
      </c>
      <c r="J79">
        <f>SUMIFS('S&amp;L Data'!V2:V500,'S&amp;L Data'!$C2:$C500,"General Government")</f>
        <v>53109075</v>
      </c>
      <c r="K79">
        <f>SUMIFS('S&amp;L Data'!W2:W500,'S&amp;L Data'!$C2:$C500,"General Government")</f>
        <v>56919626</v>
      </c>
      <c r="L79">
        <f>SUMIFS('S&amp;L Data'!X2:X500,'S&amp;L Data'!$C2:$C500,"General Government")</f>
        <v>61059762</v>
      </c>
      <c r="M79">
        <f>SUMIFS('S&amp;L Data'!Y2:Y500,'S&amp;L Data'!$C2:$C500,"General Government")</f>
        <v>65282138</v>
      </c>
      <c r="N79">
        <f>SUMIFS('S&amp;L Data'!Z2:Z500,'S&amp;L Data'!$C2:$C500,"General Government")</f>
        <v>66757855</v>
      </c>
      <c r="O79">
        <f>SUMIFS('S&amp;L Data'!AA2:AA500,'S&amp;L Data'!$C2:$C500,"General Government")</f>
        <v>68898275</v>
      </c>
      <c r="P79">
        <f>SUMIFS('S&amp;L Data'!AB2:AB500,'S&amp;L Data'!$C2:$C500,"General Government")</f>
        <v>70736640</v>
      </c>
      <c r="Q79">
        <f>SUMIFS('S&amp;L Data'!AC2:AC500,'S&amp;L Data'!$C2:$C500,"General Government")</f>
        <v>75526320</v>
      </c>
      <c r="R79">
        <f>SUMIFS('S&amp;L Data'!AD2:AD500,'S&amp;L Data'!$C2:$C500,"General Government")</f>
        <v>75227274</v>
      </c>
      <c r="S79">
        <f>SUMIFS('S&amp;L Data'!AE2:AE500,'S&amp;L Data'!$C2:$C500,"General Government")</f>
        <v>82143509</v>
      </c>
      <c r="T79">
        <f>SUMIFS('S&amp;L Data'!AF2:AF500,'S&amp;L Data'!$C2:$C500,"General Government")</f>
        <v>85160967</v>
      </c>
      <c r="U79">
        <f>SUMIFS('S&amp;L Data'!AG2:AG500,'S&amp;L Data'!$C2:$C500,"General Government")</f>
        <v>94425013</v>
      </c>
      <c r="V79">
        <f>SUMIFS('S&amp;L Data'!AH2:AH500,'S&amp;L Data'!$C2:$C500,"General Government")</f>
        <v>102791222</v>
      </c>
      <c r="W79">
        <f>SUMIFS('S&amp;L Data'!AI2:AI500,'S&amp;L Data'!$C2:$C500,"General Government")</f>
        <v>112524167</v>
      </c>
      <c r="X79">
        <f>SUMIFS('S&amp;L Data'!AJ2:AJ500,'S&amp;L Data'!$C2:$C500,"General Government")</f>
        <v>120882962</v>
      </c>
      <c r="Y79">
        <f>SUMIFS('S&amp;L Data'!AK2:AK500,'S&amp;L Data'!$C2:$C500,"General Government")</f>
        <v>118239247</v>
      </c>
      <c r="Z79">
        <f>SUMIFS('S&amp;L Data'!AL2:AL500,'S&amp;L Data'!$C2:$C500,"General Government")</f>
        <v>119089366</v>
      </c>
      <c r="AA79">
        <f>SUMIFS('S&amp;L Data'!AM2:AM500,'S&amp;L Data'!$C2:$C500,"General Government")</f>
        <v>122609628</v>
      </c>
      <c r="AB79">
        <f>SUMIFS('S&amp;L Data'!AN2:AN500,'S&amp;L Data'!$C2:$C500,"General Government")</f>
        <v>131804808</v>
      </c>
      <c r="AC79">
        <f>SUMIFS('S&amp;L Data'!AO2:AO500,'S&amp;L Data'!$C2:$C500,"General Government")</f>
        <v>148596531</v>
      </c>
      <c r="AD79">
        <f>SUMIFS('S&amp;L Data'!AP2:AP500,'S&amp;L Data'!$C2:$C500,"General Government")</f>
        <v>151893372</v>
      </c>
      <c r="AE79">
        <f>SUMIFS('S&amp;L Data'!AQ2:AQ500,'S&amp;L Data'!$C2:$C500,"General Government")</f>
        <v>156733765</v>
      </c>
      <c r="AF79">
        <f>SUMIFS('S&amp;L Data'!AR2:AR500,'S&amp;L Data'!$C2:$C500,"General Government")</f>
        <v>158039258</v>
      </c>
      <c r="AG79">
        <f>SUMIFS('S&amp;L Data'!AS2:AS500,'S&amp;L Data'!$C2:$C500,"General Government")</f>
        <v>154779816</v>
      </c>
      <c r="AH79">
        <f>SUMIFS('S&amp;L Data'!AT2:AT500,'S&amp;L Data'!$C2:$C500,"General Government")</f>
        <v>148651663</v>
      </c>
      <c r="AI79">
        <f>SUMIFS('S&amp;L Data'!AU2:AU500,'S&amp;L Data'!$C2:$C500,"General Government")</f>
        <v>145235828</v>
      </c>
      <c r="AJ79">
        <f>SUMIFS('S&amp;L Data'!AV2:AV500,'S&amp;L Data'!$C2:$C500,"General Government")</f>
        <v>154342431</v>
      </c>
    </row>
    <row r="80" spans="1:36">
      <c r="A80" s="2"/>
    </row>
    <row r="81" spans="1:36">
      <c r="A81" s="9" t="s">
        <v>320</v>
      </c>
      <c r="B81">
        <f t="shared" ref="B81:AJ81" si="0">B3-B25</f>
        <v>932331</v>
      </c>
      <c r="C81">
        <f t="shared" si="0"/>
        <v>1907945</v>
      </c>
      <c r="D81">
        <f t="shared" si="0"/>
        <v>4173378</v>
      </c>
      <c r="E81">
        <f t="shared" si="0"/>
        <v>3405434</v>
      </c>
      <c r="F81">
        <f t="shared" si="0"/>
        <v>18599607</v>
      </c>
      <c r="G81">
        <f t="shared" si="0"/>
        <v>24439622</v>
      </c>
      <c r="H81">
        <f t="shared" si="0"/>
        <v>22721241</v>
      </c>
      <c r="I81">
        <f t="shared" si="0"/>
        <v>18447444</v>
      </c>
      <c r="J81">
        <f t="shared" si="0"/>
        <v>5277626</v>
      </c>
      <c r="K81">
        <f t="shared" si="0"/>
        <v>6074532</v>
      </c>
      <c r="L81">
        <f t="shared" si="0"/>
        <v>832391</v>
      </c>
      <c r="M81">
        <f t="shared" si="0"/>
        <v>-32427217</v>
      </c>
      <c r="N81">
        <f t="shared" si="0"/>
        <v>27297933</v>
      </c>
      <c r="O81">
        <f t="shared" si="0"/>
        <v>44724621</v>
      </c>
      <c r="P81">
        <f t="shared" si="0"/>
        <v>52013012</v>
      </c>
      <c r="Q81">
        <f t="shared" si="0"/>
        <v>48710352</v>
      </c>
      <c r="R81">
        <f t="shared" si="0"/>
        <v>95102389</v>
      </c>
      <c r="S81">
        <f t="shared" si="0"/>
        <v>129205020</v>
      </c>
      <c r="T81">
        <f t="shared" si="0"/>
        <v>169722857</v>
      </c>
      <c r="U81">
        <f t="shared" si="0"/>
        <v>149630473</v>
      </c>
      <c r="V81">
        <f t="shared" si="0"/>
        <v>173646566</v>
      </c>
      <c r="W81">
        <f t="shared" si="0"/>
        <v>-24408205</v>
      </c>
      <c r="X81">
        <f t="shared" si="0"/>
        <v>-245950182</v>
      </c>
      <c r="Y81">
        <f t="shared" si="0"/>
        <v>-108964279</v>
      </c>
      <c r="Z81">
        <f t="shared" si="0"/>
        <v>153445521</v>
      </c>
      <c r="AA81">
        <f t="shared" si="0"/>
        <v>131790905</v>
      </c>
      <c r="AB81">
        <f t="shared" si="0"/>
        <v>218158074</v>
      </c>
      <c r="AC81">
        <f t="shared" si="0"/>
        <v>368649664</v>
      </c>
      <c r="AD81">
        <f t="shared" si="0"/>
        <v>-246398022</v>
      </c>
      <c r="AE81">
        <f t="shared" si="0"/>
        <v>-900662708</v>
      </c>
      <c r="AF81">
        <f t="shared" si="0"/>
        <v>95301601</v>
      </c>
      <c r="AG81">
        <f t="shared" si="0"/>
        <v>282082280</v>
      </c>
      <c r="AH81">
        <f t="shared" si="0"/>
        <v>-139180831</v>
      </c>
      <c r="AI81">
        <f t="shared" si="0"/>
        <v>187116365</v>
      </c>
      <c r="AJ81">
        <f t="shared" si="0"/>
        <v>316256780</v>
      </c>
    </row>
    <row r="82" spans="1:36">
      <c r="A82" s="2"/>
    </row>
    <row r="84" spans="1:36">
      <c r="A84" s="9" t="s">
        <v>135</v>
      </c>
      <c r="AA84" s="12"/>
      <c r="AB84" s="12"/>
      <c r="AC84" s="12"/>
      <c r="AD84" s="12"/>
      <c r="AE84" s="12"/>
      <c r="AF84" s="12"/>
      <c r="AG84" s="12"/>
      <c r="AH84" s="12"/>
      <c r="AI84" s="12"/>
    </row>
    <row r="85" spans="1:36">
      <c r="A85" s="8"/>
      <c r="AA85" s="12"/>
      <c r="AB85" s="12"/>
      <c r="AC85" s="12"/>
      <c r="AD85" s="12"/>
      <c r="AE85" s="12"/>
      <c r="AF85" s="12"/>
      <c r="AG85" s="12"/>
      <c r="AH85" s="12"/>
      <c r="AI85" s="12"/>
    </row>
    <row r="86" spans="1:36">
      <c r="A86" s="8" t="s">
        <v>142</v>
      </c>
    </row>
    <row r="87" spans="1:36">
      <c r="A87" s="11" t="s">
        <v>143</v>
      </c>
    </row>
    <row r="88" spans="1:36">
      <c r="A88" s="4" t="s">
        <v>154</v>
      </c>
      <c r="B88">
        <v>1825749</v>
      </c>
      <c r="C88">
        <v>2098012</v>
      </c>
      <c r="D88">
        <v>2296246</v>
      </c>
      <c r="E88">
        <v>2535352</v>
      </c>
      <c r="F88">
        <v>2745041</v>
      </c>
      <c r="G88">
        <v>3117639</v>
      </c>
      <c r="H88">
        <v>3454174</v>
      </c>
      <c r="I88">
        <v>3825118</v>
      </c>
      <c r="J88">
        <v>4108857</v>
      </c>
      <c r="K88">
        <v>4694727</v>
      </c>
      <c r="L88">
        <v>5173476</v>
      </c>
      <c r="M88">
        <v>5718240</v>
      </c>
      <c r="N88">
        <v>5909173</v>
      </c>
      <c r="O88">
        <v>6648199</v>
      </c>
      <c r="P88">
        <v>7074108</v>
      </c>
      <c r="Q88">
        <v>7663061</v>
      </c>
      <c r="R88">
        <v>8169769</v>
      </c>
      <c r="S88">
        <v>9055655</v>
      </c>
      <c r="T88">
        <v>9522480</v>
      </c>
      <c r="U88">
        <v>10216941</v>
      </c>
      <c r="V88">
        <v>11083342</v>
      </c>
      <c r="W88">
        <v>11883084</v>
      </c>
      <c r="X88">
        <v>12330615</v>
      </c>
      <c r="Y88">
        <v>12758630</v>
      </c>
      <c r="Z88">
        <v>13444453</v>
      </c>
      <c r="AA88">
        <v>14391302</v>
      </c>
      <c r="AB88">
        <v>15446609</v>
      </c>
      <c r="AC88">
        <v>16584133</v>
      </c>
      <c r="AD88">
        <v>17786857</v>
      </c>
      <c r="AE88">
        <v>18074433</v>
      </c>
      <c r="AF88">
        <v>18066940</v>
      </c>
      <c r="AG88">
        <v>18878396</v>
      </c>
      <c r="AH88">
        <v>19783565</v>
      </c>
      <c r="AI88">
        <v>20595949</v>
      </c>
      <c r="AJ88">
        <v>21091319</v>
      </c>
    </row>
    <row r="89" spans="1:36">
      <c r="A89" s="4" t="s">
        <v>155</v>
      </c>
      <c r="B89">
        <f>B90+B88</f>
        <v>2500979</v>
      </c>
      <c r="C89">
        <f t="shared" ref="C89" si="1">C90+C88</f>
        <v>4655006</v>
      </c>
      <c r="D89">
        <f t="shared" ref="D89" si="2">D90+D88</f>
        <v>5083596</v>
      </c>
      <c r="E89">
        <f t="shared" ref="E89" si="3">E90+E88</f>
        <v>5502537</v>
      </c>
      <c r="F89">
        <f t="shared" ref="F89" si="4">F90+F88</f>
        <v>5978362</v>
      </c>
      <c r="G89">
        <f t="shared" ref="G89" si="5">G90+G88</f>
        <v>6647844</v>
      </c>
      <c r="H89">
        <f t="shared" ref="H89" si="6">H90+H88</f>
        <v>7532866</v>
      </c>
      <c r="I89">
        <f t="shared" ref="I89" si="7">I90+I88</f>
        <v>8242144</v>
      </c>
      <c r="J89">
        <f t="shared" ref="J89" si="8">J90+J88</f>
        <v>8832667</v>
      </c>
      <c r="K89">
        <f t="shared" ref="K89" si="9">K90+K88</f>
        <v>9775640</v>
      </c>
      <c r="L89">
        <f t="shared" ref="L89" si="10">L90+L88</f>
        <v>10743804</v>
      </c>
      <c r="M89">
        <f t="shared" ref="M89" si="11">M90+M88</f>
        <v>11726318</v>
      </c>
      <c r="N89">
        <f t="shared" ref="N89" si="12">N90+N88</f>
        <v>12181577</v>
      </c>
      <c r="O89">
        <f t="shared" ref="O89" si="13">O90+O88</f>
        <v>13002182</v>
      </c>
      <c r="P89">
        <f t="shared" ref="P89" si="14">P90+P88</f>
        <v>13711969</v>
      </c>
      <c r="Q89">
        <f t="shared" ref="Q89" si="15">Q90+Q88</f>
        <v>14899360</v>
      </c>
      <c r="R89">
        <f t="shared" ref="R89" si="16">R90+R88</f>
        <v>15391790</v>
      </c>
      <c r="S89">
        <f t="shared" ref="S89" si="17">S90+S88</f>
        <v>16724643</v>
      </c>
      <c r="T89">
        <f t="shared" ref="T89" si="18">T90+T88</f>
        <v>17480431</v>
      </c>
      <c r="U89">
        <f t="shared" ref="U89" si="19">U90+U88</f>
        <v>18732788</v>
      </c>
      <c r="V89">
        <f t="shared" ref="V89" si="20">V90+V88</f>
        <v>20187099</v>
      </c>
      <c r="W89">
        <f t="shared" ref="W89" si="21">W90+W88</f>
        <v>21503051</v>
      </c>
      <c r="X89">
        <f t="shared" ref="X89" si="22">X90+X88</f>
        <v>23961841</v>
      </c>
      <c r="Y89">
        <f t="shared" ref="Y89" si="23">Y90+Y88</f>
        <v>24351145</v>
      </c>
      <c r="Z89">
        <f t="shared" ref="Z89" si="24">Z90+Z88</f>
        <v>24938579</v>
      </c>
      <c r="AA89">
        <f t="shared" ref="AA89" si="25">AA90+AA88</f>
        <v>27085759</v>
      </c>
      <c r="AB89">
        <f t="shared" ref="AB89" si="26">AB90+AB88</f>
        <v>28456896</v>
      </c>
      <c r="AC89">
        <f t="shared" ref="AC89" si="27">AC90+AC88</f>
        <v>30834114</v>
      </c>
      <c r="AD89">
        <f t="shared" ref="AD89" si="28">AD90+AD88</f>
        <v>32737720</v>
      </c>
      <c r="AE89">
        <f t="shared" ref="AE89" si="29">AE90+AE88</f>
        <v>32809658</v>
      </c>
      <c r="AF89">
        <f t="shared" ref="AF89" si="30">AF90+AF88</f>
        <v>32205764</v>
      </c>
      <c r="AG89">
        <f t="shared" ref="AG89" si="31">AG90+AG88</f>
        <v>32690391</v>
      </c>
      <c r="AH89">
        <f t="shared" ref="AH89" si="32">AH90+AH88</f>
        <v>33351305</v>
      </c>
      <c r="AI89">
        <f t="shared" ref="AI89" si="33">AI90+AI88</f>
        <v>34639326</v>
      </c>
      <c r="AJ89">
        <f t="shared" ref="AJ89" si="34">AJ90+AJ88</f>
        <v>35215186</v>
      </c>
    </row>
    <row r="90" spans="1:36">
      <c r="A90" s="4" t="s">
        <v>156</v>
      </c>
      <c r="B90">
        <f>B39</f>
        <v>675230</v>
      </c>
      <c r="C90">
        <f t="shared" ref="C90:AJ90" si="35">C31</f>
        <v>2556994</v>
      </c>
      <c r="D90">
        <f t="shared" si="35"/>
        <v>2787350</v>
      </c>
      <c r="E90">
        <f t="shared" si="35"/>
        <v>2967185</v>
      </c>
      <c r="F90">
        <f t="shared" si="35"/>
        <v>3233321</v>
      </c>
      <c r="G90">
        <f t="shared" si="35"/>
        <v>3530205</v>
      </c>
      <c r="H90">
        <f t="shared" si="35"/>
        <v>4078692</v>
      </c>
      <c r="I90">
        <f t="shared" si="35"/>
        <v>4417026</v>
      </c>
      <c r="J90">
        <f t="shared" si="35"/>
        <v>4723810</v>
      </c>
      <c r="K90">
        <f t="shared" si="35"/>
        <v>5080913</v>
      </c>
      <c r="L90">
        <f t="shared" si="35"/>
        <v>5570328</v>
      </c>
      <c r="M90">
        <f t="shared" si="35"/>
        <v>6008078</v>
      </c>
      <c r="N90">
        <f t="shared" si="35"/>
        <v>6272404</v>
      </c>
      <c r="O90">
        <f t="shared" si="35"/>
        <v>6353983</v>
      </c>
      <c r="P90">
        <f t="shared" si="35"/>
        <v>6637861</v>
      </c>
      <c r="Q90">
        <f t="shared" si="35"/>
        <v>7236299</v>
      </c>
      <c r="R90">
        <f t="shared" si="35"/>
        <v>7222021</v>
      </c>
      <c r="S90">
        <f t="shared" si="35"/>
        <v>7668988</v>
      </c>
      <c r="T90">
        <f t="shared" si="35"/>
        <v>7957951</v>
      </c>
      <c r="U90">
        <f t="shared" si="35"/>
        <v>8515847</v>
      </c>
      <c r="V90">
        <f t="shared" si="35"/>
        <v>9103757</v>
      </c>
      <c r="W90">
        <f t="shared" si="35"/>
        <v>9619967</v>
      </c>
      <c r="X90">
        <f t="shared" si="35"/>
        <v>11631226</v>
      </c>
      <c r="Y90">
        <f t="shared" si="35"/>
        <v>11592515</v>
      </c>
      <c r="Z90">
        <f t="shared" si="35"/>
        <v>11494126</v>
      </c>
      <c r="AA90">
        <f t="shared" si="35"/>
        <v>12694457</v>
      </c>
      <c r="AB90">
        <f t="shared" si="35"/>
        <v>13010287</v>
      </c>
      <c r="AC90">
        <f t="shared" si="35"/>
        <v>14249981</v>
      </c>
      <c r="AD90">
        <f t="shared" si="35"/>
        <v>14950863</v>
      </c>
      <c r="AE90">
        <f t="shared" si="35"/>
        <v>14735225</v>
      </c>
      <c r="AF90">
        <f t="shared" si="35"/>
        <v>14138824</v>
      </c>
      <c r="AG90">
        <f t="shared" si="35"/>
        <v>13811995</v>
      </c>
      <c r="AH90">
        <f t="shared" si="35"/>
        <v>13567740</v>
      </c>
      <c r="AI90">
        <f t="shared" si="35"/>
        <v>14043377</v>
      </c>
      <c r="AJ90">
        <f t="shared" si="35"/>
        <v>14123867</v>
      </c>
    </row>
    <row r="91" spans="1:36">
      <c r="A91" s="11" t="s">
        <v>144</v>
      </c>
    </row>
    <row r="92" spans="1:36">
      <c r="A92" s="4" t="s">
        <v>154</v>
      </c>
      <c r="B92">
        <v>1370292</v>
      </c>
      <c r="C92">
        <v>1494587</v>
      </c>
      <c r="D92">
        <v>1599751</v>
      </c>
      <c r="E92">
        <v>1733692</v>
      </c>
      <c r="F92">
        <v>1889952</v>
      </c>
      <c r="G92">
        <v>2097073</v>
      </c>
      <c r="H92">
        <v>2188560</v>
      </c>
      <c r="I92">
        <v>2366557</v>
      </c>
      <c r="J92">
        <v>2594536</v>
      </c>
      <c r="K92">
        <v>2797665</v>
      </c>
      <c r="L92">
        <v>3009720</v>
      </c>
      <c r="M92">
        <v>3332745</v>
      </c>
      <c r="N92">
        <v>3535736</v>
      </c>
      <c r="O92">
        <v>3610924</v>
      </c>
      <c r="P92">
        <v>3797565</v>
      </c>
      <c r="Q92">
        <v>4009898</v>
      </c>
      <c r="R92">
        <v>4164407</v>
      </c>
      <c r="S92">
        <v>4498287</v>
      </c>
      <c r="T92">
        <v>4708704</v>
      </c>
      <c r="U92">
        <v>5121914</v>
      </c>
      <c r="V92">
        <v>5493620</v>
      </c>
      <c r="W92">
        <v>5879001</v>
      </c>
      <c r="X92">
        <v>5857697</v>
      </c>
      <c r="Y92">
        <v>5956915</v>
      </c>
      <c r="Z92">
        <v>6265033</v>
      </c>
      <c r="AA92">
        <v>7917380</v>
      </c>
      <c r="AB92">
        <v>14223045</v>
      </c>
      <c r="AC92">
        <v>8538770</v>
      </c>
      <c r="AD92">
        <v>9001092</v>
      </c>
      <c r="AE92">
        <v>9460216</v>
      </c>
      <c r="AF92">
        <v>9572334</v>
      </c>
      <c r="AG92">
        <v>10947976</v>
      </c>
      <c r="AH92">
        <v>11622588</v>
      </c>
      <c r="AI92">
        <v>13113177</v>
      </c>
      <c r="AJ92">
        <v>14057722.401183357</v>
      </c>
    </row>
    <row r="93" spans="1:36">
      <c r="A93" s="4" t="s">
        <v>155</v>
      </c>
      <c r="B93">
        <f>B94+B92</f>
        <v>1067875</v>
      </c>
      <c r="C93">
        <f t="shared" ref="C93" si="36">C94+C92</f>
        <v>1551556</v>
      </c>
      <c r="D93">
        <f t="shared" ref="D93" si="37">D94+D92</f>
        <v>1663549</v>
      </c>
      <c r="E93">
        <f t="shared" ref="E93" si="38">E94+E92</f>
        <v>1808380</v>
      </c>
      <c r="F93">
        <f t="shared" ref="F93" si="39">F94+F92</f>
        <v>1988524</v>
      </c>
      <c r="G93">
        <f t="shared" ref="G93" si="40">G94+G92</f>
        <v>2209954</v>
      </c>
      <c r="H93">
        <f t="shared" ref="H93" si="41">H94+H92</f>
        <v>2310345</v>
      </c>
      <c r="I93">
        <f t="shared" ref="I93" si="42">I94+I92</f>
        <v>2496011</v>
      </c>
      <c r="J93">
        <f t="shared" ref="J93" si="43">J94+J92</f>
        <v>2728817</v>
      </c>
      <c r="K93">
        <f t="shared" ref="K93" si="44">K94+K92</f>
        <v>2943863</v>
      </c>
      <c r="L93">
        <f t="shared" ref="L93" si="45">L94+L92</f>
        <v>3161402</v>
      </c>
      <c r="M93">
        <f t="shared" ref="M93" si="46">M94+M92</f>
        <v>3490058</v>
      </c>
      <c r="N93">
        <f t="shared" ref="N93" si="47">N94+N92</f>
        <v>3705750</v>
      </c>
      <c r="O93">
        <f t="shared" ref="O93" si="48">O94+O92</f>
        <v>3775605</v>
      </c>
      <c r="P93">
        <f t="shared" ref="P93" si="49">P94+P92</f>
        <v>3976641</v>
      </c>
      <c r="Q93">
        <f t="shared" ref="Q93" si="50">Q94+Q92</f>
        <v>4216007</v>
      </c>
      <c r="R93">
        <f t="shared" ref="R93" si="51">R94+R92</f>
        <v>4390052</v>
      </c>
      <c r="S93">
        <f t="shared" ref="S93" si="52">S94+S92</f>
        <v>4741475</v>
      </c>
      <c r="T93">
        <f t="shared" ref="T93" si="53">T94+T92</f>
        <v>4997035</v>
      </c>
      <c r="U93">
        <f t="shared" ref="U93" si="54">U94+U92</f>
        <v>5405156</v>
      </c>
      <c r="V93">
        <f t="shared" ref="V93" si="55">V94+V92</f>
        <v>5850172</v>
      </c>
      <c r="W93">
        <f t="shared" ref="W93" si="56">W94+W92</f>
        <v>6215521</v>
      </c>
      <c r="X93">
        <f t="shared" ref="X93" si="57">X94+X92</f>
        <v>6218887</v>
      </c>
      <c r="Y93">
        <f t="shared" ref="Y93" si="58">Y94+Y92</f>
        <v>6973478</v>
      </c>
      <c r="Z93">
        <f t="shared" ref="Z93" si="59">Z94+Z92</f>
        <v>7768855</v>
      </c>
      <c r="AA93">
        <f t="shared" ref="AA93" si="60">AA94+AA92</f>
        <v>9106315</v>
      </c>
      <c r="AB93">
        <f t="shared" ref="AB93" si="61">AB94+AB92</f>
        <v>15215191</v>
      </c>
      <c r="AC93">
        <f t="shared" ref="AC93" si="62">AC94+AC92</f>
        <v>9569276</v>
      </c>
      <c r="AD93">
        <f t="shared" ref="AD93" si="63">AD94+AD92</f>
        <v>10081491</v>
      </c>
      <c r="AE93">
        <f t="shared" ref="AE93" si="64">AE94+AE92</f>
        <v>10393438</v>
      </c>
      <c r="AF93">
        <f t="shared" ref="AF93" si="65">AF94+AF92</f>
        <v>10365943</v>
      </c>
      <c r="AG93">
        <f t="shared" ref="AG93" si="66">AG94+AG92</f>
        <v>11875018</v>
      </c>
      <c r="AH93">
        <f t="shared" ref="AH93" si="67">AH94+AH92</f>
        <v>12460619</v>
      </c>
      <c r="AI93">
        <f t="shared" ref="AI93" si="68">AI94+AI92</f>
        <v>14137675</v>
      </c>
      <c r="AJ93">
        <f t="shared" ref="AJ93" si="69">AJ94+AJ92</f>
        <v>15117485.401183357</v>
      </c>
    </row>
    <row r="94" spans="1:36">
      <c r="A94" s="4" t="s">
        <v>156</v>
      </c>
      <c r="B94">
        <f>B42</f>
        <v>-302417</v>
      </c>
      <c r="C94">
        <f t="shared" ref="C94:AJ94" si="70">C35</f>
        <v>56969</v>
      </c>
      <c r="D94">
        <f t="shared" si="70"/>
        <v>63798</v>
      </c>
      <c r="E94">
        <f t="shared" si="70"/>
        <v>74688</v>
      </c>
      <c r="F94">
        <f t="shared" si="70"/>
        <v>98572</v>
      </c>
      <c r="G94">
        <f t="shared" si="70"/>
        <v>112881</v>
      </c>
      <c r="H94">
        <f t="shared" si="70"/>
        <v>121785</v>
      </c>
      <c r="I94">
        <f t="shared" si="70"/>
        <v>129454</v>
      </c>
      <c r="J94">
        <f t="shared" si="70"/>
        <v>134281</v>
      </c>
      <c r="K94">
        <f t="shared" si="70"/>
        <v>146198</v>
      </c>
      <c r="L94">
        <f t="shared" si="70"/>
        <v>151682</v>
      </c>
      <c r="M94">
        <f t="shared" si="70"/>
        <v>157313</v>
      </c>
      <c r="N94">
        <f t="shared" si="70"/>
        <v>170014</v>
      </c>
      <c r="O94">
        <f t="shared" si="70"/>
        <v>164681</v>
      </c>
      <c r="P94">
        <f t="shared" si="70"/>
        <v>179076</v>
      </c>
      <c r="Q94">
        <f t="shared" si="70"/>
        <v>206109</v>
      </c>
      <c r="R94">
        <f t="shared" si="70"/>
        <v>225645</v>
      </c>
      <c r="S94">
        <f t="shared" si="70"/>
        <v>243188</v>
      </c>
      <c r="T94">
        <f t="shared" si="70"/>
        <v>288331</v>
      </c>
      <c r="U94">
        <f t="shared" si="70"/>
        <v>283242</v>
      </c>
      <c r="V94">
        <f t="shared" si="70"/>
        <v>356552</v>
      </c>
      <c r="W94">
        <f t="shared" si="70"/>
        <v>336520</v>
      </c>
      <c r="X94">
        <f t="shared" si="70"/>
        <v>361190</v>
      </c>
      <c r="Y94">
        <f t="shared" si="70"/>
        <v>1016563</v>
      </c>
      <c r="Z94">
        <f t="shared" si="70"/>
        <v>1503822</v>
      </c>
      <c r="AA94">
        <f t="shared" si="70"/>
        <v>1188935</v>
      </c>
      <c r="AB94">
        <f t="shared" si="70"/>
        <v>992146</v>
      </c>
      <c r="AC94">
        <f t="shared" si="70"/>
        <v>1030506</v>
      </c>
      <c r="AD94">
        <f t="shared" si="70"/>
        <v>1080399</v>
      </c>
      <c r="AE94">
        <f t="shared" si="70"/>
        <v>933222</v>
      </c>
      <c r="AF94">
        <f t="shared" si="70"/>
        <v>793609</v>
      </c>
      <c r="AG94">
        <f t="shared" si="70"/>
        <v>927042</v>
      </c>
      <c r="AH94">
        <f t="shared" si="70"/>
        <v>838031</v>
      </c>
      <c r="AI94">
        <f t="shared" si="70"/>
        <v>1024498</v>
      </c>
      <c r="AJ94">
        <f t="shared" si="70"/>
        <v>1059763</v>
      </c>
    </row>
    <row r="95" spans="1:36">
      <c r="A95" s="11" t="s">
        <v>145</v>
      </c>
    </row>
    <row r="96" spans="1:36">
      <c r="A96" s="4" t="s">
        <v>154</v>
      </c>
      <c r="B96">
        <v>335156</v>
      </c>
      <c r="C96">
        <v>368863</v>
      </c>
      <c r="D96">
        <v>394381</v>
      </c>
      <c r="E96">
        <v>453319</v>
      </c>
      <c r="F96">
        <v>525924</v>
      </c>
      <c r="G96">
        <v>573945</v>
      </c>
      <c r="H96">
        <v>631872</v>
      </c>
      <c r="I96">
        <v>684362</v>
      </c>
      <c r="J96">
        <v>736854</v>
      </c>
      <c r="K96">
        <v>795606</v>
      </c>
      <c r="L96">
        <v>854430</v>
      </c>
      <c r="M96">
        <v>923935</v>
      </c>
      <c r="N96">
        <v>982742</v>
      </c>
      <c r="O96">
        <v>1002090</v>
      </c>
      <c r="P96">
        <v>1077614</v>
      </c>
      <c r="Q96">
        <v>1092766</v>
      </c>
      <c r="R96">
        <v>1106646</v>
      </c>
      <c r="S96">
        <v>1195042</v>
      </c>
      <c r="T96">
        <v>1269139</v>
      </c>
      <c r="U96">
        <v>1355459</v>
      </c>
      <c r="V96">
        <v>1373750</v>
      </c>
      <c r="W96">
        <v>1416209</v>
      </c>
      <c r="X96">
        <v>1402243</v>
      </c>
      <c r="Y96">
        <v>1448631</v>
      </c>
      <c r="Z96">
        <v>1539919</v>
      </c>
      <c r="AA96">
        <v>1622321</v>
      </c>
      <c r="AB96">
        <v>1674224</v>
      </c>
      <c r="AC96">
        <v>2387790</v>
      </c>
      <c r="AD96">
        <v>1936705</v>
      </c>
      <c r="AE96">
        <v>2040377</v>
      </c>
      <c r="AF96">
        <v>3226373</v>
      </c>
      <c r="AG96">
        <v>2178147</v>
      </c>
      <c r="AH96">
        <v>2573108</v>
      </c>
      <c r="AI96">
        <v>2733953</v>
      </c>
      <c r="AJ96">
        <v>2884738</v>
      </c>
    </row>
    <row r="97" spans="1:36">
      <c r="A97" s="4" t="s">
        <v>155</v>
      </c>
      <c r="B97">
        <f>B98+B96</f>
        <v>335156</v>
      </c>
      <c r="C97">
        <f t="shared" ref="C97" si="71">C98+C96</f>
        <v>1013923</v>
      </c>
      <c r="D97">
        <f t="shared" ref="D97" si="72">D98+D96</f>
        <v>962163</v>
      </c>
      <c r="E97">
        <f t="shared" ref="E97" si="73">E98+E96</f>
        <v>931469</v>
      </c>
      <c r="F97">
        <f t="shared" ref="F97" si="74">F98+F96</f>
        <v>1365337</v>
      </c>
      <c r="G97">
        <f t="shared" ref="G97" si="75">G98+G96</f>
        <v>1200128</v>
      </c>
      <c r="H97">
        <f t="shared" ref="H97" si="76">H98+H96</f>
        <v>1434645</v>
      </c>
      <c r="I97">
        <f t="shared" ref="I97" si="77">I98+I96</f>
        <v>1773238</v>
      </c>
      <c r="J97">
        <f t="shared" ref="J97" si="78">J98+J96</f>
        <v>1978809</v>
      </c>
      <c r="K97">
        <f t="shared" ref="K97" si="79">K98+K96</f>
        <v>1852880</v>
      </c>
      <c r="L97">
        <f t="shared" ref="L97" si="80">L98+L96</f>
        <v>2164580</v>
      </c>
      <c r="M97">
        <f t="shared" ref="M97" si="81">M98+M96</f>
        <v>2438894</v>
      </c>
      <c r="N97">
        <f t="shared" ref="N97" si="82">N98+N96</f>
        <v>3300107</v>
      </c>
      <c r="O97">
        <f t="shared" ref="O97" si="83">O98+O96</f>
        <v>3644049</v>
      </c>
      <c r="P97">
        <f t="shared" ref="P97" si="84">P98+P96</f>
        <v>3417825</v>
      </c>
      <c r="Q97">
        <f t="shared" ref="Q97" si="85">Q98+Q96</f>
        <v>1827124</v>
      </c>
      <c r="R97">
        <f t="shared" ref="R97" si="86">R98+R96</f>
        <v>1730187</v>
      </c>
      <c r="S97">
        <f t="shared" ref="S97" si="87">S98+S96</f>
        <v>2267296</v>
      </c>
      <c r="T97">
        <f t="shared" ref="T97" si="88">T98+T96</f>
        <v>2205335</v>
      </c>
      <c r="U97">
        <f t="shared" ref="U97" si="89">U98+U96</f>
        <v>3770649</v>
      </c>
      <c r="V97">
        <f t="shared" ref="V97" si="90">V98+V96</f>
        <v>3450191</v>
      </c>
      <c r="W97">
        <f t="shared" ref="W97" si="91">W98+W96</f>
        <v>5065069</v>
      </c>
      <c r="X97">
        <f t="shared" ref="X97" si="92">X98+X96</f>
        <v>5280870</v>
      </c>
      <c r="Y97">
        <f t="shared" ref="Y97" si="93">Y98+Y96</f>
        <v>5735967</v>
      </c>
      <c r="Z97">
        <f t="shared" ref="Z97" si="94">Z98+Z96</f>
        <v>6202039</v>
      </c>
      <c r="AA97">
        <f t="shared" ref="AA97" si="95">AA98+AA96</f>
        <v>5200859</v>
      </c>
      <c r="AB97">
        <f t="shared" ref="AB97" si="96">AB98+AB96</f>
        <v>3654009</v>
      </c>
      <c r="AC97">
        <f t="shared" ref="AC97" si="97">AC98+AC96</f>
        <v>5889674</v>
      </c>
      <c r="AD97">
        <f t="shared" ref="AD97" si="98">AD98+AD96</f>
        <v>5427297</v>
      </c>
      <c r="AE97">
        <f t="shared" ref="AE97" si="99">AE98+AE96</f>
        <v>6719415</v>
      </c>
      <c r="AF97">
        <f t="shared" ref="AF97" si="100">AF98+AF96</f>
        <v>9368462</v>
      </c>
      <c r="AG97">
        <f t="shared" ref="AG97" si="101">AG98+AG96</f>
        <v>5984771</v>
      </c>
      <c r="AH97">
        <f t="shared" ref="AH97" si="102">AH98+AH96</f>
        <v>3671237</v>
      </c>
      <c r="AI97">
        <f t="shared" ref="AI97" si="103">AI98+AI96</f>
        <v>3583101</v>
      </c>
      <c r="AJ97">
        <f t="shared" ref="AJ97" si="104">AJ98+AJ96</f>
        <v>3447114</v>
      </c>
    </row>
    <row r="98" spans="1:36">
      <c r="A98" s="4" t="s">
        <v>156</v>
      </c>
      <c r="B98">
        <f>B43</f>
        <v>0</v>
      </c>
      <c r="C98">
        <f t="shared" ref="C98:AJ98" si="105">C39</f>
        <v>645060</v>
      </c>
      <c r="D98">
        <f t="shared" si="105"/>
        <v>567782</v>
      </c>
      <c r="E98">
        <f t="shared" si="105"/>
        <v>478150</v>
      </c>
      <c r="F98">
        <f t="shared" si="105"/>
        <v>839413</v>
      </c>
      <c r="G98">
        <f t="shared" si="105"/>
        <v>626183</v>
      </c>
      <c r="H98">
        <f t="shared" si="105"/>
        <v>802773</v>
      </c>
      <c r="I98">
        <f t="shared" si="105"/>
        <v>1088876</v>
      </c>
      <c r="J98">
        <f t="shared" si="105"/>
        <v>1241955</v>
      </c>
      <c r="K98">
        <f t="shared" si="105"/>
        <v>1057274</v>
      </c>
      <c r="L98">
        <f t="shared" si="105"/>
        <v>1310150</v>
      </c>
      <c r="M98">
        <f t="shared" si="105"/>
        <v>1514959</v>
      </c>
      <c r="N98">
        <f t="shared" si="105"/>
        <v>2317365</v>
      </c>
      <c r="O98">
        <f t="shared" si="105"/>
        <v>2641959</v>
      </c>
      <c r="P98">
        <f t="shared" si="105"/>
        <v>2340211</v>
      </c>
      <c r="Q98">
        <f t="shared" si="105"/>
        <v>734358</v>
      </c>
      <c r="R98">
        <f t="shared" si="105"/>
        <v>623541</v>
      </c>
      <c r="S98">
        <f t="shared" si="105"/>
        <v>1072254</v>
      </c>
      <c r="T98">
        <f t="shared" si="105"/>
        <v>936196</v>
      </c>
      <c r="U98">
        <f t="shared" si="105"/>
        <v>2415190</v>
      </c>
      <c r="V98">
        <f t="shared" si="105"/>
        <v>2076441</v>
      </c>
      <c r="W98">
        <f t="shared" si="105"/>
        <v>3648860</v>
      </c>
      <c r="X98">
        <f t="shared" si="105"/>
        <v>3878627</v>
      </c>
      <c r="Y98">
        <f t="shared" si="105"/>
        <v>4287336</v>
      </c>
      <c r="Z98">
        <f t="shared" si="105"/>
        <v>4662120</v>
      </c>
      <c r="AA98">
        <f t="shared" si="105"/>
        <v>3578538</v>
      </c>
      <c r="AB98">
        <f t="shared" si="105"/>
        <v>1979785</v>
      </c>
      <c r="AC98">
        <f t="shared" si="105"/>
        <v>3501884</v>
      </c>
      <c r="AD98">
        <f t="shared" si="105"/>
        <v>3490592</v>
      </c>
      <c r="AE98">
        <f t="shared" si="105"/>
        <v>4679038</v>
      </c>
      <c r="AF98">
        <f t="shared" si="105"/>
        <v>6142089</v>
      </c>
      <c r="AG98">
        <f t="shared" si="105"/>
        <v>3806624</v>
      </c>
      <c r="AH98">
        <f t="shared" si="105"/>
        <v>1098129</v>
      </c>
      <c r="AI98">
        <f t="shared" si="105"/>
        <v>849148</v>
      </c>
      <c r="AJ98">
        <f t="shared" si="105"/>
        <v>562376</v>
      </c>
    </row>
    <row r="99" spans="1:36">
      <c r="A99" s="11" t="s">
        <v>147</v>
      </c>
    </row>
    <row r="100" spans="1:36">
      <c r="A100" s="4" t="s">
        <v>154</v>
      </c>
      <c r="B100">
        <v>2397177</v>
      </c>
      <c r="C100">
        <v>2965041</v>
      </c>
      <c r="D100">
        <v>3526384</v>
      </c>
      <c r="E100">
        <v>3545105</v>
      </c>
      <c r="F100">
        <v>3791715</v>
      </c>
      <c r="G100">
        <v>4216453</v>
      </c>
      <c r="H100">
        <v>4452984</v>
      </c>
      <c r="I100">
        <v>4763315</v>
      </c>
      <c r="J100">
        <v>4766397</v>
      </c>
      <c r="K100">
        <v>5025880</v>
      </c>
      <c r="L100">
        <v>5216117</v>
      </c>
      <c r="M100">
        <v>5628839</v>
      </c>
      <c r="N100">
        <v>5665945</v>
      </c>
      <c r="O100">
        <v>5835235</v>
      </c>
      <c r="P100">
        <v>6256343</v>
      </c>
      <c r="Q100">
        <v>6539571</v>
      </c>
      <c r="R100">
        <v>6889245</v>
      </c>
      <c r="S100">
        <v>7421497</v>
      </c>
      <c r="T100">
        <v>7545778</v>
      </c>
      <c r="U100">
        <v>7707741</v>
      </c>
      <c r="V100">
        <v>8048617</v>
      </c>
      <c r="W100">
        <v>8763502</v>
      </c>
      <c r="X100">
        <v>8950133</v>
      </c>
      <c r="Y100">
        <v>8984711</v>
      </c>
      <c r="Z100">
        <v>9784837</v>
      </c>
      <c r="AA100">
        <v>10146019</v>
      </c>
      <c r="AB100">
        <v>10876566</v>
      </c>
      <c r="AC100">
        <v>11571235</v>
      </c>
      <c r="AD100">
        <v>12151238</v>
      </c>
      <c r="AE100">
        <v>13029261</v>
      </c>
      <c r="AF100">
        <v>13003045</v>
      </c>
      <c r="AG100">
        <v>13736809</v>
      </c>
      <c r="AH100">
        <v>14528272</v>
      </c>
      <c r="AI100">
        <v>15013683</v>
      </c>
      <c r="AJ100">
        <v>15797878</v>
      </c>
    </row>
    <row r="101" spans="1:36">
      <c r="A101" s="4" t="s">
        <v>155</v>
      </c>
      <c r="B101">
        <f>B102+B100</f>
        <v>7645897</v>
      </c>
      <c r="C101">
        <f t="shared" ref="C101" si="106">C102+C100</f>
        <v>2965041</v>
      </c>
      <c r="D101">
        <f t="shared" ref="D101" si="107">D102+D100</f>
        <v>3526384</v>
      </c>
      <c r="E101">
        <f t="shared" ref="E101" si="108">E102+E100</f>
        <v>3545105</v>
      </c>
      <c r="F101">
        <f t="shared" ref="F101" si="109">F102+F100</f>
        <v>3791715</v>
      </c>
      <c r="G101">
        <f t="shared" ref="G101" si="110">G102+G100</f>
        <v>4216453</v>
      </c>
      <c r="H101">
        <f t="shared" ref="H101" si="111">H102+H100</f>
        <v>4452984</v>
      </c>
      <c r="I101">
        <f t="shared" ref="I101" si="112">I102+I100</f>
        <v>4763315</v>
      </c>
      <c r="J101">
        <f t="shared" ref="J101" si="113">J102+J100</f>
        <v>4766397</v>
      </c>
      <c r="K101">
        <f t="shared" ref="K101" si="114">K102+K100</f>
        <v>5025880</v>
      </c>
      <c r="L101">
        <f t="shared" ref="L101" si="115">L102+L100</f>
        <v>5216117</v>
      </c>
      <c r="M101">
        <f t="shared" ref="M101" si="116">M102+M100</f>
        <v>5628839</v>
      </c>
      <c r="N101">
        <f t="shared" ref="N101" si="117">N102+N100</f>
        <v>5665945</v>
      </c>
      <c r="O101">
        <f t="shared" ref="O101" si="118">O102+O100</f>
        <v>5835235</v>
      </c>
      <c r="P101">
        <f t="shared" ref="P101" si="119">P102+P100</f>
        <v>6256343</v>
      </c>
      <c r="Q101">
        <f t="shared" ref="Q101" si="120">Q102+Q100</f>
        <v>6539571</v>
      </c>
      <c r="R101">
        <f t="shared" ref="R101" si="121">R102+R100</f>
        <v>6889245</v>
      </c>
      <c r="S101">
        <f t="shared" ref="S101" si="122">S102+S100</f>
        <v>7421497</v>
      </c>
      <c r="T101">
        <f t="shared" ref="T101" si="123">T102+T100</f>
        <v>7545778</v>
      </c>
      <c r="U101">
        <f t="shared" ref="U101" si="124">U102+U100</f>
        <v>7707741</v>
      </c>
      <c r="V101">
        <f t="shared" ref="V101" si="125">V102+V100</f>
        <v>8048617</v>
      </c>
      <c r="W101">
        <f t="shared" ref="W101" si="126">W102+W100</f>
        <v>8763502</v>
      </c>
      <c r="X101">
        <f t="shared" ref="X101" si="127">X102+X100</f>
        <v>8950133</v>
      </c>
      <c r="Y101">
        <f t="shared" ref="Y101" si="128">Y102+Y100</f>
        <v>8984711</v>
      </c>
      <c r="Z101">
        <f t="shared" ref="Z101" si="129">Z102+Z100</f>
        <v>9784837</v>
      </c>
      <c r="AA101">
        <f t="shared" ref="AA101" si="130">AA102+AA100</f>
        <v>10146019</v>
      </c>
      <c r="AB101">
        <f t="shared" ref="AB101" si="131">AB102+AB100</f>
        <v>10876566</v>
      </c>
      <c r="AC101">
        <f t="shared" ref="AC101" si="132">AC102+AC100</f>
        <v>11571235</v>
      </c>
      <c r="AD101">
        <f t="shared" ref="AD101" si="133">AD102+AD100</f>
        <v>12151238</v>
      </c>
      <c r="AE101">
        <f t="shared" ref="AE101" si="134">AE102+AE100</f>
        <v>13029261</v>
      </c>
      <c r="AF101">
        <f t="shared" ref="AF101" si="135">AF102+AF100</f>
        <v>13003045</v>
      </c>
      <c r="AG101">
        <f t="shared" ref="AG101" si="136">AG102+AG100</f>
        <v>13736809</v>
      </c>
      <c r="AH101">
        <f t="shared" ref="AH101" si="137">AH102+AH100</f>
        <v>14528272</v>
      </c>
      <c r="AI101">
        <f t="shared" ref="AI101" si="138">AI102+AI100</f>
        <v>15013683</v>
      </c>
      <c r="AJ101">
        <f t="shared" ref="AJ101" si="139">AJ102+AJ100</f>
        <v>15797878</v>
      </c>
    </row>
    <row r="102" spans="1:36">
      <c r="A102" s="4" t="s">
        <v>156</v>
      </c>
      <c r="B102">
        <f>B44</f>
        <v>5248720</v>
      </c>
      <c r="C102">
        <f t="shared" ref="C102:AJ102" si="140">C43</f>
        <v>0</v>
      </c>
      <c r="D102">
        <f t="shared" si="140"/>
        <v>0</v>
      </c>
      <c r="E102">
        <f t="shared" si="140"/>
        <v>0</v>
      </c>
      <c r="F102">
        <f t="shared" si="140"/>
        <v>0</v>
      </c>
      <c r="G102">
        <f t="shared" si="140"/>
        <v>0</v>
      </c>
      <c r="H102">
        <f t="shared" si="140"/>
        <v>0</v>
      </c>
      <c r="I102">
        <f t="shared" si="140"/>
        <v>0</v>
      </c>
      <c r="J102">
        <f t="shared" si="140"/>
        <v>0</v>
      </c>
      <c r="K102">
        <f t="shared" si="140"/>
        <v>0</v>
      </c>
      <c r="L102">
        <f t="shared" si="140"/>
        <v>0</v>
      </c>
      <c r="M102">
        <f t="shared" si="140"/>
        <v>0</v>
      </c>
      <c r="N102">
        <f t="shared" si="140"/>
        <v>0</v>
      </c>
      <c r="O102">
        <f t="shared" si="140"/>
        <v>0</v>
      </c>
      <c r="P102">
        <f t="shared" si="140"/>
        <v>0</v>
      </c>
      <c r="Q102">
        <f t="shared" si="140"/>
        <v>0</v>
      </c>
      <c r="R102">
        <f t="shared" si="140"/>
        <v>0</v>
      </c>
      <c r="S102">
        <f t="shared" si="140"/>
        <v>0</v>
      </c>
      <c r="T102">
        <f t="shared" si="140"/>
        <v>0</v>
      </c>
      <c r="U102">
        <f t="shared" si="140"/>
        <v>0</v>
      </c>
      <c r="V102">
        <f t="shared" si="140"/>
        <v>0</v>
      </c>
      <c r="W102">
        <f t="shared" si="140"/>
        <v>0</v>
      </c>
      <c r="X102">
        <f t="shared" si="140"/>
        <v>0</v>
      </c>
      <c r="Y102">
        <f t="shared" si="140"/>
        <v>0</v>
      </c>
      <c r="Z102">
        <f t="shared" si="140"/>
        <v>0</v>
      </c>
      <c r="AA102">
        <f t="shared" si="140"/>
        <v>0</v>
      </c>
      <c r="AB102">
        <f t="shared" si="140"/>
        <v>0</v>
      </c>
      <c r="AC102">
        <f t="shared" si="140"/>
        <v>0</v>
      </c>
      <c r="AD102">
        <f t="shared" si="140"/>
        <v>0</v>
      </c>
      <c r="AE102">
        <f t="shared" si="140"/>
        <v>0</v>
      </c>
      <c r="AF102">
        <f t="shared" si="140"/>
        <v>0</v>
      </c>
      <c r="AG102">
        <f t="shared" si="140"/>
        <v>0</v>
      </c>
      <c r="AH102">
        <f t="shared" si="140"/>
        <v>0</v>
      </c>
      <c r="AI102">
        <f t="shared" si="140"/>
        <v>0</v>
      </c>
      <c r="AJ102">
        <f t="shared" si="140"/>
        <v>0</v>
      </c>
    </row>
    <row r="103" spans="1:36">
      <c r="A103" s="11" t="s">
        <v>148</v>
      </c>
    </row>
    <row r="104" spans="1:36">
      <c r="A104" s="4" t="s">
        <v>154</v>
      </c>
      <c r="B104">
        <v>820883</v>
      </c>
      <c r="C104">
        <v>903850</v>
      </c>
      <c r="D104">
        <v>965532</v>
      </c>
      <c r="E104">
        <v>986410</v>
      </c>
      <c r="F104">
        <v>1072896</v>
      </c>
      <c r="G104">
        <v>1141679</v>
      </c>
      <c r="H104">
        <v>1229927</v>
      </c>
      <c r="I104">
        <v>1312318</v>
      </c>
      <c r="J104">
        <v>1413845</v>
      </c>
      <c r="K104">
        <v>1415686</v>
      </c>
      <c r="L104">
        <v>1487613</v>
      </c>
      <c r="M104">
        <v>1534803</v>
      </c>
      <c r="N104">
        <v>1630605</v>
      </c>
      <c r="O104">
        <v>1738683</v>
      </c>
      <c r="P104">
        <v>1785191</v>
      </c>
      <c r="Q104">
        <v>1923232</v>
      </c>
      <c r="R104">
        <v>2131166</v>
      </c>
      <c r="S104">
        <v>2099257</v>
      </c>
      <c r="T104">
        <v>2239313</v>
      </c>
      <c r="U104">
        <v>2355006</v>
      </c>
      <c r="V104">
        <v>2506691</v>
      </c>
      <c r="W104">
        <v>2707305</v>
      </c>
      <c r="X104">
        <v>2685135</v>
      </c>
      <c r="Y104">
        <v>2930095</v>
      </c>
      <c r="Z104">
        <v>3106806</v>
      </c>
      <c r="AA104">
        <v>3393968</v>
      </c>
      <c r="AB104">
        <v>3698023</v>
      </c>
      <c r="AC104">
        <v>3864136</v>
      </c>
      <c r="AD104">
        <v>4133206</v>
      </c>
      <c r="AE104">
        <v>4018750</v>
      </c>
      <c r="AF104">
        <v>3880871</v>
      </c>
      <c r="AG104">
        <v>4160159</v>
      </c>
      <c r="AH104">
        <v>4407269</v>
      </c>
      <c r="AI104">
        <v>4604812</v>
      </c>
      <c r="AJ104">
        <v>4738955</v>
      </c>
    </row>
    <row r="105" spans="1:36">
      <c r="A105" s="4" t="s">
        <v>155</v>
      </c>
      <c r="B105">
        <f>B106+B104</f>
        <v>1168418</v>
      </c>
      <c r="C105">
        <f t="shared" ref="C105" si="141">C106+C104</f>
        <v>351585</v>
      </c>
      <c r="D105">
        <f t="shared" ref="D105" si="142">D106+D104</f>
        <v>464300</v>
      </c>
      <c r="E105">
        <f t="shared" ref="E105" si="143">E106+E104</f>
        <v>491714</v>
      </c>
      <c r="F105">
        <f t="shared" ref="F105" si="144">F106+F104</f>
        <v>574094</v>
      </c>
      <c r="G105">
        <f t="shared" ref="G105" si="145">G106+G104</f>
        <v>729143</v>
      </c>
      <c r="H105">
        <f t="shared" ref="H105" si="146">H106+H104</f>
        <v>783946</v>
      </c>
      <c r="I105">
        <f t="shared" ref="I105" si="147">I106+I104</f>
        <v>889652</v>
      </c>
      <c r="J105">
        <f t="shared" ref="J105" si="148">J106+J104</f>
        <v>960947</v>
      </c>
      <c r="K105">
        <f t="shared" ref="K105" si="149">K106+K104</f>
        <v>972017</v>
      </c>
      <c r="L105">
        <f t="shared" ref="L105" si="150">L106+L104</f>
        <v>972854</v>
      </c>
      <c r="M105">
        <f t="shared" ref="M105" si="151">M106+M104</f>
        <v>968341</v>
      </c>
      <c r="N105">
        <f t="shared" ref="N105" si="152">N106+N104</f>
        <v>1088775</v>
      </c>
      <c r="O105">
        <f t="shared" ref="O105" si="153">O106+O104</f>
        <v>1158907</v>
      </c>
      <c r="P105">
        <f t="shared" ref="P105" si="154">P106+P104</f>
        <v>1163271</v>
      </c>
      <c r="Q105">
        <f t="shared" ref="Q105" si="155">Q106+Q104</f>
        <v>1306256</v>
      </c>
      <c r="R105">
        <f t="shared" ref="R105" si="156">R106+R104</f>
        <v>1497646</v>
      </c>
      <c r="S105">
        <f t="shared" ref="S105" si="157">S106+S104</f>
        <v>1440123</v>
      </c>
      <c r="T105">
        <f t="shared" ref="T105" si="158">T106+T104</f>
        <v>1477991</v>
      </c>
      <c r="U105">
        <f t="shared" ref="U105" si="159">U106+U104</f>
        <v>1656864</v>
      </c>
      <c r="V105">
        <f t="shared" ref="V105" si="160">V106+V104</f>
        <v>1715709</v>
      </c>
      <c r="W105">
        <f t="shared" ref="W105" si="161">W106+W104</f>
        <v>1821133</v>
      </c>
      <c r="X105">
        <f t="shared" ref="X105" si="162">X106+X104</f>
        <v>1802850</v>
      </c>
      <c r="Y105">
        <f t="shared" ref="Y105" si="163">Y106+Y104</f>
        <v>1993840</v>
      </c>
      <c r="Z105">
        <f t="shared" ref="Z105" si="164">Z106+Z104</f>
        <v>2007101</v>
      </c>
      <c r="AA105">
        <f t="shared" ref="AA105" si="165">AA106+AA104</f>
        <v>2288901</v>
      </c>
      <c r="AB105">
        <f t="shared" ref="AB105" si="166">AB106+AB104</f>
        <v>2484857</v>
      </c>
      <c r="AC105">
        <f t="shared" ref="AC105" si="167">AC106+AC104</f>
        <v>2643708</v>
      </c>
      <c r="AD105">
        <f t="shared" ref="AD105" si="168">AD106+AD104</f>
        <v>2821529</v>
      </c>
      <c r="AE105">
        <f t="shared" ref="AE105" si="169">AE106+AE104</f>
        <v>2719824</v>
      </c>
      <c r="AF105">
        <f t="shared" ref="AF105" si="170">AF106+AF104</f>
        <v>2523233</v>
      </c>
      <c r="AG105">
        <f t="shared" ref="AG105" si="171">AG106+AG104</f>
        <v>2783950</v>
      </c>
      <c r="AH105">
        <f t="shared" ref="AH105" si="172">AH106+AH104</f>
        <v>2756465</v>
      </c>
      <c r="AI105">
        <f t="shared" ref="AI105" si="173">AI106+AI104</f>
        <v>2761950</v>
      </c>
      <c r="AJ105">
        <f t="shared" ref="AJ105" si="174">AJ106+AJ104</f>
        <v>3119953</v>
      </c>
    </row>
    <row r="106" spans="1:36">
      <c r="A106" s="4" t="s">
        <v>156</v>
      </c>
      <c r="B106">
        <f>B45</f>
        <v>347535</v>
      </c>
      <c r="C106">
        <f t="shared" ref="C106:AJ106" si="175">C47</f>
        <v>-552265</v>
      </c>
      <c r="D106">
        <f t="shared" si="175"/>
        <v>-501232</v>
      </c>
      <c r="E106">
        <f t="shared" si="175"/>
        <v>-494696</v>
      </c>
      <c r="F106">
        <f t="shared" si="175"/>
        <v>-498802</v>
      </c>
      <c r="G106">
        <f t="shared" si="175"/>
        <v>-412536</v>
      </c>
      <c r="H106">
        <f t="shared" si="175"/>
        <v>-445981</v>
      </c>
      <c r="I106">
        <f t="shared" si="175"/>
        <v>-422666</v>
      </c>
      <c r="J106">
        <f t="shared" si="175"/>
        <v>-452898</v>
      </c>
      <c r="K106">
        <f t="shared" si="175"/>
        <v>-443669</v>
      </c>
      <c r="L106">
        <f t="shared" si="175"/>
        <v>-514759</v>
      </c>
      <c r="M106">
        <f t="shared" si="175"/>
        <v>-566462</v>
      </c>
      <c r="N106">
        <f t="shared" si="175"/>
        <v>-541830</v>
      </c>
      <c r="O106">
        <f t="shared" si="175"/>
        <v>-579776</v>
      </c>
      <c r="P106">
        <f t="shared" si="175"/>
        <v>-621920</v>
      </c>
      <c r="Q106">
        <f t="shared" si="175"/>
        <v>-616976</v>
      </c>
      <c r="R106">
        <f t="shared" si="175"/>
        <v>-633520</v>
      </c>
      <c r="S106">
        <f t="shared" si="175"/>
        <v>-659134</v>
      </c>
      <c r="T106">
        <f t="shared" si="175"/>
        <v>-761322</v>
      </c>
      <c r="U106">
        <f t="shared" si="175"/>
        <v>-698142</v>
      </c>
      <c r="V106">
        <f t="shared" si="175"/>
        <v>-790982</v>
      </c>
      <c r="W106">
        <f t="shared" si="175"/>
        <v>-886172</v>
      </c>
      <c r="X106">
        <f t="shared" si="175"/>
        <v>-882285</v>
      </c>
      <c r="Y106">
        <f t="shared" si="175"/>
        <v>-936255</v>
      </c>
      <c r="Z106">
        <f t="shared" si="175"/>
        <v>-1099705</v>
      </c>
      <c r="AA106">
        <f t="shared" si="175"/>
        <v>-1105067</v>
      </c>
      <c r="AB106">
        <f t="shared" si="175"/>
        <v>-1213166</v>
      </c>
      <c r="AC106">
        <f t="shared" si="175"/>
        <v>-1220428</v>
      </c>
      <c r="AD106">
        <f t="shared" si="175"/>
        <v>-1311677</v>
      </c>
      <c r="AE106">
        <f t="shared" si="175"/>
        <v>-1298926</v>
      </c>
      <c r="AF106">
        <f t="shared" si="175"/>
        <v>-1357638</v>
      </c>
      <c r="AG106">
        <f t="shared" si="175"/>
        <v>-1376209</v>
      </c>
      <c r="AH106">
        <f t="shared" si="175"/>
        <v>-1650804</v>
      </c>
      <c r="AI106">
        <f t="shared" si="175"/>
        <v>-1842862</v>
      </c>
      <c r="AJ106">
        <f t="shared" si="175"/>
        <v>-1619002</v>
      </c>
    </row>
    <row r="107" spans="1:36">
      <c r="A107" s="11" t="s">
        <v>149</v>
      </c>
    </row>
    <row r="108" spans="1:36">
      <c r="A108" s="4" t="s">
        <v>154</v>
      </c>
      <c r="B108">
        <v>3200586</v>
      </c>
      <c r="C108">
        <v>3278491</v>
      </c>
      <c r="D108">
        <v>3342945</v>
      </c>
      <c r="E108">
        <v>3311096</v>
      </c>
      <c r="F108">
        <v>3239685</v>
      </c>
      <c r="G108">
        <v>3235492</v>
      </c>
      <c r="H108">
        <v>3312571</v>
      </c>
      <c r="I108">
        <v>3358367</v>
      </c>
      <c r="J108">
        <v>3290163</v>
      </c>
      <c r="K108">
        <v>3315189</v>
      </c>
      <c r="L108">
        <v>3440572</v>
      </c>
      <c r="M108">
        <v>3571165</v>
      </c>
      <c r="N108">
        <v>3631806</v>
      </c>
      <c r="O108">
        <v>3641321</v>
      </c>
      <c r="P108">
        <v>3606516</v>
      </c>
      <c r="Q108">
        <v>3637179</v>
      </c>
      <c r="R108">
        <v>3732273</v>
      </c>
      <c r="S108">
        <v>3894801</v>
      </c>
      <c r="T108">
        <v>4107326</v>
      </c>
      <c r="U108">
        <v>4244671</v>
      </c>
      <c r="V108">
        <v>4591830</v>
      </c>
      <c r="W108">
        <v>4854250</v>
      </c>
      <c r="X108">
        <v>5065107</v>
      </c>
      <c r="Y108">
        <v>5338191</v>
      </c>
      <c r="Z108">
        <v>5772609</v>
      </c>
      <c r="AA108">
        <v>5990305</v>
      </c>
      <c r="AB108">
        <v>6422563</v>
      </c>
      <c r="AC108">
        <v>6823097</v>
      </c>
      <c r="AD108">
        <v>7242295</v>
      </c>
      <c r="AE108">
        <v>7585294</v>
      </c>
      <c r="AF108">
        <v>7716382</v>
      </c>
      <c r="AG108">
        <v>7932837</v>
      </c>
      <c r="AH108">
        <v>8349602</v>
      </c>
      <c r="AI108">
        <v>8903103</v>
      </c>
      <c r="AJ108">
        <v>8502864</v>
      </c>
    </row>
    <row r="109" spans="1:36">
      <c r="A109" s="4" t="s">
        <v>155</v>
      </c>
      <c r="B109">
        <f>B110+B108</f>
        <v>2591439</v>
      </c>
      <c r="C109">
        <f t="shared" ref="C109" si="176">C110+C108</f>
        <v>13049332</v>
      </c>
      <c r="D109">
        <f t="shared" ref="D109" si="177">D110+D108</f>
        <v>13816334</v>
      </c>
      <c r="E109">
        <f t="shared" ref="E109" si="178">E110+E108</f>
        <v>14609198</v>
      </c>
      <c r="F109">
        <f t="shared" ref="F109" si="179">F110+F108</f>
        <v>15516206</v>
      </c>
      <c r="G109">
        <f t="shared" ref="G109" si="180">G110+G108</f>
        <v>16946417</v>
      </c>
      <c r="H109">
        <f t="shared" ref="H109" si="181">H110+H108</f>
        <v>18862112</v>
      </c>
      <c r="I109">
        <f t="shared" ref="I109" si="182">I110+I108</f>
        <v>20261790</v>
      </c>
      <c r="J109">
        <f t="shared" ref="J109" si="183">J110+J108</f>
        <v>21777988</v>
      </c>
      <c r="K109">
        <f t="shared" ref="K109" si="184">K110+K108</f>
        <v>23999577</v>
      </c>
      <c r="L109">
        <f t="shared" ref="L109" si="185">L110+L108</f>
        <v>27663307</v>
      </c>
      <c r="M109">
        <f t="shared" ref="M109" si="186">M110+M108</f>
        <v>30276769</v>
      </c>
      <c r="N109">
        <f t="shared" ref="N109" si="187">N110+N108</f>
        <v>33248353</v>
      </c>
      <c r="O109">
        <f t="shared" ref="O109" si="188">O110+O108</f>
        <v>35931968</v>
      </c>
      <c r="P109">
        <f t="shared" ref="P109" si="189">P110+P108</f>
        <v>38935241</v>
      </c>
      <c r="Q109">
        <f t="shared" ref="Q109" si="190">Q110+Q108</f>
        <v>41657152</v>
      </c>
      <c r="R109">
        <f t="shared" ref="R109" si="191">R110+R108</f>
        <v>43897841</v>
      </c>
      <c r="S109">
        <f t="shared" ref="S109" si="192">S110+S108</f>
        <v>46136963</v>
      </c>
      <c r="T109">
        <f t="shared" ref="T109" si="193">T110+T108</f>
        <v>48497903</v>
      </c>
      <c r="U109">
        <f t="shared" ref="U109" si="194">U110+U108</f>
        <v>51872393</v>
      </c>
      <c r="V109">
        <f t="shared" ref="V109" si="195">V110+V108</f>
        <v>55957418</v>
      </c>
      <c r="W109">
        <f t="shared" ref="W109" si="196">W110+W108</f>
        <v>58319204</v>
      </c>
      <c r="X109">
        <f t="shared" ref="X109" si="197">X110+X108</f>
        <v>64520866</v>
      </c>
      <c r="Y109">
        <f t="shared" ref="Y109" si="198">Y110+Y108</f>
        <v>67041604</v>
      </c>
      <c r="Z109">
        <f t="shared" ref="Z109" si="199">Z110+Z108</f>
        <v>70145927</v>
      </c>
      <c r="AA109">
        <f t="shared" ref="AA109" si="200">AA110+AA108</f>
        <v>72627381</v>
      </c>
      <c r="AB109">
        <f t="shared" ref="AB109" si="201">AB110+AB108</f>
        <v>75467222</v>
      </c>
      <c r="AC109">
        <f t="shared" ref="AC109" si="202">AC110+AC108</f>
        <v>81099832</v>
      </c>
      <c r="AD109">
        <f t="shared" ref="AD109" si="203">AD110+AD108</f>
        <v>87033016</v>
      </c>
      <c r="AE109">
        <f t="shared" ref="AE109" si="204">AE110+AE108</f>
        <v>90681555</v>
      </c>
      <c r="AF109">
        <f t="shared" ref="AF109" si="205">AF110+AF108</f>
        <v>89099053</v>
      </c>
      <c r="AG109">
        <f t="shared" ref="AG109" si="206">AG110+AG108</f>
        <v>90325274</v>
      </c>
      <c r="AH109">
        <f t="shared" ref="AH109" si="207">AH110+AH108</f>
        <v>93341500</v>
      </c>
      <c r="AI109">
        <f t="shared" ref="AI109" si="208">AI110+AI108</f>
        <v>95413774</v>
      </c>
      <c r="AJ109">
        <f t="shared" ref="AJ109" si="209">AJ110+AJ108</f>
        <v>98236495</v>
      </c>
    </row>
    <row r="110" spans="1:36">
      <c r="A110" s="4" t="s">
        <v>156</v>
      </c>
      <c r="B110">
        <f>B47</f>
        <v>-609147</v>
      </c>
      <c r="C110">
        <f t="shared" ref="C110:AJ110" si="210">C51</f>
        <v>9770841</v>
      </c>
      <c r="D110">
        <f t="shared" si="210"/>
        <v>10473389</v>
      </c>
      <c r="E110">
        <f t="shared" si="210"/>
        <v>11298102</v>
      </c>
      <c r="F110">
        <f t="shared" si="210"/>
        <v>12276521</v>
      </c>
      <c r="G110">
        <f t="shared" si="210"/>
        <v>13710925</v>
      </c>
      <c r="H110">
        <f t="shared" si="210"/>
        <v>15549541</v>
      </c>
      <c r="I110">
        <f t="shared" si="210"/>
        <v>16903423</v>
      </c>
      <c r="J110">
        <f t="shared" si="210"/>
        <v>18487825</v>
      </c>
      <c r="K110">
        <f t="shared" si="210"/>
        <v>20684388</v>
      </c>
      <c r="L110">
        <f t="shared" si="210"/>
        <v>24222735</v>
      </c>
      <c r="M110">
        <f t="shared" si="210"/>
        <v>26705604</v>
      </c>
      <c r="N110">
        <f t="shared" si="210"/>
        <v>29616547</v>
      </c>
      <c r="O110">
        <f t="shared" si="210"/>
        <v>32290647</v>
      </c>
      <c r="P110">
        <f t="shared" si="210"/>
        <v>35328725</v>
      </c>
      <c r="Q110">
        <f t="shared" si="210"/>
        <v>38019973</v>
      </c>
      <c r="R110">
        <f t="shared" si="210"/>
        <v>40165568</v>
      </c>
      <c r="S110">
        <f t="shared" si="210"/>
        <v>42242162</v>
      </c>
      <c r="T110">
        <f t="shared" si="210"/>
        <v>44390577</v>
      </c>
      <c r="U110">
        <f t="shared" si="210"/>
        <v>47627722</v>
      </c>
      <c r="V110">
        <f t="shared" si="210"/>
        <v>51365588</v>
      </c>
      <c r="W110">
        <f t="shared" si="210"/>
        <v>53464954</v>
      </c>
      <c r="X110">
        <f t="shared" si="210"/>
        <v>59455759</v>
      </c>
      <c r="Y110">
        <f t="shared" si="210"/>
        <v>61703413</v>
      </c>
      <c r="Z110">
        <f t="shared" si="210"/>
        <v>64373318</v>
      </c>
      <c r="AA110">
        <f t="shared" si="210"/>
        <v>66637076</v>
      </c>
      <c r="AB110">
        <f t="shared" si="210"/>
        <v>69044659</v>
      </c>
      <c r="AC110">
        <f t="shared" si="210"/>
        <v>74276735</v>
      </c>
      <c r="AD110">
        <f t="shared" si="210"/>
        <v>79790721</v>
      </c>
      <c r="AE110">
        <f t="shared" si="210"/>
        <v>83096261</v>
      </c>
      <c r="AF110">
        <f t="shared" si="210"/>
        <v>81382671</v>
      </c>
      <c r="AG110">
        <f t="shared" si="210"/>
        <v>82392437</v>
      </c>
      <c r="AH110">
        <f t="shared" si="210"/>
        <v>84991898</v>
      </c>
      <c r="AI110">
        <f t="shared" si="210"/>
        <v>86510671</v>
      </c>
      <c r="AJ110">
        <f t="shared" si="210"/>
        <v>89733631</v>
      </c>
    </row>
    <row r="111" spans="1:36">
      <c r="A111" s="11" t="s">
        <v>150</v>
      </c>
    </row>
    <row r="112" spans="1:36">
      <c r="A112" s="4" t="s">
        <v>154</v>
      </c>
      <c r="B112">
        <v>1160083</v>
      </c>
      <c r="C112">
        <v>1349286</v>
      </c>
      <c r="D112">
        <v>1794036</v>
      </c>
      <c r="E112">
        <v>2282040</v>
      </c>
      <c r="F112">
        <v>2968745</v>
      </c>
      <c r="G112">
        <v>3886934</v>
      </c>
      <c r="H112">
        <v>5247110</v>
      </c>
      <c r="I112">
        <v>5506682</v>
      </c>
      <c r="J112">
        <v>6507905</v>
      </c>
      <c r="K112">
        <v>8039681</v>
      </c>
      <c r="L112">
        <v>8605902</v>
      </c>
      <c r="M112">
        <v>8838402</v>
      </c>
      <c r="N112">
        <v>9048833</v>
      </c>
      <c r="O112">
        <v>10246584</v>
      </c>
      <c r="P112">
        <v>11353234</v>
      </c>
      <c r="Q112">
        <v>12522169</v>
      </c>
      <c r="R112">
        <v>13607990</v>
      </c>
      <c r="S112">
        <v>14002940</v>
      </c>
      <c r="T112">
        <v>14048731</v>
      </c>
      <c r="U112">
        <v>14359583</v>
      </c>
      <c r="V112">
        <v>14415425</v>
      </c>
      <c r="W112">
        <v>14380535</v>
      </c>
      <c r="X112">
        <v>15853923</v>
      </c>
      <c r="Y112">
        <v>16643889</v>
      </c>
      <c r="Z112">
        <v>17250038</v>
      </c>
      <c r="AA112">
        <v>17795292</v>
      </c>
      <c r="AB112">
        <v>19234179</v>
      </c>
      <c r="AC112">
        <v>20078057</v>
      </c>
      <c r="AD112">
        <v>20676630</v>
      </c>
      <c r="AE112">
        <v>20218087</v>
      </c>
      <c r="AF112">
        <v>20409051</v>
      </c>
      <c r="AG112">
        <v>20902157</v>
      </c>
      <c r="AH112">
        <v>22540766</v>
      </c>
      <c r="AI112">
        <v>23670271</v>
      </c>
      <c r="AJ112">
        <v>24120745.706102576</v>
      </c>
    </row>
    <row r="113" spans="1:36">
      <c r="A113" s="4" t="s">
        <v>155</v>
      </c>
      <c r="B113">
        <f>B114+B112</f>
        <v>130287</v>
      </c>
      <c r="C113">
        <f t="shared" ref="C113" si="211">C114+C112</f>
        <v>31874939</v>
      </c>
      <c r="D113">
        <f t="shared" ref="D113" si="212">D114+D112</f>
        <v>35971534</v>
      </c>
      <c r="E113">
        <f t="shared" ref="E113" si="213">E114+E112</f>
        <v>38038093</v>
      </c>
      <c r="F113">
        <f t="shared" ref="F113" si="214">F114+F112</f>
        <v>42558724</v>
      </c>
      <c r="G113">
        <f t="shared" ref="G113" si="215">G114+G112</f>
        <v>47000855</v>
      </c>
      <c r="H113">
        <f t="shared" ref="H113" si="216">H114+H112</f>
        <v>51491850</v>
      </c>
      <c r="I113">
        <f t="shared" ref="I113" si="217">I114+I112</f>
        <v>56009196</v>
      </c>
      <c r="J113">
        <f t="shared" ref="J113" si="218">J114+J112</f>
        <v>62737119</v>
      </c>
      <c r="K113">
        <f t="shared" ref="K113" si="219">K114+K112</f>
        <v>71117238</v>
      </c>
      <c r="L113">
        <f t="shared" ref="L113" si="220">L114+L112</f>
        <v>80770868</v>
      </c>
      <c r="M113">
        <f t="shared" ref="M113" si="221">M114+M112</f>
        <v>96311474</v>
      </c>
      <c r="N113">
        <f t="shared" ref="N113" si="222">N114+N112</f>
        <v>135683312</v>
      </c>
      <c r="O113">
        <f t="shared" ref="O113" si="223">O114+O112</f>
        <v>147578612</v>
      </c>
      <c r="P113">
        <f t="shared" ref="P113" si="224">P114+P112</f>
        <v>161137073</v>
      </c>
      <c r="Q113">
        <f t="shared" ref="Q113" si="225">Q114+Q112</f>
        <v>173473657</v>
      </c>
      <c r="R113">
        <f t="shared" ref="R113" si="226">R114+R112</f>
        <v>176905356</v>
      </c>
      <c r="S113">
        <f t="shared" ref="S113" si="227">S114+S112</f>
        <v>184091171</v>
      </c>
      <c r="T113">
        <f t="shared" ref="T113" si="228">T114+T112</f>
        <v>187696156</v>
      </c>
      <c r="U113">
        <f t="shared" ref="U113" si="229">U114+U112</f>
        <v>196581122</v>
      </c>
      <c r="V113">
        <f t="shared" ref="V113" si="230">V114+V112</f>
        <v>212518521</v>
      </c>
      <c r="W113">
        <f t="shared" ref="W113" si="231">W114+W112</f>
        <v>234066003</v>
      </c>
      <c r="X113">
        <f t="shared" ref="X113" si="232">X114+X112</f>
        <v>259259757</v>
      </c>
      <c r="Y113">
        <f t="shared" ref="Y113" si="233">Y114+Y112</f>
        <v>285151162</v>
      </c>
      <c r="Z113">
        <f t="shared" ref="Z113" si="234">Z114+Z112</f>
        <v>317543882</v>
      </c>
      <c r="AA113">
        <f t="shared" ref="AA113" si="235">AA114+AA112</f>
        <v>350428143</v>
      </c>
      <c r="AB113">
        <f t="shared" ref="AB113" si="236">AB114+AB112</f>
        <v>350155650</v>
      </c>
      <c r="AC113">
        <f t="shared" ref="AC113" si="237">AC114+AC112</f>
        <v>373017950</v>
      </c>
      <c r="AD113">
        <f t="shared" ref="AD113" si="238">AD114+AD112</f>
        <v>392290792</v>
      </c>
      <c r="AE113">
        <f t="shared" ref="AE113" si="239">AE114+AE112</f>
        <v>413284611</v>
      </c>
      <c r="AF113">
        <f t="shared" ref="AF113" si="240">AF114+AF112</f>
        <v>445228242</v>
      </c>
      <c r="AG113">
        <f t="shared" ref="AG113" si="241">AG114+AG112</f>
        <v>480237695</v>
      </c>
      <c r="AH113">
        <f t="shared" ref="AH113" si="242">AH114+AH112</f>
        <v>482229784</v>
      </c>
      <c r="AI113">
        <f t="shared" ref="AI113" si="243">AI114+AI112</f>
        <v>509700259</v>
      </c>
      <c r="AJ113">
        <f t="shared" ref="AJ113" si="244">AJ114+AJ112</f>
        <v>533516210.70610255</v>
      </c>
    </row>
    <row r="114" spans="1:36">
      <c r="A114" s="4" t="s">
        <v>156</v>
      </c>
      <c r="B114">
        <f>B48</f>
        <v>-1029796</v>
      </c>
      <c r="C114">
        <f t="shared" ref="C114:AJ114" si="245">C55</f>
        <v>30525653</v>
      </c>
      <c r="D114">
        <f t="shared" si="245"/>
        <v>34177498</v>
      </c>
      <c r="E114">
        <f t="shared" si="245"/>
        <v>35756053</v>
      </c>
      <c r="F114">
        <f t="shared" si="245"/>
        <v>39589979</v>
      </c>
      <c r="G114">
        <f t="shared" si="245"/>
        <v>43113921</v>
      </c>
      <c r="H114">
        <f t="shared" si="245"/>
        <v>46244740</v>
      </c>
      <c r="I114">
        <f t="shared" si="245"/>
        <v>50502514</v>
      </c>
      <c r="J114">
        <f t="shared" si="245"/>
        <v>56229214</v>
      </c>
      <c r="K114">
        <f t="shared" si="245"/>
        <v>63077557</v>
      </c>
      <c r="L114">
        <f t="shared" si="245"/>
        <v>72164966</v>
      </c>
      <c r="M114">
        <f t="shared" si="245"/>
        <v>87473072</v>
      </c>
      <c r="N114">
        <f t="shared" si="245"/>
        <v>126634479</v>
      </c>
      <c r="O114">
        <f t="shared" si="245"/>
        <v>137332028</v>
      </c>
      <c r="P114">
        <f t="shared" si="245"/>
        <v>149783839</v>
      </c>
      <c r="Q114">
        <f t="shared" si="245"/>
        <v>160951488</v>
      </c>
      <c r="R114">
        <f t="shared" si="245"/>
        <v>163297366</v>
      </c>
      <c r="S114">
        <f t="shared" si="245"/>
        <v>170088231</v>
      </c>
      <c r="T114">
        <f t="shared" si="245"/>
        <v>173647425</v>
      </c>
      <c r="U114">
        <f t="shared" si="245"/>
        <v>182221539</v>
      </c>
      <c r="V114">
        <f t="shared" si="245"/>
        <v>198103096</v>
      </c>
      <c r="W114">
        <f t="shared" si="245"/>
        <v>219685468</v>
      </c>
      <c r="X114">
        <f t="shared" si="245"/>
        <v>243405834</v>
      </c>
      <c r="Y114">
        <f t="shared" si="245"/>
        <v>268507273</v>
      </c>
      <c r="Z114">
        <f t="shared" si="245"/>
        <v>300293844</v>
      </c>
      <c r="AA114">
        <f t="shared" si="245"/>
        <v>332632851</v>
      </c>
      <c r="AB114">
        <f t="shared" si="245"/>
        <v>330921471</v>
      </c>
      <c r="AC114">
        <f t="shared" si="245"/>
        <v>352939893</v>
      </c>
      <c r="AD114">
        <f t="shared" si="245"/>
        <v>371614162</v>
      </c>
      <c r="AE114">
        <f t="shared" si="245"/>
        <v>393066524</v>
      </c>
      <c r="AF114">
        <f t="shared" si="245"/>
        <v>424819191</v>
      </c>
      <c r="AG114">
        <f t="shared" si="245"/>
        <v>459335538</v>
      </c>
      <c r="AH114">
        <f t="shared" si="245"/>
        <v>459689018</v>
      </c>
      <c r="AI114">
        <f t="shared" si="245"/>
        <v>486029988</v>
      </c>
      <c r="AJ114">
        <f t="shared" si="245"/>
        <v>509395465</v>
      </c>
    </row>
    <row r="115" spans="1:36">
      <c r="A115" s="11" t="s">
        <v>146</v>
      </c>
    </row>
    <row r="116" spans="1:36">
      <c r="A116" s="4" t="s">
        <v>154</v>
      </c>
      <c r="B116">
        <v>12732887</v>
      </c>
      <c r="C116">
        <v>14759904</v>
      </c>
      <c r="D116">
        <v>17372088</v>
      </c>
      <c r="E116">
        <v>19243593</v>
      </c>
      <c r="F116">
        <v>20553735</v>
      </c>
      <c r="G116">
        <v>21496444</v>
      </c>
      <c r="H116">
        <v>22829942</v>
      </c>
      <c r="I116">
        <v>24155753</v>
      </c>
      <c r="J116">
        <v>26128715</v>
      </c>
      <c r="K116">
        <v>28744864</v>
      </c>
      <c r="L116">
        <v>31113880</v>
      </c>
      <c r="M116">
        <v>33712542</v>
      </c>
      <c r="N116">
        <v>38092820</v>
      </c>
      <c r="O116">
        <v>41141163</v>
      </c>
      <c r="P116">
        <v>44210613</v>
      </c>
      <c r="Q116">
        <v>46969622</v>
      </c>
      <c r="R116">
        <v>50544099</v>
      </c>
      <c r="S116">
        <v>49564848</v>
      </c>
      <c r="T116">
        <v>50651782</v>
      </c>
      <c r="U116">
        <v>51610383</v>
      </c>
      <c r="V116">
        <v>54619355</v>
      </c>
      <c r="W116">
        <v>59518395</v>
      </c>
      <c r="X116">
        <v>65404087</v>
      </c>
      <c r="Y116">
        <v>68926691</v>
      </c>
      <c r="Z116">
        <v>73273341</v>
      </c>
      <c r="AA116">
        <v>79022342</v>
      </c>
      <c r="AB116">
        <v>83932749</v>
      </c>
      <c r="AC116">
        <v>91928359</v>
      </c>
      <c r="AD116">
        <v>97983048</v>
      </c>
      <c r="AE116">
        <v>107225828</v>
      </c>
      <c r="AF116">
        <v>113338901</v>
      </c>
      <c r="AG116">
        <v>118735447</v>
      </c>
      <c r="AH116">
        <v>122969125</v>
      </c>
      <c r="AI116">
        <v>129820391</v>
      </c>
      <c r="AJ116">
        <v>133385006</v>
      </c>
    </row>
    <row r="117" spans="1:36">
      <c r="A117" s="4" t="s">
        <v>155</v>
      </c>
      <c r="B117">
        <f>B118+B116</f>
        <v>18084640</v>
      </c>
      <c r="C117">
        <f t="shared" ref="C117" si="246">C118+C116</f>
        <v>17036335</v>
      </c>
      <c r="D117">
        <f t="shared" ref="D117" si="247">D118+D116</f>
        <v>19657956</v>
      </c>
      <c r="E117">
        <f t="shared" ref="E117" si="248">E118+E116</f>
        <v>21716780</v>
      </c>
      <c r="F117">
        <f t="shared" ref="F117" si="249">F118+F116</f>
        <v>23109446</v>
      </c>
      <c r="G117">
        <f t="shared" ref="G117" si="250">G118+G116</f>
        <v>24088563</v>
      </c>
      <c r="H117">
        <f t="shared" ref="H117" si="251">H118+H116</f>
        <v>25537162</v>
      </c>
      <c r="I117">
        <f t="shared" ref="I117" si="252">I118+I116</f>
        <v>26907444</v>
      </c>
      <c r="J117">
        <f t="shared" ref="J117" si="253">J118+J116</f>
        <v>28981825</v>
      </c>
      <c r="K117">
        <f t="shared" ref="K117" si="254">K118+K116</f>
        <v>31692033</v>
      </c>
      <c r="L117">
        <f t="shared" ref="L117" si="255">L118+L116</f>
        <v>34128234</v>
      </c>
      <c r="M117">
        <f t="shared" ref="M117" si="256">M118+M116</f>
        <v>36962230</v>
      </c>
      <c r="N117">
        <f t="shared" ref="N117" si="257">N118+N116</f>
        <v>41809596</v>
      </c>
      <c r="O117">
        <f t="shared" ref="O117" si="258">O118+O116</f>
        <v>45086186</v>
      </c>
      <c r="P117">
        <f t="shared" ref="P117" si="259">P118+P116</f>
        <v>48281420</v>
      </c>
      <c r="Q117">
        <f t="shared" ref="Q117" si="260">Q118+Q116</f>
        <v>50915636</v>
      </c>
      <c r="R117">
        <f t="shared" ref="R117" si="261">R118+R116</f>
        <v>54474710</v>
      </c>
      <c r="S117">
        <f t="shared" ref="S117" si="262">S118+S116</f>
        <v>53573883</v>
      </c>
      <c r="T117">
        <f t="shared" ref="T117" si="263">T118+T116</f>
        <v>54784965</v>
      </c>
      <c r="U117">
        <f t="shared" ref="U117" si="264">U118+U116</f>
        <v>55740730</v>
      </c>
      <c r="V117">
        <f t="shared" ref="V117" si="265">V118+V116</f>
        <v>58797020</v>
      </c>
      <c r="W117">
        <f t="shared" ref="W117" si="266">W118+W116</f>
        <v>63877225</v>
      </c>
      <c r="X117">
        <f t="shared" ref="X117" si="267">X118+X116</f>
        <v>70486217</v>
      </c>
      <c r="Y117">
        <f t="shared" ref="Y117" si="268">Y118+Y116</f>
        <v>74193741</v>
      </c>
      <c r="Z117">
        <f t="shared" ref="Z117" si="269">Z118+Z116</f>
        <v>77636967</v>
      </c>
      <c r="AA117">
        <f t="shared" ref="AA117" si="270">AA118+AA116</f>
        <v>83286887</v>
      </c>
      <c r="AB117">
        <f t="shared" ref="AB117" si="271">AB118+AB116</f>
        <v>88488842</v>
      </c>
      <c r="AC117">
        <f t="shared" ref="AC117" si="272">AC118+AC116</f>
        <v>95911263</v>
      </c>
      <c r="AD117">
        <f t="shared" ref="AD117" si="273">AD118+AD116</f>
        <v>102037871</v>
      </c>
      <c r="AE117">
        <f t="shared" ref="AE117" si="274">AE118+AE116</f>
        <v>111795736</v>
      </c>
      <c r="AF117">
        <f t="shared" ref="AF117" si="275">AF118+AF116</f>
        <v>118495621</v>
      </c>
      <c r="AG117">
        <f t="shared" ref="AG117" si="276">AG118+AG116</f>
        <v>123991304</v>
      </c>
      <c r="AH117">
        <f t="shared" ref="AH117" si="277">AH118+AH116</f>
        <v>128085267</v>
      </c>
      <c r="AI117">
        <f t="shared" ref="AI117" si="278">AI118+AI116</f>
        <v>134721228</v>
      </c>
      <c r="AJ117">
        <f t="shared" ref="AJ117" si="279">AJ118+AJ116</f>
        <v>137785035</v>
      </c>
    </row>
    <row r="118" spans="1:36">
      <c r="A118" s="4" t="s">
        <v>156</v>
      </c>
      <c r="B118">
        <f>B52</f>
        <v>5351753</v>
      </c>
      <c r="C118">
        <f t="shared" ref="C118:AJ118" si="280">C59</f>
        <v>2276431</v>
      </c>
      <c r="D118">
        <f t="shared" si="280"/>
        <v>2285868</v>
      </c>
      <c r="E118">
        <f t="shared" si="280"/>
        <v>2473187</v>
      </c>
      <c r="F118">
        <f t="shared" si="280"/>
        <v>2555711</v>
      </c>
      <c r="G118">
        <f t="shared" si="280"/>
        <v>2592119</v>
      </c>
      <c r="H118">
        <f t="shared" si="280"/>
        <v>2707220</v>
      </c>
      <c r="I118">
        <f t="shared" si="280"/>
        <v>2751691</v>
      </c>
      <c r="J118">
        <f t="shared" si="280"/>
        <v>2853110</v>
      </c>
      <c r="K118">
        <f t="shared" si="280"/>
        <v>2947169</v>
      </c>
      <c r="L118">
        <f t="shared" si="280"/>
        <v>3014354</v>
      </c>
      <c r="M118">
        <f t="shared" si="280"/>
        <v>3249688</v>
      </c>
      <c r="N118">
        <f t="shared" si="280"/>
        <v>3716776</v>
      </c>
      <c r="O118">
        <f t="shared" si="280"/>
        <v>3945023</v>
      </c>
      <c r="P118">
        <f t="shared" si="280"/>
        <v>4070807</v>
      </c>
      <c r="Q118">
        <f t="shared" si="280"/>
        <v>3946014</v>
      </c>
      <c r="R118">
        <f t="shared" si="280"/>
        <v>3930611</v>
      </c>
      <c r="S118">
        <f t="shared" si="280"/>
        <v>4009035</v>
      </c>
      <c r="T118">
        <f t="shared" si="280"/>
        <v>4133183</v>
      </c>
      <c r="U118">
        <f t="shared" si="280"/>
        <v>4130347</v>
      </c>
      <c r="V118">
        <f t="shared" si="280"/>
        <v>4177665</v>
      </c>
      <c r="W118">
        <f t="shared" si="280"/>
        <v>4358830</v>
      </c>
      <c r="X118">
        <f t="shared" si="280"/>
        <v>5082130</v>
      </c>
      <c r="Y118">
        <f t="shared" si="280"/>
        <v>5267050</v>
      </c>
      <c r="Z118">
        <f t="shared" si="280"/>
        <v>4363626</v>
      </c>
      <c r="AA118">
        <f t="shared" si="280"/>
        <v>4264545</v>
      </c>
      <c r="AB118">
        <f t="shared" si="280"/>
        <v>4556093</v>
      </c>
      <c r="AC118">
        <f t="shared" si="280"/>
        <v>3982904</v>
      </c>
      <c r="AD118">
        <f t="shared" si="280"/>
        <v>4054823</v>
      </c>
      <c r="AE118">
        <f t="shared" si="280"/>
        <v>4569908</v>
      </c>
      <c r="AF118">
        <f t="shared" si="280"/>
        <v>5156720</v>
      </c>
      <c r="AG118">
        <f t="shared" si="280"/>
        <v>5255857</v>
      </c>
      <c r="AH118">
        <f t="shared" si="280"/>
        <v>5116142</v>
      </c>
      <c r="AI118">
        <f t="shared" si="280"/>
        <v>4900837</v>
      </c>
      <c r="AJ118">
        <f t="shared" si="280"/>
        <v>4400029</v>
      </c>
    </row>
    <row r="119" spans="1:36">
      <c r="A119" s="11" t="s">
        <v>151</v>
      </c>
    </row>
    <row r="120" spans="1:36">
      <c r="A120" s="4" t="s">
        <v>154</v>
      </c>
      <c r="B120">
        <v>13195932</v>
      </c>
      <c r="C120">
        <v>15934472</v>
      </c>
      <c r="D120">
        <v>18698221</v>
      </c>
      <c r="E120">
        <v>20869790</v>
      </c>
      <c r="F120">
        <v>23115202</v>
      </c>
      <c r="G120">
        <v>25340378</v>
      </c>
      <c r="H120">
        <v>26136995</v>
      </c>
      <c r="I120">
        <v>27643301</v>
      </c>
      <c r="J120">
        <v>29144706</v>
      </c>
      <c r="K120">
        <v>31116488</v>
      </c>
      <c r="L120">
        <v>32311610</v>
      </c>
      <c r="M120">
        <v>33502125</v>
      </c>
      <c r="N120">
        <v>34397503</v>
      </c>
      <c r="O120">
        <v>35318875</v>
      </c>
      <c r="P120">
        <v>37520134</v>
      </c>
      <c r="Q120">
        <v>38215064</v>
      </c>
      <c r="R120">
        <v>39271287</v>
      </c>
      <c r="S120">
        <v>40005844</v>
      </c>
      <c r="T120">
        <v>42000582</v>
      </c>
      <c r="U120">
        <v>45133608</v>
      </c>
      <c r="V120">
        <v>46390080</v>
      </c>
      <c r="W120">
        <v>56048022</v>
      </c>
      <c r="X120">
        <v>60165554</v>
      </c>
      <c r="Y120">
        <v>59329069</v>
      </c>
      <c r="Z120">
        <v>63286229</v>
      </c>
      <c r="AA120">
        <v>66093482</v>
      </c>
      <c r="AB120">
        <v>74300077</v>
      </c>
      <c r="AC120">
        <v>78960159</v>
      </c>
      <c r="AD120">
        <v>81550599</v>
      </c>
      <c r="AE120">
        <v>87639065</v>
      </c>
      <c r="AF120">
        <v>84711175</v>
      </c>
      <c r="AG120">
        <v>84805482</v>
      </c>
      <c r="AH120">
        <v>82902578</v>
      </c>
      <c r="AI120">
        <v>83999475</v>
      </c>
      <c r="AJ120">
        <v>85410721</v>
      </c>
    </row>
    <row r="121" spans="1:36">
      <c r="A121" s="4" t="s">
        <v>155</v>
      </c>
      <c r="B121">
        <f>B122+B120</f>
        <v>15179898</v>
      </c>
      <c r="C121">
        <f t="shared" ref="C121" si="281">C122+C120</f>
        <v>115456334</v>
      </c>
      <c r="D121">
        <f t="shared" ref="D121" si="282">D122+D120</f>
        <v>123540201</v>
      </c>
      <c r="E121">
        <f t="shared" ref="E121" si="283">E122+E120</f>
        <v>132584135</v>
      </c>
      <c r="F121">
        <f t="shared" ref="F121" si="284">F122+F120</f>
        <v>142692726</v>
      </c>
      <c r="G121">
        <f t="shared" ref="G121" si="285">G122+G120</f>
        <v>156207494</v>
      </c>
      <c r="H121">
        <f t="shared" ref="H121" si="286">H122+H120</f>
        <v>170285132</v>
      </c>
      <c r="I121">
        <f t="shared" ref="I121" si="287">I122+I120</f>
        <v>183782819</v>
      </c>
      <c r="J121">
        <f t="shared" ref="J121" si="288">J122+J120</f>
        <v>197511517</v>
      </c>
      <c r="K121">
        <f t="shared" ref="K121" si="289">K122+K120</f>
        <v>214514991</v>
      </c>
      <c r="L121">
        <f t="shared" ref="L121" si="290">L122+L120</f>
        <v>232747837</v>
      </c>
      <c r="M121">
        <f t="shared" ref="M121" si="291">M122+M120</f>
        <v>249901227</v>
      </c>
      <c r="N121">
        <f t="shared" ref="N121" si="292">N122+N120</f>
        <v>260271023</v>
      </c>
      <c r="O121">
        <f t="shared" ref="O121" si="293">O122+O120</f>
        <v>274867662</v>
      </c>
      <c r="P121">
        <f t="shared" ref="P121" si="294">P122+P120</f>
        <v>284046364</v>
      </c>
      <c r="Q121">
        <f t="shared" ref="Q121" si="295">Q122+Q120</f>
        <v>302722270</v>
      </c>
      <c r="R121">
        <f t="shared" ref="R121" si="296">R122+R120</f>
        <v>319649756</v>
      </c>
      <c r="S121">
        <f t="shared" ref="S121" si="297">S122+S120</f>
        <v>334823738</v>
      </c>
      <c r="T121">
        <f t="shared" ref="T121" si="298">T122+T120</f>
        <v>360290572</v>
      </c>
      <c r="U121">
        <f t="shared" ref="U121" si="299">U122+U120</f>
        <v>385349013</v>
      </c>
      <c r="V121">
        <f t="shared" ref="V121" si="300">V122+V120</f>
        <v>412014889</v>
      </c>
      <c r="W121">
        <f t="shared" ref="W121" si="301">W122+W120</f>
        <v>449870385</v>
      </c>
      <c r="X121">
        <f t="shared" ref="X121" si="302">X122+X120</f>
        <v>474071129</v>
      </c>
      <c r="Y121">
        <f t="shared" ref="Y121" si="303">Y122+Y120</f>
        <v>490559767</v>
      </c>
      <c r="Z121">
        <f t="shared" ref="Z121" si="304">Z122+Z120</f>
        <v>518650814</v>
      </c>
      <c r="AA121">
        <f t="shared" ref="AA121" si="305">AA122+AA120</f>
        <v>544233584</v>
      </c>
      <c r="AB121">
        <f t="shared" ref="AB121" si="306">AB122+AB120</f>
        <v>581149661</v>
      </c>
      <c r="AC121">
        <f t="shared" ref="AC121" si="307">AC122+AC120</f>
        <v>618386617</v>
      </c>
      <c r="AD121">
        <f t="shared" ref="AD121" si="308">AD122+AD120</f>
        <v>652684943</v>
      </c>
      <c r="AE121">
        <f t="shared" ref="AE121" si="309">AE122+AE120</f>
        <v>672525767</v>
      </c>
      <c r="AF121">
        <f t="shared" ref="AF121" si="310">AF122+AF120</f>
        <v>667653749</v>
      </c>
      <c r="AG121">
        <f t="shared" ref="AG121" si="311">AG122+AG120</f>
        <v>661005821</v>
      </c>
      <c r="AH121">
        <f t="shared" ref="AH121" si="312">AH122+AH120</f>
        <v>659913897</v>
      </c>
      <c r="AI121">
        <f t="shared" ref="AI121" si="313">AI122+AI120</f>
        <v>666482098</v>
      </c>
      <c r="AJ121">
        <f t="shared" ref="AJ121" si="314">AJ122+AJ120</f>
        <v>686599930</v>
      </c>
    </row>
    <row r="122" spans="1:36">
      <c r="A122" s="4" t="s">
        <v>156</v>
      </c>
      <c r="B122">
        <f>B68</f>
        <v>1983966</v>
      </c>
      <c r="C122">
        <f t="shared" ref="C122:AJ122" si="315">C63</f>
        <v>99521862</v>
      </c>
      <c r="D122">
        <f t="shared" si="315"/>
        <v>104841980</v>
      </c>
      <c r="E122">
        <f t="shared" si="315"/>
        <v>111714345</v>
      </c>
      <c r="F122">
        <f t="shared" si="315"/>
        <v>119577524</v>
      </c>
      <c r="G122">
        <f t="shared" si="315"/>
        <v>130867116</v>
      </c>
      <c r="H122">
        <f t="shared" si="315"/>
        <v>144148137</v>
      </c>
      <c r="I122">
        <f t="shared" si="315"/>
        <v>156139518</v>
      </c>
      <c r="J122">
        <f t="shared" si="315"/>
        <v>168366811</v>
      </c>
      <c r="K122">
        <f t="shared" si="315"/>
        <v>183398503</v>
      </c>
      <c r="L122">
        <f t="shared" si="315"/>
        <v>200436227</v>
      </c>
      <c r="M122">
        <f t="shared" si="315"/>
        <v>216399102</v>
      </c>
      <c r="N122">
        <f t="shared" si="315"/>
        <v>225873520</v>
      </c>
      <c r="O122">
        <f t="shared" si="315"/>
        <v>239548787</v>
      </c>
      <c r="P122">
        <f t="shared" si="315"/>
        <v>246526230</v>
      </c>
      <c r="Q122">
        <f t="shared" si="315"/>
        <v>264507206</v>
      </c>
      <c r="R122">
        <f t="shared" si="315"/>
        <v>280378469</v>
      </c>
      <c r="S122">
        <f t="shared" si="315"/>
        <v>294817894</v>
      </c>
      <c r="T122">
        <f t="shared" si="315"/>
        <v>318289990</v>
      </c>
      <c r="U122">
        <f t="shared" si="315"/>
        <v>340215405</v>
      </c>
      <c r="V122">
        <f t="shared" si="315"/>
        <v>365624809</v>
      </c>
      <c r="W122">
        <f t="shared" si="315"/>
        <v>393822363</v>
      </c>
      <c r="X122">
        <f t="shared" si="315"/>
        <v>413905575</v>
      </c>
      <c r="Y122">
        <f t="shared" si="315"/>
        <v>431230698</v>
      </c>
      <c r="Z122">
        <f t="shared" si="315"/>
        <v>455364585</v>
      </c>
      <c r="AA122">
        <f t="shared" si="315"/>
        <v>478140102</v>
      </c>
      <c r="AB122">
        <f t="shared" si="315"/>
        <v>506849584</v>
      </c>
      <c r="AC122">
        <f t="shared" si="315"/>
        <v>539426458</v>
      </c>
      <c r="AD122">
        <f t="shared" si="315"/>
        <v>571134344</v>
      </c>
      <c r="AE122">
        <f t="shared" si="315"/>
        <v>584886702</v>
      </c>
      <c r="AF122">
        <f t="shared" si="315"/>
        <v>582942574</v>
      </c>
      <c r="AG122">
        <f t="shared" si="315"/>
        <v>576200339</v>
      </c>
      <c r="AH122">
        <f t="shared" si="315"/>
        <v>577011319</v>
      </c>
      <c r="AI122">
        <f t="shared" si="315"/>
        <v>582482623</v>
      </c>
      <c r="AJ122">
        <f t="shared" si="315"/>
        <v>601189209</v>
      </c>
    </row>
    <row r="123" spans="1:36">
      <c r="A123" s="11" t="s">
        <v>130</v>
      </c>
    </row>
    <row r="124" spans="1:36">
      <c r="A124" s="4" t="s">
        <v>154</v>
      </c>
      <c r="B124">
        <v>4873128</v>
      </c>
      <c r="C124">
        <v>5702259</v>
      </c>
      <c r="D124">
        <v>6379916</v>
      </c>
      <c r="E124">
        <v>7460173</v>
      </c>
      <c r="F124">
        <v>8582616</v>
      </c>
      <c r="G124">
        <v>9573170</v>
      </c>
      <c r="H124">
        <v>10808525</v>
      </c>
      <c r="I124">
        <v>12152043</v>
      </c>
      <c r="J124">
        <v>13482319</v>
      </c>
      <c r="K124">
        <v>15162242</v>
      </c>
      <c r="L124">
        <v>17647179</v>
      </c>
      <c r="M124">
        <v>19603637</v>
      </c>
      <c r="N124">
        <v>22138875</v>
      </c>
      <c r="O124">
        <v>23302495</v>
      </c>
      <c r="P124">
        <v>26510023</v>
      </c>
      <c r="Q124">
        <v>28359168</v>
      </c>
      <c r="R124">
        <v>30086323</v>
      </c>
      <c r="S124">
        <v>31450879</v>
      </c>
      <c r="T124">
        <v>32334199</v>
      </c>
      <c r="U124">
        <v>33634500</v>
      </c>
      <c r="V124">
        <v>34536130</v>
      </c>
      <c r="W124">
        <v>36795705</v>
      </c>
      <c r="X124">
        <v>38304453</v>
      </c>
      <c r="Y124">
        <v>39796335</v>
      </c>
      <c r="Z124">
        <v>41894713</v>
      </c>
      <c r="AA124">
        <v>44480065</v>
      </c>
      <c r="AB124">
        <v>47638107</v>
      </c>
      <c r="AC124">
        <v>50628073</v>
      </c>
      <c r="AD124">
        <v>53385630</v>
      </c>
      <c r="AE124">
        <v>57165935</v>
      </c>
      <c r="AF124">
        <v>59209331</v>
      </c>
      <c r="AG124">
        <v>61739244</v>
      </c>
      <c r="AH124">
        <v>64121075</v>
      </c>
      <c r="AI124">
        <v>67531923</v>
      </c>
      <c r="AJ124">
        <v>68641825</v>
      </c>
    </row>
    <row r="125" spans="1:36">
      <c r="A125" s="4" t="s">
        <v>155</v>
      </c>
      <c r="B125">
        <f>B126+B124</f>
        <v>13214358</v>
      </c>
      <c r="C125">
        <f t="shared" ref="C125" si="316">C126+C124</f>
        <v>30473046</v>
      </c>
      <c r="D125">
        <f t="shared" ref="D125" si="317">D126+D124</f>
        <v>30598300</v>
      </c>
      <c r="E125">
        <f t="shared" ref="E125" si="318">E126+E124</f>
        <v>31303726</v>
      </c>
      <c r="F125">
        <f t="shared" ref="F125" si="319">F126+F124</f>
        <v>30080252</v>
      </c>
      <c r="G125">
        <f t="shared" ref="G125" si="320">G126+G124</f>
        <v>32419398</v>
      </c>
      <c r="H125">
        <f t="shared" ref="H125" si="321">H126+H124</f>
        <v>37447750</v>
      </c>
      <c r="I125">
        <f t="shared" ref="I125" si="322">I126+I124</f>
        <v>40318112</v>
      </c>
      <c r="J125">
        <f t="shared" ref="J125" si="323">J126+J124</f>
        <v>41125063</v>
      </c>
      <c r="K125">
        <f t="shared" ref="K125" si="324">K126+K124</f>
        <v>43709369</v>
      </c>
      <c r="L125">
        <f t="shared" ref="L125" si="325">L126+L124</f>
        <v>49033376</v>
      </c>
      <c r="M125">
        <f t="shared" ref="M125" si="326">M126+M124</f>
        <v>53166586</v>
      </c>
      <c r="N125">
        <f t="shared" ref="N125" si="327">N126+N124</f>
        <v>55628633</v>
      </c>
      <c r="O125">
        <f t="shared" ref="O125" si="328">O126+O124</f>
        <v>55828790</v>
      </c>
      <c r="P125">
        <f t="shared" ref="P125" si="329">P126+P124</f>
        <v>56554686</v>
      </c>
      <c r="Q125">
        <f t="shared" ref="Q125" si="330">Q126+Q124</f>
        <v>61265046</v>
      </c>
      <c r="R125">
        <f t="shared" ref="R125" si="331">R126+R124</f>
        <v>61807478</v>
      </c>
      <c r="S125">
        <f t="shared" ref="S125" si="332">S126+S124</f>
        <v>66780113</v>
      </c>
      <c r="T125">
        <f t="shared" ref="T125" si="333">T126+T124</f>
        <v>68946503</v>
      </c>
      <c r="U125">
        <f t="shared" ref="U125" si="334">U126+U124</f>
        <v>71279271</v>
      </c>
      <c r="V125">
        <f t="shared" ref="V125" si="335">V126+V124</f>
        <v>76608828</v>
      </c>
      <c r="W125">
        <f t="shared" ref="W125" si="336">W126+W124</f>
        <v>90245272</v>
      </c>
      <c r="X125">
        <f t="shared" ref="X125" si="337">X126+X124</f>
        <v>93419537</v>
      </c>
      <c r="Y125">
        <f t="shared" ref="Y125" si="338">Y126+Y124</f>
        <v>94923616</v>
      </c>
      <c r="Z125">
        <f t="shared" ref="Z125" si="339">Z126+Z124</f>
        <v>102480045</v>
      </c>
      <c r="AA125">
        <f t="shared" ref="AA125" si="340">AA126+AA124</f>
        <v>104088194</v>
      </c>
      <c r="AB125">
        <f t="shared" ref="AB125" si="341">AB126+AB124</f>
        <v>111381838</v>
      </c>
      <c r="AC125">
        <f t="shared" ref="AC125" si="342">AC126+AC124</f>
        <v>126965333</v>
      </c>
      <c r="AD125">
        <f t="shared" ref="AD125" si="343">AD126+AD124</f>
        <v>134135270</v>
      </c>
      <c r="AE125">
        <f t="shared" ref="AE125" si="344">AE126+AE124</f>
        <v>142022701</v>
      </c>
      <c r="AF125">
        <f t="shared" ref="AF125" si="345">AF126+AF124</f>
        <v>136261967</v>
      </c>
      <c r="AG125">
        <f t="shared" ref="AG125" si="346">AG126+AG124</f>
        <v>133239074</v>
      </c>
      <c r="AH125">
        <f t="shared" ref="AH125" si="347">AH126+AH124</f>
        <v>127184703</v>
      </c>
      <c r="AI125">
        <f t="shared" ref="AI125" si="348">AI126+AI124</f>
        <v>124957472</v>
      </c>
      <c r="AJ125">
        <f t="shared" ref="AJ125" si="349">AJ126+AJ124</f>
        <v>120329653</v>
      </c>
    </row>
    <row r="126" spans="1:36">
      <c r="A126" s="4" t="s">
        <v>156</v>
      </c>
      <c r="B126">
        <f>B70</f>
        <v>8341230</v>
      </c>
      <c r="C126">
        <f t="shared" ref="C126:AJ126" si="350">C67</f>
        <v>24770787</v>
      </c>
      <c r="D126">
        <f t="shared" si="350"/>
        <v>24218384</v>
      </c>
      <c r="E126">
        <f t="shared" si="350"/>
        <v>23843553</v>
      </c>
      <c r="F126">
        <f t="shared" si="350"/>
        <v>21497636</v>
      </c>
      <c r="G126">
        <f t="shared" si="350"/>
        <v>22846228</v>
      </c>
      <c r="H126">
        <f t="shared" si="350"/>
        <v>26639225</v>
      </c>
      <c r="I126">
        <f t="shared" si="350"/>
        <v>28166069</v>
      </c>
      <c r="J126">
        <f t="shared" si="350"/>
        <v>27642744</v>
      </c>
      <c r="K126">
        <f t="shared" si="350"/>
        <v>28547127</v>
      </c>
      <c r="L126">
        <f t="shared" si="350"/>
        <v>31386197</v>
      </c>
      <c r="M126">
        <f t="shared" si="350"/>
        <v>33562949</v>
      </c>
      <c r="N126">
        <f t="shared" si="350"/>
        <v>33489758</v>
      </c>
      <c r="O126">
        <f t="shared" si="350"/>
        <v>32526295</v>
      </c>
      <c r="P126">
        <f t="shared" si="350"/>
        <v>30044663</v>
      </c>
      <c r="Q126">
        <f t="shared" si="350"/>
        <v>32905878</v>
      </c>
      <c r="R126">
        <f t="shared" si="350"/>
        <v>31721155</v>
      </c>
      <c r="S126">
        <f t="shared" si="350"/>
        <v>35329234</v>
      </c>
      <c r="T126">
        <f t="shared" si="350"/>
        <v>36612304</v>
      </c>
      <c r="U126">
        <f t="shared" si="350"/>
        <v>37644771</v>
      </c>
      <c r="V126">
        <f t="shared" si="350"/>
        <v>42072698</v>
      </c>
      <c r="W126">
        <f t="shared" si="350"/>
        <v>53449567</v>
      </c>
      <c r="X126">
        <f t="shared" si="350"/>
        <v>55115084</v>
      </c>
      <c r="Y126">
        <f t="shared" si="350"/>
        <v>55127281</v>
      </c>
      <c r="Z126">
        <f t="shared" si="350"/>
        <v>60585332</v>
      </c>
      <c r="AA126">
        <f t="shared" si="350"/>
        <v>59608129</v>
      </c>
      <c r="AB126">
        <f t="shared" si="350"/>
        <v>63743731</v>
      </c>
      <c r="AC126">
        <f t="shared" si="350"/>
        <v>76337260</v>
      </c>
      <c r="AD126">
        <f t="shared" si="350"/>
        <v>80749640</v>
      </c>
      <c r="AE126">
        <f t="shared" si="350"/>
        <v>84856766</v>
      </c>
      <c r="AF126">
        <f t="shared" si="350"/>
        <v>77052636</v>
      </c>
      <c r="AG126">
        <f t="shared" si="350"/>
        <v>71499830</v>
      </c>
      <c r="AH126">
        <f t="shared" si="350"/>
        <v>63063628</v>
      </c>
      <c r="AI126">
        <f t="shared" si="350"/>
        <v>57425549</v>
      </c>
      <c r="AJ126">
        <f t="shared" si="350"/>
        <v>51687828</v>
      </c>
    </row>
    <row r="127" spans="1:36">
      <c r="A127" s="11" t="s">
        <v>152</v>
      </c>
    </row>
    <row r="128" spans="1:36">
      <c r="A128" s="4" t="s">
        <v>154</v>
      </c>
      <c r="B128">
        <v>6765752</v>
      </c>
      <c r="C128">
        <v>7717612</v>
      </c>
      <c r="D128">
        <v>8472461</v>
      </c>
      <c r="E128">
        <v>9528164</v>
      </c>
      <c r="F128">
        <v>10466984</v>
      </c>
      <c r="G128">
        <v>11979703</v>
      </c>
      <c r="H128">
        <v>13260170</v>
      </c>
      <c r="I128">
        <v>14402746</v>
      </c>
      <c r="J128">
        <v>15314515</v>
      </c>
      <c r="K128">
        <v>16767400</v>
      </c>
      <c r="L128">
        <v>17674155</v>
      </c>
      <c r="M128">
        <v>18034149</v>
      </c>
      <c r="N128">
        <v>19447322</v>
      </c>
      <c r="O128">
        <v>20450540</v>
      </c>
      <c r="P128">
        <v>22692069</v>
      </c>
      <c r="Q128">
        <v>23879068</v>
      </c>
      <c r="R128">
        <v>25432942</v>
      </c>
      <c r="S128">
        <v>26896969</v>
      </c>
      <c r="T128">
        <v>27472820</v>
      </c>
      <c r="U128">
        <v>29038740</v>
      </c>
      <c r="V128">
        <v>30515060</v>
      </c>
      <c r="W128">
        <v>30794102</v>
      </c>
      <c r="X128">
        <v>33236410</v>
      </c>
      <c r="Y128">
        <v>34736304</v>
      </c>
      <c r="Z128">
        <v>36087197</v>
      </c>
      <c r="AA128">
        <v>37378226</v>
      </c>
      <c r="AB128">
        <v>40036690</v>
      </c>
      <c r="AC128">
        <v>43401415</v>
      </c>
      <c r="AD128">
        <v>44900000</v>
      </c>
      <c r="AE128">
        <v>47306441</v>
      </c>
      <c r="AF128">
        <v>49326963</v>
      </c>
      <c r="AG128">
        <v>51554316</v>
      </c>
      <c r="AH128">
        <v>54526606</v>
      </c>
      <c r="AI128">
        <v>58733826</v>
      </c>
      <c r="AJ128">
        <v>59377863</v>
      </c>
    </row>
    <row r="129" spans="1:36">
      <c r="A129" s="4" t="s">
        <v>155</v>
      </c>
      <c r="B129">
        <f>B130+B128</f>
        <v>8206580</v>
      </c>
      <c r="C129">
        <f t="shared" ref="C129:AJ129" si="351">C130+C128</f>
        <v>9439775</v>
      </c>
      <c r="D129">
        <f t="shared" si="351"/>
        <v>10133191</v>
      </c>
      <c r="E129">
        <f t="shared" si="351"/>
        <v>10956444</v>
      </c>
      <c r="F129">
        <f t="shared" si="351"/>
        <v>10914115</v>
      </c>
      <c r="G129">
        <f t="shared" si="351"/>
        <v>12487756</v>
      </c>
      <c r="H129">
        <f t="shared" si="351"/>
        <v>14212755</v>
      </c>
      <c r="I129">
        <f t="shared" si="351"/>
        <v>16099688</v>
      </c>
      <c r="J129">
        <f t="shared" si="351"/>
        <v>16410580</v>
      </c>
      <c r="K129">
        <f t="shared" si="351"/>
        <v>17786980</v>
      </c>
      <c r="L129">
        <f t="shared" si="351"/>
        <v>19197064</v>
      </c>
      <c r="M129">
        <f t="shared" si="351"/>
        <v>20489772</v>
      </c>
      <c r="N129">
        <f t="shared" si="351"/>
        <v>21536706</v>
      </c>
      <c r="O129">
        <f t="shared" si="351"/>
        <v>21028801</v>
      </c>
      <c r="P129">
        <f t="shared" si="351"/>
        <v>22987778</v>
      </c>
      <c r="Q129">
        <f t="shared" si="351"/>
        <v>24422178</v>
      </c>
      <c r="R129">
        <f t="shared" si="351"/>
        <v>25036269</v>
      </c>
      <c r="S129">
        <f t="shared" si="351"/>
        <v>27120711</v>
      </c>
      <c r="T129">
        <f t="shared" si="351"/>
        <v>27811535</v>
      </c>
      <c r="U129">
        <f t="shared" si="351"/>
        <v>29820782</v>
      </c>
      <c r="V129">
        <f t="shared" si="351"/>
        <v>31140136</v>
      </c>
      <c r="W129">
        <f t="shared" si="351"/>
        <v>32052465</v>
      </c>
      <c r="X129">
        <f t="shared" si="351"/>
        <v>35532574</v>
      </c>
      <c r="Y129">
        <f t="shared" si="351"/>
        <v>38089087</v>
      </c>
      <c r="Z129">
        <f t="shared" si="351"/>
        <v>39193095</v>
      </c>
      <c r="AA129">
        <f t="shared" si="351"/>
        <v>40944609</v>
      </c>
      <c r="AB129">
        <f t="shared" si="351"/>
        <v>42704248</v>
      </c>
      <c r="AC129">
        <f t="shared" si="351"/>
        <v>48392037</v>
      </c>
      <c r="AD129">
        <f t="shared" si="351"/>
        <v>49162671</v>
      </c>
      <c r="AE129">
        <f t="shared" si="351"/>
        <v>53879091</v>
      </c>
      <c r="AF129">
        <f t="shared" si="351"/>
        <v>54102854</v>
      </c>
      <c r="AG129">
        <f t="shared" si="351"/>
        <v>53696340</v>
      </c>
      <c r="AH129">
        <f t="shared" si="351"/>
        <v>54055246</v>
      </c>
      <c r="AI129">
        <f t="shared" si="351"/>
        <v>56846169</v>
      </c>
      <c r="AJ129">
        <f t="shared" si="351"/>
        <v>57541944</v>
      </c>
    </row>
    <row r="130" spans="1:36">
      <c r="A130" s="4" t="s">
        <v>156</v>
      </c>
      <c r="B130">
        <f t="shared" ref="B130:AJ130" si="352">B71</f>
        <v>1440828</v>
      </c>
      <c r="C130">
        <f t="shared" si="352"/>
        <v>1722163</v>
      </c>
      <c r="D130">
        <f t="shared" si="352"/>
        <v>1660730</v>
      </c>
      <c r="E130">
        <f t="shared" si="352"/>
        <v>1428280</v>
      </c>
      <c r="F130">
        <f t="shared" si="352"/>
        <v>447131</v>
      </c>
      <c r="G130">
        <f t="shared" si="352"/>
        <v>508053</v>
      </c>
      <c r="H130">
        <f t="shared" si="352"/>
        <v>952585</v>
      </c>
      <c r="I130">
        <f t="shared" si="352"/>
        <v>1696942</v>
      </c>
      <c r="J130">
        <f t="shared" si="352"/>
        <v>1096065</v>
      </c>
      <c r="K130">
        <f t="shared" si="352"/>
        <v>1019580</v>
      </c>
      <c r="L130">
        <f t="shared" si="352"/>
        <v>1522909</v>
      </c>
      <c r="M130">
        <f t="shared" si="352"/>
        <v>2455623</v>
      </c>
      <c r="N130">
        <f t="shared" si="352"/>
        <v>2089384</v>
      </c>
      <c r="O130">
        <f t="shared" si="352"/>
        <v>578261</v>
      </c>
      <c r="P130">
        <f t="shared" si="352"/>
        <v>295709</v>
      </c>
      <c r="Q130">
        <f t="shared" si="352"/>
        <v>543110</v>
      </c>
      <c r="R130">
        <f t="shared" si="352"/>
        <v>-396673</v>
      </c>
      <c r="S130">
        <f t="shared" si="352"/>
        <v>223742</v>
      </c>
      <c r="T130">
        <f t="shared" si="352"/>
        <v>338715</v>
      </c>
      <c r="U130">
        <f t="shared" si="352"/>
        <v>782042</v>
      </c>
      <c r="V130">
        <f t="shared" si="352"/>
        <v>625076</v>
      </c>
      <c r="W130">
        <f t="shared" si="352"/>
        <v>1258363</v>
      </c>
      <c r="X130">
        <f t="shared" si="352"/>
        <v>2296164</v>
      </c>
      <c r="Y130">
        <f t="shared" si="352"/>
        <v>3352783</v>
      </c>
      <c r="Z130">
        <f t="shared" si="352"/>
        <v>3105898</v>
      </c>
      <c r="AA130">
        <f t="shared" si="352"/>
        <v>3566383</v>
      </c>
      <c r="AB130">
        <f t="shared" si="352"/>
        <v>2667558</v>
      </c>
      <c r="AC130">
        <f t="shared" si="352"/>
        <v>4990622</v>
      </c>
      <c r="AD130">
        <f t="shared" si="352"/>
        <v>4262671</v>
      </c>
      <c r="AE130">
        <f t="shared" si="352"/>
        <v>6572650</v>
      </c>
      <c r="AF130">
        <f t="shared" si="352"/>
        <v>4775891</v>
      </c>
      <c r="AG130">
        <f t="shared" si="352"/>
        <v>2142024</v>
      </c>
      <c r="AH130">
        <f t="shared" si="352"/>
        <v>-471360</v>
      </c>
      <c r="AI130">
        <f t="shared" si="352"/>
        <v>-1887657</v>
      </c>
      <c r="AJ130">
        <f t="shared" si="352"/>
        <v>-1835919</v>
      </c>
    </row>
    <row r="131" spans="1:36">
      <c r="A131" s="11" t="s">
        <v>237</v>
      </c>
    </row>
    <row r="132" spans="1:36">
      <c r="A132" s="4" t="s">
        <v>154</v>
      </c>
      <c r="B132">
        <v>230098</v>
      </c>
      <c r="C132">
        <v>271092</v>
      </c>
      <c r="D132">
        <v>309177</v>
      </c>
      <c r="E132">
        <v>278206</v>
      </c>
      <c r="F132">
        <v>329375</v>
      </c>
      <c r="G132">
        <v>343051</v>
      </c>
      <c r="H132">
        <v>304713</v>
      </c>
      <c r="I132">
        <v>299153</v>
      </c>
      <c r="J132">
        <v>281805</v>
      </c>
      <c r="K132">
        <v>350574</v>
      </c>
      <c r="L132">
        <v>370848</v>
      </c>
      <c r="M132">
        <v>367457</v>
      </c>
      <c r="N132">
        <v>359371</v>
      </c>
      <c r="O132">
        <v>333619</v>
      </c>
      <c r="P132">
        <v>328054</v>
      </c>
      <c r="Q132">
        <v>335430</v>
      </c>
      <c r="R132">
        <v>377279</v>
      </c>
      <c r="S132">
        <v>409148</v>
      </c>
      <c r="T132">
        <v>400066</v>
      </c>
      <c r="U132">
        <v>395745</v>
      </c>
      <c r="V132">
        <v>377004</v>
      </c>
      <c r="W132">
        <v>401487</v>
      </c>
      <c r="X132">
        <v>367076</v>
      </c>
      <c r="Y132">
        <v>856336</v>
      </c>
      <c r="Z132">
        <v>770769</v>
      </c>
      <c r="AA132">
        <v>3810234</v>
      </c>
      <c r="AB132">
        <v>4168985</v>
      </c>
      <c r="AC132">
        <v>6169253</v>
      </c>
      <c r="AD132">
        <v>9975688</v>
      </c>
      <c r="AE132">
        <v>9058627</v>
      </c>
      <c r="AF132">
        <v>8436497</v>
      </c>
      <c r="AG132">
        <v>8748930</v>
      </c>
      <c r="AH132">
        <v>6998360</v>
      </c>
      <c r="AI132">
        <v>6858883</v>
      </c>
      <c r="AJ132">
        <v>6846580.483989682</v>
      </c>
    </row>
    <row r="133" spans="1:36">
      <c r="A133" s="4" t="s">
        <v>155</v>
      </c>
      <c r="B133">
        <f>B134+B132</f>
        <v>228786</v>
      </c>
      <c r="C133">
        <f t="shared" ref="C133:AJ133" si="353">C134+C132</f>
        <v>271575</v>
      </c>
      <c r="D133">
        <f t="shared" si="353"/>
        <v>301484</v>
      </c>
      <c r="E133">
        <f t="shared" si="353"/>
        <v>289556</v>
      </c>
      <c r="F133">
        <f t="shared" si="353"/>
        <v>319679</v>
      </c>
      <c r="G133">
        <f t="shared" si="353"/>
        <v>323770</v>
      </c>
      <c r="H133">
        <f t="shared" si="353"/>
        <v>282486</v>
      </c>
      <c r="I133">
        <f t="shared" si="353"/>
        <v>294538</v>
      </c>
      <c r="J133">
        <f t="shared" si="353"/>
        <v>307611</v>
      </c>
      <c r="K133">
        <f t="shared" si="353"/>
        <v>356676</v>
      </c>
      <c r="L133">
        <f t="shared" si="353"/>
        <v>366794</v>
      </c>
      <c r="M133">
        <f t="shared" si="353"/>
        <v>352958</v>
      </c>
      <c r="N133">
        <f t="shared" si="353"/>
        <v>325006</v>
      </c>
      <c r="O133">
        <f t="shared" si="353"/>
        <v>266584</v>
      </c>
      <c r="P133">
        <f t="shared" si="353"/>
        <v>315224</v>
      </c>
      <c r="Q133">
        <f t="shared" si="353"/>
        <v>293650</v>
      </c>
      <c r="R133">
        <f t="shared" si="353"/>
        <v>352687</v>
      </c>
      <c r="S133">
        <f t="shared" si="353"/>
        <v>339245</v>
      </c>
      <c r="T133">
        <f t="shared" si="353"/>
        <v>342994</v>
      </c>
      <c r="U133">
        <f t="shared" si="353"/>
        <v>340967</v>
      </c>
      <c r="V133">
        <f t="shared" si="353"/>
        <v>389735</v>
      </c>
      <c r="W133">
        <f t="shared" si="353"/>
        <v>443381</v>
      </c>
      <c r="X133">
        <f t="shared" si="353"/>
        <v>419421</v>
      </c>
      <c r="Y133">
        <f t="shared" si="353"/>
        <v>364467</v>
      </c>
      <c r="Z133">
        <f t="shared" si="353"/>
        <v>348652</v>
      </c>
      <c r="AA133">
        <f t="shared" si="353"/>
        <v>6881883</v>
      </c>
      <c r="AB133">
        <f t="shared" si="353"/>
        <v>7967400</v>
      </c>
      <c r="AC133">
        <f t="shared" si="353"/>
        <v>4774257</v>
      </c>
      <c r="AD133">
        <f t="shared" si="353"/>
        <v>7277617</v>
      </c>
      <c r="AE133">
        <f t="shared" si="353"/>
        <v>7445716</v>
      </c>
      <c r="AF133">
        <f t="shared" si="353"/>
        <v>6169795</v>
      </c>
      <c r="AG133">
        <f t="shared" si="353"/>
        <v>6346155</v>
      </c>
      <c r="AH133">
        <f t="shared" si="353"/>
        <v>5240669</v>
      </c>
      <c r="AI133">
        <f t="shared" si="353"/>
        <v>5044780</v>
      </c>
      <c r="AJ133">
        <f t="shared" si="353"/>
        <v>5042863.483989682</v>
      </c>
    </row>
    <row r="134" spans="1:36">
      <c r="A134" s="4" t="s">
        <v>156</v>
      </c>
      <c r="B134">
        <f t="shared" ref="B134:AJ134" si="354">B49</f>
        <v>-1312</v>
      </c>
      <c r="C134">
        <f t="shared" si="354"/>
        <v>483</v>
      </c>
      <c r="D134">
        <f t="shared" si="354"/>
        <v>-7693</v>
      </c>
      <c r="E134">
        <f t="shared" si="354"/>
        <v>11350</v>
      </c>
      <c r="F134">
        <f t="shared" si="354"/>
        <v>-9696</v>
      </c>
      <c r="G134">
        <f t="shared" si="354"/>
        <v>-19281</v>
      </c>
      <c r="H134">
        <f t="shared" si="354"/>
        <v>-22227</v>
      </c>
      <c r="I134">
        <f t="shared" si="354"/>
        <v>-4615</v>
      </c>
      <c r="J134">
        <f t="shared" si="354"/>
        <v>25806</v>
      </c>
      <c r="K134">
        <f t="shared" si="354"/>
        <v>6102</v>
      </c>
      <c r="L134">
        <f t="shared" si="354"/>
        <v>-4054</v>
      </c>
      <c r="M134">
        <f t="shared" si="354"/>
        <v>-14499</v>
      </c>
      <c r="N134">
        <f t="shared" si="354"/>
        <v>-34365</v>
      </c>
      <c r="O134">
        <f t="shared" si="354"/>
        <v>-67035</v>
      </c>
      <c r="P134">
        <f t="shared" si="354"/>
        <v>-12830</v>
      </c>
      <c r="Q134">
        <f t="shared" si="354"/>
        <v>-41780</v>
      </c>
      <c r="R134">
        <f t="shared" si="354"/>
        <v>-24592</v>
      </c>
      <c r="S134">
        <f t="shared" si="354"/>
        <v>-69903</v>
      </c>
      <c r="T134">
        <f t="shared" si="354"/>
        <v>-57072</v>
      </c>
      <c r="U134">
        <f t="shared" si="354"/>
        <v>-54778</v>
      </c>
      <c r="V134">
        <f t="shared" si="354"/>
        <v>12731</v>
      </c>
      <c r="W134">
        <f t="shared" si="354"/>
        <v>41894</v>
      </c>
      <c r="X134">
        <f t="shared" si="354"/>
        <v>52345</v>
      </c>
      <c r="Y134">
        <f t="shared" si="354"/>
        <v>-491869</v>
      </c>
      <c r="Z134">
        <f t="shared" si="354"/>
        <v>-422117</v>
      </c>
      <c r="AA134">
        <f t="shared" si="354"/>
        <v>3071649</v>
      </c>
      <c r="AB134">
        <f t="shared" si="354"/>
        <v>3798415</v>
      </c>
      <c r="AC134">
        <f t="shared" si="354"/>
        <v>-1394996</v>
      </c>
      <c r="AD134">
        <f t="shared" si="354"/>
        <v>-2698071</v>
      </c>
      <c r="AE134">
        <f t="shared" si="354"/>
        <v>-1612911</v>
      </c>
      <c r="AF134">
        <f t="shared" si="354"/>
        <v>-2266702</v>
      </c>
      <c r="AG134">
        <f t="shared" si="354"/>
        <v>-2402775</v>
      </c>
      <c r="AH134">
        <f t="shared" si="354"/>
        <v>-1757691</v>
      </c>
      <c r="AI134">
        <f t="shared" si="354"/>
        <v>-1814103</v>
      </c>
      <c r="AJ134">
        <f t="shared" si="354"/>
        <v>-1803717</v>
      </c>
    </row>
    <row r="135" spans="1:36">
      <c r="A135" s="11" t="s">
        <v>161</v>
      </c>
    </row>
    <row r="136" spans="1:36">
      <c r="A136" s="4" t="s">
        <v>154</v>
      </c>
      <c r="B136">
        <f>SUM(B88,B92,B96,B100,B104,B108,B112,B116,B120,B124,B128,B132)</f>
        <v>48907723</v>
      </c>
      <c r="C136">
        <f t="shared" ref="C136:AJ138" si="355">SUM(C88,C92,C96,C100,C104,C108,C112,C116,C120,C124,C128,C132)</f>
        <v>56843469</v>
      </c>
      <c r="D136">
        <f t="shared" si="355"/>
        <v>65151138</v>
      </c>
      <c r="E136">
        <f t="shared" si="355"/>
        <v>72226940</v>
      </c>
      <c r="F136">
        <f t="shared" si="355"/>
        <v>79281870</v>
      </c>
      <c r="G136">
        <f t="shared" si="355"/>
        <v>87001961</v>
      </c>
      <c r="H136">
        <f t="shared" si="355"/>
        <v>93857543</v>
      </c>
      <c r="I136">
        <f t="shared" si="355"/>
        <v>100469715</v>
      </c>
      <c r="J136">
        <f t="shared" si="355"/>
        <v>107770617</v>
      </c>
      <c r="K136">
        <f t="shared" si="355"/>
        <v>118226002</v>
      </c>
      <c r="L136">
        <f t="shared" si="355"/>
        <v>126905502</v>
      </c>
      <c r="M136">
        <f t="shared" si="355"/>
        <v>134768039</v>
      </c>
      <c r="N136">
        <f t="shared" si="355"/>
        <v>144840731</v>
      </c>
      <c r="O136">
        <f t="shared" si="355"/>
        <v>153269728</v>
      </c>
      <c r="P136">
        <f t="shared" si="355"/>
        <v>166211464</v>
      </c>
      <c r="Q136">
        <f t="shared" si="355"/>
        <v>175146228</v>
      </c>
      <c r="R136">
        <f t="shared" si="355"/>
        <v>185513426</v>
      </c>
      <c r="S136">
        <f t="shared" si="355"/>
        <v>190495167</v>
      </c>
      <c r="T136">
        <f t="shared" si="355"/>
        <v>196300920</v>
      </c>
      <c r="U136">
        <f t="shared" si="355"/>
        <v>205174291</v>
      </c>
      <c r="V136">
        <f t="shared" si="355"/>
        <v>213950904</v>
      </c>
      <c r="W136">
        <f t="shared" si="355"/>
        <v>233441597</v>
      </c>
      <c r="X136">
        <f t="shared" si="355"/>
        <v>249622433</v>
      </c>
      <c r="Y136">
        <f t="shared" si="355"/>
        <v>257705797</v>
      </c>
      <c r="Z136">
        <f t="shared" si="355"/>
        <v>272475944</v>
      </c>
      <c r="AA136">
        <f t="shared" si="355"/>
        <v>292040936</v>
      </c>
      <c r="AB136">
        <f t="shared" si="355"/>
        <v>321651817</v>
      </c>
      <c r="AC136">
        <f t="shared" si="355"/>
        <v>340934477</v>
      </c>
      <c r="AD136">
        <f t="shared" si="355"/>
        <v>360722988</v>
      </c>
      <c r="AE136">
        <f t="shared" si="355"/>
        <v>382822314</v>
      </c>
      <c r="AF136">
        <f t="shared" si="355"/>
        <v>390897863</v>
      </c>
      <c r="AG136">
        <f t="shared" si="355"/>
        <v>404319900</v>
      </c>
      <c r="AH136">
        <f t="shared" si="355"/>
        <v>415322914</v>
      </c>
      <c r="AI136">
        <f t="shared" si="355"/>
        <v>435579446</v>
      </c>
      <c r="AJ136">
        <f t="shared" si="355"/>
        <v>444856217.59127557</v>
      </c>
    </row>
    <row r="137" spans="1:36">
      <c r="A137" s="4" t="s">
        <v>155</v>
      </c>
      <c r="B137">
        <f t="shared" ref="B137:Q138" si="356">SUM(B89,B93,B97,B101,B105,B109,B113,B117,B121,B125,B129,B133)</f>
        <v>70354313</v>
      </c>
      <c r="C137">
        <f t="shared" si="356"/>
        <v>228138447</v>
      </c>
      <c r="D137">
        <f t="shared" si="356"/>
        <v>245718992</v>
      </c>
      <c r="E137">
        <f t="shared" si="356"/>
        <v>261777137</v>
      </c>
      <c r="F137">
        <f t="shared" si="356"/>
        <v>278889180</v>
      </c>
      <c r="G137">
        <f t="shared" si="356"/>
        <v>304477775</v>
      </c>
      <c r="H137">
        <f t="shared" si="356"/>
        <v>334634033</v>
      </c>
      <c r="I137">
        <f t="shared" si="356"/>
        <v>361837947</v>
      </c>
      <c r="J137">
        <f t="shared" si="356"/>
        <v>388119340</v>
      </c>
      <c r="K137">
        <f t="shared" si="356"/>
        <v>423747144</v>
      </c>
      <c r="L137">
        <f t="shared" si="356"/>
        <v>466166237</v>
      </c>
      <c r="M137">
        <f t="shared" si="356"/>
        <v>511713466</v>
      </c>
      <c r="N137">
        <f t="shared" si="356"/>
        <v>574444783</v>
      </c>
      <c r="O137">
        <f t="shared" si="356"/>
        <v>608004581</v>
      </c>
      <c r="P137">
        <f t="shared" si="356"/>
        <v>640783835</v>
      </c>
      <c r="Q137">
        <f t="shared" si="356"/>
        <v>683537907</v>
      </c>
      <c r="R137">
        <f t="shared" si="355"/>
        <v>712023017</v>
      </c>
      <c r="S137">
        <f t="shared" si="355"/>
        <v>745460858</v>
      </c>
      <c r="T137">
        <f t="shared" si="355"/>
        <v>782077198</v>
      </c>
      <c r="U137">
        <f t="shared" si="355"/>
        <v>828257476</v>
      </c>
      <c r="V137">
        <f t="shared" si="355"/>
        <v>886678335</v>
      </c>
      <c r="W137">
        <f t="shared" si="355"/>
        <v>972242211</v>
      </c>
      <c r="X137">
        <f t="shared" si="355"/>
        <v>1043924082</v>
      </c>
      <c r="Y137">
        <f t="shared" si="355"/>
        <v>1098362585</v>
      </c>
      <c r="Z137">
        <f t="shared" si="355"/>
        <v>1176700793</v>
      </c>
      <c r="AA137">
        <f t="shared" si="355"/>
        <v>1256318534</v>
      </c>
      <c r="AB137">
        <f t="shared" si="355"/>
        <v>1318002380</v>
      </c>
      <c r="AC137">
        <f t="shared" si="355"/>
        <v>1409055296</v>
      </c>
      <c r="AD137">
        <f t="shared" si="355"/>
        <v>1487841455</v>
      </c>
      <c r="AE137">
        <f t="shared" si="355"/>
        <v>1557306773</v>
      </c>
      <c r="AF137">
        <f t="shared" si="355"/>
        <v>1584477728</v>
      </c>
      <c r="AG137">
        <f t="shared" si="355"/>
        <v>1615912602</v>
      </c>
      <c r="AH137">
        <f t="shared" si="355"/>
        <v>1616818964</v>
      </c>
      <c r="AI137">
        <f t="shared" si="355"/>
        <v>1663301515</v>
      </c>
      <c r="AJ137">
        <f t="shared" si="355"/>
        <v>1711749747.5912757</v>
      </c>
    </row>
    <row r="138" spans="1:36">
      <c r="A138" s="4" t="s">
        <v>156</v>
      </c>
      <c r="B138">
        <f t="shared" si="356"/>
        <v>21446590</v>
      </c>
      <c r="C138">
        <f t="shared" si="355"/>
        <v>171294978</v>
      </c>
      <c r="D138">
        <f t="shared" si="355"/>
        <v>180567854</v>
      </c>
      <c r="E138">
        <f t="shared" si="355"/>
        <v>189550197</v>
      </c>
      <c r="F138">
        <f t="shared" si="355"/>
        <v>199607310</v>
      </c>
      <c r="G138">
        <f t="shared" si="355"/>
        <v>217475814</v>
      </c>
      <c r="H138">
        <f t="shared" si="355"/>
        <v>240776490</v>
      </c>
      <c r="I138">
        <f t="shared" si="355"/>
        <v>261368232</v>
      </c>
      <c r="J138">
        <f t="shared" si="355"/>
        <v>280348723</v>
      </c>
      <c r="K138">
        <f t="shared" si="355"/>
        <v>305521142</v>
      </c>
      <c r="L138">
        <f t="shared" si="355"/>
        <v>339260735</v>
      </c>
      <c r="M138">
        <f t="shared" si="355"/>
        <v>376945427</v>
      </c>
      <c r="N138">
        <f t="shared" si="355"/>
        <v>429604052</v>
      </c>
      <c r="O138">
        <f t="shared" si="355"/>
        <v>454734853</v>
      </c>
      <c r="P138">
        <f t="shared" si="355"/>
        <v>474572371</v>
      </c>
      <c r="Q138">
        <f t="shared" si="355"/>
        <v>508391679</v>
      </c>
      <c r="R138">
        <f t="shared" si="355"/>
        <v>526509591</v>
      </c>
      <c r="S138">
        <f t="shared" si="355"/>
        <v>554965691</v>
      </c>
      <c r="T138">
        <f t="shared" si="355"/>
        <v>585776278</v>
      </c>
      <c r="U138">
        <f t="shared" si="355"/>
        <v>623083185</v>
      </c>
      <c r="V138">
        <f t="shared" si="355"/>
        <v>672727431</v>
      </c>
      <c r="W138">
        <f t="shared" si="355"/>
        <v>738800614</v>
      </c>
      <c r="X138">
        <f t="shared" si="355"/>
        <v>794301649</v>
      </c>
      <c r="Y138">
        <f t="shared" si="355"/>
        <v>840656788</v>
      </c>
      <c r="Z138">
        <f t="shared" si="355"/>
        <v>904224849</v>
      </c>
      <c r="AA138">
        <f t="shared" si="355"/>
        <v>964277598</v>
      </c>
      <c r="AB138">
        <f t="shared" si="355"/>
        <v>996350563</v>
      </c>
      <c r="AC138">
        <f t="shared" si="355"/>
        <v>1068120819</v>
      </c>
      <c r="AD138">
        <f t="shared" si="355"/>
        <v>1127118467</v>
      </c>
      <c r="AE138">
        <f t="shared" si="355"/>
        <v>1174484459</v>
      </c>
      <c r="AF138">
        <f t="shared" si="355"/>
        <v>1193579865</v>
      </c>
      <c r="AG138">
        <f t="shared" si="355"/>
        <v>1211592702</v>
      </c>
      <c r="AH138">
        <f t="shared" si="355"/>
        <v>1201496050</v>
      </c>
      <c r="AI138">
        <f t="shared" si="355"/>
        <v>1227722069</v>
      </c>
      <c r="AJ138">
        <f t="shared" si="355"/>
        <v>1266893530</v>
      </c>
    </row>
    <row r="139" spans="1:36">
      <c r="A139" s="4"/>
    </row>
    <row r="140" spans="1:36">
      <c r="A140" s="8" t="s">
        <v>256</v>
      </c>
    </row>
    <row r="141" spans="1:36">
      <c r="A141" s="4" t="s">
        <v>257</v>
      </c>
      <c r="B141">
        <v>6699210</v>
      </c>
      <c r="C141">
        <v>7582243</v>
      </c>
      <c r="D141">
        <v>8832142</v>
      </c>
      <c r="E141">
        <v>9810013</v>
      </c>
      <c r="F141">
        <v>10967778</v>
      </c>
      <c r="G141">
        <v>11815923</v>
      </c>
      <c r="H141">
        <v>12932084</v>
      </c>
      <c r="I141">
        <v>13841653</v>
      </c>
      <c r="J141">
        <v>15074460</v>
      </c>
      <c r="K141">
        <v>16969105</v>
      </c>
      <c r="L141">
        <v>18661617</v>
      </c>
      <c r="M141">
        <v>20685864</v>
      </c>
      <c r="N141">
        <v>23315168</v>
      </c>
      <c r="O141">
        <v>25902074</v>
      </c>
      <c r="P141">
        <v>27423205</v>
      </c>
      <c r="Q141">
        <v>29550540</v>
      </c>
      <c r="R141">
        <v>30918224</v>
      </c>
      <c r="S141">
        <v>32950945</v>
      </c>
      <c r="T141">
        <v>35471631</v>
      </c>
      <c r="U141">
        <v>37956855</v>
      </c>
      <c r="V141">
        <v>41237025</v>
      </c>
      <c r="W141">
        <v>44367701</v>
      </c>
      <c r="X141">
        <v>46992990</v>
      </c>
      <c r="Y141">
        <v>51649974</v>
      </c>
      <c r="Z141">
        <v>55200821</v>
      </c>
      <c r="AA141">
        <v>58724930</v>
      </c>
      <c r="AB141">
        <v>63126678</v>
      </c>
      <c r="AC141">
        <v>66156119</v>
      </c>
      <c r="AD141">
        <v>71087637</v>
      </c>
      <c r="AE141">
        <v>76377684</v>
      </c>
      <c r="AF141">
        <v>81186415</v>
      </c>
      <c r="AG141">
        <v>88366021</v>
      </c>
      <c r="AH141">
        <v>74090868</v>
      </c>
      <c r="AI141">
        <v>77284803</v>
      </c>
      <c r="AJ141">
        <v>79485789.108916849</v>
      </c>
    </row>
    <row r="142" spans="1:36">
      <c r="A142" s="4" t="s">
        <v>258</v>
      </c>
      <c r="B142">
        <v>3709393</v>
      </c>
      <c r="C142">
        <v>4220758</v>
      </c>
      <c r="D142">
        <v>4692428</v>
      </c>
      <c r="E142">
        <v>4998177</v>
      </c>
      <c r="F142">
        <v>5394329</v>
      </c>
      <c r="G142">
        <v>5717750</v>
      </c>
      <c r="H142">
        <v>6128188</v>
      </c>
      <c r="I142">
        <v>6401602</v>
      </c>
      <c r="J142">
        <v>6589453</v>
      </c>
      <c r="K142">
        <v>7080267</v>
      </c>
      <c r="L142">
        <v>7677795</v>
      </c>
      <c r="M142">
        <v>8164950</v>
      </c>
      <c r="N142">
        <v>8703233</v>
      </c>
      <c r="O142">
        <v>9052947</v>
      </c>
      <c r="P142">
        <v>9636020</v>
      </c>
      <c r="Q142">
        <v>10200231</v>
      </c>
      <c r="R142">
        <v>10627289</v>
      </c>
      <c r="S142">
        <v>11280145</v>
      </c>
      <c r="T142">
        <v>12032160</v>
      </c>
      <c r="U142">
        <v>12709551</v>
      </c>
      <c r="V142">
        <v>14055464</v>
      </c>
      <c r="W142">
        <v>14768182</v>
      </c>
      <c r="X142">
        <v>14325238</v>
      </c>
      <c r="Y142">
        <v>15181388</v>
      </c>
      <c r="Z142">
        <v>15505997</v>
      </c>
      <c r="AA142">
        <v>17871607</v>
      </c>
      <c r="AB142">
        <v>18900491</v>
      </c>
      <c r="AC142">
        <v>20471200</v>
      </c>
      <c r="AD142">
        <v>21889574</v>
      </c>
      <c r="AE142">
        <v>23097833</v>
      </c>
      <c r="AF142">
        <v>24328655</v>
      </c>
      <c r="AG142">
        <v>25381628</v>
      </c>
      <c r="AH142">
        <v>24734604</v>
      </c>
      <c r="AI142">
        <v>24660408</v>
      </c>
      <c r="AJ142">
        <v>25381355.891083151</v>
      </c>
    </row>
    <row r="143" spans="1:36">
      <c r="A143" s="4" t="s">
        <v>259</v>
      </c>
      <c r="B143">
        <v>30288464</v>
      </c>
      <c r="C143">
        <v>34010610</v>
      </c>
      <c r="D143">
        <v>37095522</v>
      </c>
      <c r="E143">
        <v>39019473</v>
      </c>
      <c r="F143">
        <v>42374881</v>
      </c>
      <c r="G143">
        <v>46644511</v>
      </c>
      <c r="H143">
        <v>50345533</v>
      </c>
      <c r="I143">
        <v>53588805</v>
      </c>
      <c r="J143">
        <v>55566266</v>
      </c>
      <c r="K143">
        <v>60550035</v>
      </c>
      <c r="L143">
        <v>66029427</v>
      </c>
      <c r="M143">
        <v>70900408</v>
      </c>
      <c r="N143">
        <v>75045759</v>
      </c>
      <c r="O143">
        <v>79605638</v>
      </c>
      <c r="P143">
        <v>81647535</v>
      </c>
      <c r="Q143">
        <v>87336907</v>
      </c>
      <c r="R143">
        <v>90623682</v>
      </c>
      <c r="S143">
        <v>95313070</v>
      </c>
      <c r="T143">
        <v>101094489</v>
      </c>
      <c r="U143">
        <v>110364877</v>
      </c>
      <c r="V143">
        <v>119716535</v>
      </c>
      <c r="W143">
        <v>130091553</v>
      </c>
      <c r="X143">
        <v>142488411</v>
      </c>
      <c r="Y143">
        <v>148495140</v>
      </c>
      <c r="Z143">
        <v>156821715</v>
      </c>
      <c r="AA143">
        <v>163560040</v>
      </c>
      <c r="AB143">
        <v>172107291</v>
      </c>
      <c r="AC143">
        <v>182898920</v>
      </c>
      <c r="AD143">
        <v>200278702</v>
      </c>
      <c r="AE143">
        <v>210124089</v>
      </c>
      <c r="AF143">
        <v>217124903</v>
      </c>
      <c r="AG143">
        <v>225442038</v>
      </c>
      <c r="AH143">
        <v>230158319</v>
      </c>
      <c r="AI143">
        <v>231648489</v>
      </c>
      <c r="AJ143">
        <v>238703230.9348312</v>
      </c>
    </row>
    <row r="144" spans="1:36">
      <c r="A144" s="4" t="s">
        <v>260</v>
      </c>
      <c r="B144">
        <v>3630795</v>
      </c>
      <c r="C144">
        <v>4103669</v>
      </c>
      <c r="D144">
        <v>4474397</v>
      </c>
      <c r="E144">
        <v>4800632</v>
      </c>
      <c r="F144">
        <v>5238021</v>
      </c>
      <c r="G144">
        <v>5671495</v>
      </c>
      <c r="H144">
        <v>6189575</v>
      </c>
      <c r="I144">
        <v>6483904</v>
      </c>
      <c r="J144">
        <v>7121423</v>
      </c>
      <c r="K144">
        <v>7000235</v>
      </c>
      <c r="L144">
        <v>7388857</v>
      </c>
      <c r="M144">
        <v>7848256</v>
      </c>
      <c r="N144">
        <v>9081819</v>
      </c>
      <c r="O144">
        <v>8502931</v>
      </c>
      <c r="P144">
        <v>9223642</v>
      </c>
      <c r="Q144">
        <v>9711574</v>
      </c>
      <c r="R144">
        <v>10111819</v>
      </c>
      <c r="S144">
        <v>10747931</v>
      </c>
      <c r="T144">
        <v>11779386</v>
      </c>
      <c r="U144">
        <v>12351492</v>
      </c>
      <c r="V144">
        <v>14635159</v>
      </c>
      <c r="W144">
        <v>16066301</v>
      </c>
      <c r="X144">
        <v>14325442</v>
      </c>
      <c r="Y144">
        <v>15691792</v>
      </c>
      <c r="Z144">
        <v>15828602</v>
      </c>
      <c r="AA144">
        <v>18443210</v>
      </c>
      <c r="AB144">
        <v>19481985</v>
      </c>
      <c r="AC144">
        <v>21230085</v>
      </c>
      <c r="AD144">
        <v>22652956</v>
      </c>
      <c r="AE144">
        <v>24506669</v>
      </c>
      <c r="AF144">
        <v>26390039</v>
      </c>
      <c r="AG144">
        <v>27546831</v>
      </c>
      <c r="AH144">
        <v>29282414</v>
      </c>
      <c r="AI144">
        <v>29504755</v>
      </c>
      <c r="AJ144">
        <v>30273546.06516875</v>
      </c>
    </row>
    <row r="145" spans="1:36">
      <c r="A145" s="4" t="s">
        <v>261</v>
      </c>
      <c r="B145">
        <f>B143+B144-B141-B142</f>
        <v>23510656</v>
      </c>
      <c r="C145">
        <f t="shared" ref="C145:AJ145" si="357">C143+C144-C141-C142</f>
        <v>26311278</v>
      </c>
      <c r="D145">
        <f t="shared" si="357"/>
        <v>28045349</v>
      </c>
      <c r="E145">
        <f t="shared" si="357"/>
        <v>29011915</v>
      </c>
      <c r="F145">
        <f t="shared" si="357"/>
        <v>31250795</v>
      </c>
      <c r="G145">
        <f t="shared" si="357"/>
        <v>34782333</v>
      </c>
      <c r="H145">
        <f t="shared" si="357"/>
        <v>37474836</v>
      </c>
      <c r="I145">
        <f t="shared" si="357"/>
        <v>39829454</v>
      </c>
      <c r="J145">
        <f t="shared" si="357"/>
        <v>41023776</v>
      </c>
      <c r="K145">
        <f t="shared" si="357"/>
        <v>43500898</v>
      </c>
      <c r="L145">
        <f t="shared" si="357"/>
        <v>47078872</v>
      </c>
      <c r="M145">
        <f t="shared" si="357"/>
        <v>49897850</v>
      </c>
      <c r="N145">
        <f t="shared" si="357"/>
        <v>52109177</v>
      </c>
      <c r="O145">
        <f t="shared" si="357"/>
        <v>53153548</v>
      </c>
      <c r="P145">
        <f t="shared" si="357"/>
        <v>53811952</v>
      </c>
      <c r="Q145">
        <f t="shared" si="357"/>
        <v>57297710</v>
      </c>
      <c r="R145">
        <f t="shared" si="357"/>
        <v>59189988</v>
      </c>
      <c r="S145">
        <f t="shared" si="357"/>
        <v>61829911</v>
      </c>
      <c r="T145">
        <f t="shared" si="357"/>
        <v>65370084</v>
      </c>
      <c r="U145">
        <f t="shared" si="357"/>
        <v>72049963</v>
      </c>
      <c r="V145">
        <f t="shared" si="357"/>
        <v>79059205</v>
      </c>
      <c r="W145">
        <f t="shared" si="357"/>
        <v>87021971</v>
      </c>
      <c r="X145">
        <f t="shared" si="357"/>
        <v>95495625</v>
      </c>
      <c r="Y145">
        <f t="shared" si="357"/>
        <v>97355570</v>
      </c>
      <c r="Z145">
        <f t="shared" si="357"/>
        <v>101943499</v>
      </c>
      <c r="AA145">
        <f t="shared" si="357"/>
        <v>105406713</v>
      </c>
      <c r="AB145">
        <f t="shared" si="357"/>
        <v>109562107</v>
      </c>
      <c r="AC145">
        <f t="shared" si="357"/>
        <v>117501686</v>
      </c>
      <c r="AD145">
        <f t="shared" si="357"/>
        <v>129954447</v>
      </c>
      <c r="AE145">
        <f t="shared" si="357"/>
        <v>135155241</v>
      </c>
      <c r="AF145">
        <f t="shared" si="357"/>
        <v>137999872</v>
      </c>
      <c r="AG145">
        <f t="shared" si="357"/>
        <v>139241220</v>
      </c>
      <c r="AH145">
        <f t="shared" si="357"/>
        <v>160615261</v>
      </c>
      <c r="AI145">
        <f t="shared" si="357"/>
        <v>159208033</v>
      </c>
      <c r="AJ145">
        <f t="shared" si="357"/>
        <v>164109631.99999994</v>
      </c>
    </row>
    <row r="147" spans="1:36">
      <c r="A147" s="8" t="s">
        <v>141</v>
      </c>
    </row>
    <row r="148" spans="1:36">
      <c r="A148" s="4"/>
    </row>
    <row r="149" spans="1:36">
      <c r="A149" s="10" t="s">
        <v>139</v>
      </c>
      <c r="B149">
        <f>SUM(B50,B57)</f>
        <v>34369350</v>
      </c>
      <c r="C149">
        <f t="shared" ref="C149:AJ149" si="358">SUM(C50,C57)</f>
        <v>38318447</v>
      </c>
      <c r="D149">
        <f t="shared" si="358"/>
        <v>42139862</v>
      </c>
      <c r="E149">
        <f t="shared" si="358"/>
        <v>45690750</v>
      </c>
      <c r="F149">
        <f t="shared" si="358"/>
        <v>49656035</v>
      </c>
      <c r="G149">
        <f t="shared" si="358"/>
        <v>54355149</v>
      </c>
      <c r="H149">
        <f t="shared" si="358"/>
        <v>58569490</v>
      </c>
      <c r="I149">
        <f t="shared" si="358"/>
        <v>63899174</v>
      </c>
      <c r="J149">
        <f t="shared" si="358"/>
        <v>71422923</v>
      </c>
      <c r="K149">
        <f t="shared" si="358"/>
        <v>79050251</v>
      </c>
      <c r="L149">
        <f t="shared" si="358"/>
        <v>90946539</v>
      </c>
      <c r="M149">
        <f t="shared" si="358"/>
        <v>107452133</v>
      </c>
      <c r="N149">
        <f t="shared" si="358"/>
        <v>144805389</v>
      </c>
      <c r="O149">
        <f t="shared" si="358"/>
        <v>156995372</v>
      </c>
      <c r="P149">
        <f t="shared" si="358"/>
        <v>169007770</v>
      </c>
      <c r="Q149">
        <f t="shared" si="358"/>
        <v>180987182</v>
      </c>
      <c r="R149">
        <f t="shared" si="358"/>
        <v>183765546</v>
      </c>
      <c r="S149">
        <f t="shared" si="358"/>
        <v>190559028</v>
      </c>
      <c r="T149">
        <f t="shared" si="358"/>
        <v>196340693</v>
      </c>
      <c r="U149">
        <f t="shared" si="358"/>
        <v>207887426</v>
      </c>
      <c r="V149">
        <f t="shared" si="358"/>
        <v>227722209</v>
      </c>
      <c r="W149">
        <f t="shared" si="358"/>
        <v>249129191</v>
      </c>
      <c r="X149">
        <f t="shared" si="358"/>
        <v>274984941</v>
      </c>
      <c r="Y149">
        <f t="shared" si="358"/>
        <v>300478190</v>
      </c>
      <c r="Z149">
        <f t="shared" si="358"/>
        <v>330317793</v>
      </c>
      <c r="AA149">
        <f t="shared" si="358"/>
        <v>357618857</v>
      </c>
      <c r="AB149">
        <f t="shared" si="358"/>
        <v>363634777</v>
      </c>
      <c r="AC149">
        <f t="shared" si="358"/>
        <v>378628374</v>
      </c>
      <c r="AD149">
        <f t="shared" si="358"/>
        <v>404075129</v>
      </c>
      <c r="AE149">
        <f t="shared" si="358"/>
        <v>428857925</v>
      </c>
      <c r="AF149">
        <f t="shared" si="358"/>
        <v>451283402</v>
      </c>
      <c r="AG149">
        <f t="shared" si="358"/>
        <v>485616391</v>
      </c>
      <c r="AH149">
        <f t="shared" si="358"/>
        <v>492310970</v>
      </c>
      <c r="AI149">
        <f t="shared" si="358"/>
        <v>521140233</v>
      </c>
      <c r="AJ149">
        <f t="shared" si="358"/>
        <v>550066527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01"/>
  <sheetViews>
    <sheetView workbookViewId="0">
      <selection activeCell="A2" sqref="A2"/>
    </sheetView>
  </sheetViews>
  <sheetFormatPr baseColWidth="10" defaultColWidth="8.83203125" defaultRowHeight="14" x14ac:dyDescent="0"/>
  <cols>
    <col min="2" max="2" width="7.33203125" customWidth="1"/>
    <col min="3" max="4" width="20.33203125" customWidth="1"/>
    <col min="5" max="5" width="25.6640625" customWidth="1"/>
    <col min="6" max="6" width="22.33203125" customWidth="1"/>
    <col min="7" max="7" width="19.33203125" customWidth="1"/>
    <col min="8" max="8" width="24.6640625" customWidth="1"/>
    <col min="9" max="9" width="13.33203125" customWidth="1"/>
    <col min="10" max="12" width="15.6640625" customWidth="1"/>
    <col min="13" max="53" width="10.6640625" customWidth="1"/>
  </cols>
  <sheetData>
    <row r="1" spans="1:53">
      <c r="A1" s="1" t="s">
        <v>197</v>
      </c>
      <c r="B1" s="1" t="s">
        <v>163</v>
      </c>
      <c r="C1" s="1" t="s">
        <v>164</v>
      </c>
      <c r="D1" s="1" t="s">
        <v>198</v>
      </c>
      <c r="E1" s="1" t="s">
        <v>165</v>
      </c>
      <c r="F1" s="1" t="s">
        <v>166</v>
      </c>
      <c r="G1" s="1" t="s">
        <v>167</v>
      </c>
      <c r="H1" s="1" t="s">
        <v>168</v>
      </c>
      <c r="I1" s="1" t="s">
        <v>169</v>
      </c>
      <c r="J1" s="1" t="s">
        <v>170</v>
      </c>
      <c r="K1" s="1" t="s">
        <v>171</v>
      </c>
      <c r="L1" s="1" t="s">
        <v>172</v>
      </c>
      <c r="M1" s="1">
        <v>1980</v>
      </c>
      <c r="N1" s="1">
        <v>1981</v>
      </c>
      <c r="O1" s="1">
        <v>1982</v>
      </c>
      <c r="P1" s="1">
        <v>1983</v>
      </c>
      <c r="Q1" s="1">
        <v>1984</v>
      </c>
      <c r="R1" s="1">
        <v>1985</v>
      </c>
      <c r="S1" s="1">
        <v>1986</v>
      </c>
      <c r="T1" s="1">
        <v>1987</v>
      </c>
      <c r="U1" s="1">
        <v>1988</v>
      </c>
      <c r="V1" s="1">
        <v>1989</v>
      </c>
      <c r="W1" s="1">
        <v>1990</v>
      </c>
      <c r="X1" s="1">
        <v>1991</v>
      </c>
      <c r="Y1" s="1">
        <v>1992</v>
      </c>
      <c r="Z1" s="1">
        <v>1993</v>
      </c>
      <c r="AA1" s="1">
        <v>1994</v>
      </c>
      <c r="AB1" s="1">
        <v>1995</v>
      </c>
      <c r="AC1" s="1">
        <v>1996</v>
      </c>
      <c r="AD1" s="1">
        <v>1997</v>
      </c>
      <c r="AE1" s="1">
        <v>1998</v>
      </c>
      <c r="AF1" s="1">
        <v>1999</v>
      </c>
      <c r="AG1" s="1">
        <v>2000</v>
      </c>
      <c r="AH1" s="1">
        <v>2001</v>
      </c>
      <c r="AI1" s="1">
        <v>2002</v>
      </c>
      <c r="AJ1" s="1">
        <v>2003</v>
      </c>
      <c r="AK1" s="1">
        <v>2004</v>
      </c>
      <c r="AL1" s="1">
        <v>2005</v>
      </c>
      <c r="AM1" s="1">
        <v>2006</v>
      </c>
      <c r="AN1" s="1">
        <v>2007</v>
      </c>
      <c r="AO1" s="1">
        <v>2008</v>
      </c>
      <c r="AP1" s="1">
        <v>2009</v>
      </c>
      <c r="AQ1" s="1">
        <v>2010</v>
      </c>
      <c r="AR1" s="1">
        <v>2011</v>
      </c>
      <c r="AS1" s="1">
        <v>2012</v>
      </c>
      <c r="AT1" s="1">
        <v>2013</v>
      </c>
      <c r="AU1" s="1">
        <v>2014</v>
      </c>
      <c r="AV1" s="1">
        <v>2015</v>
      </c>
      <c r="AW1" s="1"/>
      <c r="AX1" s="1"/>
      <c r="AY1" s="1"/>
      <c r="AZ1" s="1"/>
      <c r="BA1" s="1"/>
    </row>
    <row r="2" spans="1:53">
      <c r="A2">
        <v>1</v>
      </c>
      <c r="B2">
        <v>1</v>
      </c>
      <c r="C2" t="s">
        <v>18</v>
      </c>
      <c r="D2" t="s">
        <v>199</v>
      </c>
      <c r="E2" t="s">
        <v>190</v>
      </c>
      <c r="F2" t="s">
        <v>23</v>
      </c>
      <c r="G2" t="s">
        <v>24</v>
      </c>
      <c r="H2">
        <v>0</v>
      </c>
      <c r="I2">
        <v>0</v>
      </c>
      <c r="J2">
        <v>0</v>
      </c>
      <c r="K2">
        <v>0</v>
      </c>
      <c r="L2">
        <v>0</v>
      </c>
      <c r="M2">
        <v>92675</v>
      </c>
      <c r="N2">
        <v>74725</v>
      </c>
      <c r="O2">
        <v>67726</v>
      </c>
      <c r="P2">
        <v>86133</v>
      </c>
      <c r="Q2">
        <v>95417</v>
      </c>
      <c r="R2">
        <v>156681</v>
      </c>
      <c r="S2">
        <v>176659</v>
      </c>
      <c r="T2">
        <v>193230</v>
      </c>
      <c r="U2">
        <v>187542</v>
      </c>
      <c r="V2">
        <v>253486</v>
      </c>
      <c r="W2">
        <v>240863</v>
      </c>
      <c r="X2">
        <v>184737</v>
      </c>
      <c r="Y2">
        <v>318319</v>
      </c>
      <c r="Z2">
        <v>152188</v>
      </c>
      <c r="AA2">
        <v>169132</v>
      </c>
      <c r="AB2">
        <v>68000</v>
      </c>
      <c r="AC2">
        <v>38000</v>
      </c>
      <c r="AD2">
        <v>0</v>
      </c>
      <c r="AE2">
        <v>12000</v>
      </c>
      <c r="AF2">
        <v>1000</v>
      </c>
      <c r="AG2">
        <v>2000</v>
      </c>
      <c r="AH2">
        <v>47000</v>
      </c>
      <c r="AI2">
        <v>91000</v>
      </c>
      <c r="AJ2">
        <v>0</v>
      </c>
      <c r="AK2">
        <v>0</v>
      </c>
      <c r="AL2">
        <v>2000</v>
      </c>
      <c r="AM2">
        <v>2000</v>
      </c>
      <c r="AN2">
        <v>0</v>
      </c>
      <c r="AO2">
        <v>1000</v>
      </c>
      <c r="AP2">
        <v>0</v>
      </c>
      <c r="AQ2">
        <v>0</v>
      </c>
      <c r="AR2">
        <v>0</v>
      </c>
      <c r="AS2">
        <v>0</v>
      </c>
      <c r="AT2">
        <v>0</v>
      </c>
      <c r="AU2">
        <v>0</v>
      </c>
      <c r="AV2">
        <v>0</v>
      </c>
    </row>
    <row r="3" spans="1:53">
      <c r="A3">
        <v>1</v>
      </c>
      <c r="B3">
        <v>2</v>
      </c>
      <c r="C3" t="s">
        <v>18</v>
      </c>
      <c r="D3" t="s">
        <v>200</v>
      </c>
      <c r="E3" t="s">
        <v>190</v>
      </c>
      <c r="F3" t="s">
        <v>23</v>
      </c>
      <c r="G3" t="s">
        <v>24</v>
      </c>
      <c r="H3">
        <v>0</v>
      </c>
      <c r="I3">
        <v>0</v>
      </c>
      <c r="J3">
        <v>0</v>
      </c>
      <c r="K3">
        <v>0</v>
      </c>
      <c r="L3">
        <v>0</v>
      </c>
      <c r="M3">
        <v>133902806</v>
      </c>
      <c r="N3">
        <v>157437840</v>
      </c>
      <c r="O3">
        <v>185240799</v>
      </c>
      <c r="P3">
        <v>209816568</v>
      </c>
      <c r="Q3">
        <v>227315228</v>
      </c>
      <c r="R3">
        <v>252586131</v>
      </c>
      <c r="S3">
        <v>273196405</v>
      </c>
      <c r="T3">
        <v>281802417</v>
      </c>
      <c r="U3">
        <v>290172075</v>
      </c>
      <c r="V3">
        <v>303301507</v>
      </c>
      <c r="W3">
        <v>299079753</v>
      </c>
      <c r="X3">
        <v>273100629</v>
      </c>
      <c r="Y3">
        <v>298027802</v>
      </c>
      <c r="Z3">
        <v>290932181</v>
      </c>
      <c r="AA3">
        <v>281470450</v>
      </c>
      <c r="AB3">
        <v>271995000</v>
      </c>
      <c r="AC3">
        <v>265710000</v>
      </c>
      <c r="AD3">
        <v>270502000</v>
      </c>
      <c r="AE3">
        <v>268182000</v>
      </c>
      <c r="AF3">
        <v>274768000</v>
      </c>
      <c r="AG3">
        <v>294361000</v>
      </c>
      <c r="AH3">
        <v>304685000</v>
      </c>
      <c r="AI3">
        <v>348365000</v>
      </c>
      <c r="AJ3">
        <v>404733000</v>
      </c>
      <c r="AK3">
        <v>455813000</v>
      </c>
      <c r="AL3">
        <v>495292000</v>
      </c>
      <c r="AM3">
        <v>521818000</v>
      </c>
      <c r="AN3">
        <v>551258000</v>
      </c>
      <c r="AO3">
        <v>616065000</v>
      </c>
      <c r="AP3">
        <v>661012000</v>
      </c>
      <c r="AQ3">
        <v>693485000</v>
      </c>
      <c r="AR3">
        <v>705554000</v>
      </c>
      <c r="AS3">
        <v>677852000</v>
      </c>
      <c r="AT3">
        <v>633446000</v>
      </c>
      <c r="AU3">
        <v>603457000</v>
      </c>
      <c r="AV3">
        <v>589564000</v>
      </c>
    </row>
    <row r="4" spans="1:53">
      <c r="A4">
        <v>1</v>
      </c>
      <c r="B4">
        <v>3</v>
      </c>
      <c r="C4" t="s">
        <v>18</v>
      </c>
      <c r="D4" t="s">
        <v>200</v>
      </c>
      <c r="E4" t="s">
        <v>190</v>
      </c>
      <c r="F4" t="s">
        <v>26</v>
      </c>
      <c r="G4" t="s">
        <v>201</v>
      </c>
      <c r="H4">
        <v>0</v>
      </c>
      <c r="I4">
        <v>0</v>
      </c>
      <c r="J4">
        <v>0</v>
      </c>
      <c r="K4">
        <v>0</v>
      </c>
      <c r="L4">
        <v>0</v>
      </c>
      <c r="M4">
        <v>4763123</v>
      </c>
      <c r="N4">
        <v>5095148</v>
      </c>
      <c r="O4">
        <v>5415882</v>
      </c>
      <c r="P4">
        <v>6612800</v>
      </c>
      <c r="Q4">
        <v>7923974</v>
      </c>
      <c r="R4">
        <v>9390685</v>
      </c>
      <c r="S4">
        <v>10499135</v>
      </c>
      <c r="T4">
        <v>7106397</v>
      </c>
      <c r="U4">
        <v>4499936</v>
      </c>
      <c r="V4">
        <v>1466908</v>
      </c>
      <c r="W4">
        <v>8652217</v>
      </c>
      <c r="X4">
        <v>9823009</v>
      </c>
      <c r="Y4">
        <v>7490443</v>
      </c>
      <c r="Z4">
        <v>7639174</v>
      </c>
      <c r="AA4">
        <v>6642325</v>
      </c>
      <c r="AB4">
        <v>5252000</v>
      </c>
      <c r="AC4">
        <v>4565000</v>
      </c>
      <c r="AD4">
        <v>4632000</v>
      </c>
      <c r="AE4">
        <v>5135000</v>
      </c>
      <c r="AF4">
        <v>5531000</v>
      </c>
      <c r="AG4">
        <v>6387000</v>
      </c>
      <c r="AH4">
        <v>6560000</v>
      </c>
      <c r="AI4">
        <v>7907000</v>
      </c>
      <c r="AJ4">
        <v>8620000</v>
      </c>
      <c r="AK4">
        <v>8369000</v>
      </c>
      <c r="AL4">
        <v>7895000</v>
      </c>
      <c r="AM4">
        <v>7811000</v>
      </c>
      <c r="AN4">
        <v>7982000</v>
      </c>
      <c r="AO4">
        <v>9480000</v>
      </c>
      <c r="AP4">
        <v>6247000</v>
      </c>
      <c r="AQ4">
        <v>11363000</v>
      </c>
      <c r="AR4">
        <v>12042000</v>
      </c>
      <c r="AS4">
        <v>11464000</v>
      </c>
      <c r="AT4">
        <v>9954000</v>
      </c>
      <c r="AU4">
        <v>11381000</v>
      </c>
      <c r="AV4">
        <v>12907000</v>
      </c>
    </row>
    <row r="5" spans="1:53">
      <c r="A5">
        <v>1</v>
      </c>
      <c r="B5">
        <v>4</v>
      </c>
      <c r="C5" t="s">
        <v>18</v>
      </c>
      <c r="D5" t="s">
        <v>199</v>
      </c>
      <c r="E5" t="s">
        <v>190</v>
      </c>
      <c r="F5" t="s">
        <v>26</v>
      </c>
      <c r="G5" t="s">
        <v>90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row>
    <row r="6" spans="1:53">
      <c r="A6">
        <v>1</v>
      </c>
      <c r="B6">
        <v>5</v>
      </c>
      <c r="C6" t="s">
        <v>18</v>
      </c>
      <c r="D6" t="s">
        <v>200</v>
      </c>
      <c r="E6" t="s">
        <v>173</v>
      </c>
      <c r="F6" t="s">
        <v>37</v>
      </c>
      <c r="G6" t="s">
        <v>202</v>
      </c>
      <c r="H6">
        <v>0</v>
      </c>
      <c r="I6">
        <v>0</v>
      </c>
      <c r="J6">
        <v>0</v>
      </c>
      <c r="K6">
        <v>0</v>
      </c>
      <c r="L6">
        <v>0</v>
      </c>
      <c r="M6">
        <v>1380579</v>
      </c>
      <c r="N6">
        <v>1476169</v>
      </c>
      <c r="O6">
        <v>1606282</v>
      </c>
      <c r="P6">
        <v>1643742</v>
      </c>
      <c r="Q6">
        <v>1842331</v>
      </c>
      <c r="R6">
        <v>2014926</v>
      </c>
      <c r="S6">
        <v>2206671</v>
      </c>
      <c r="T6">
        <v>2243217</v>
      </c>
      <c r="U6">
        <v>2406659</v>
      </c>
      <c r="V6">
        <v>2625718</v>
      </c>
      <c r="W6">
        <v>2817691</v>
      </c>
      <c r="X6">
        <v>3135511</v>
      </c>
      <c r="Y6">
        <v>3551208</v>
      </c>
      <c r="Z6">
        <v>3913850</v>
      </c>
      <c r="AA6">
        <v>3825411</v>
      </c>
      <c r="AB6">
        <v>4099000</v>
      </c>
      <c r="AC6">
        <v>3991000</v>
      </c>
      <c r="AD6">
        <v>4080000</v>
      </c>
      <c r="AE6">
        <v>5306000</v>
      </c>
      <c r="AF6">
        <v>5638000</v>
      </c>
      <c r="AG6">
        <v>6167000</v>
      </c>
      <c r="AH6">
        <v>6520000</v>
      </c>
      <c r="AI6">
        <v>7261000</v>
      </c>
      <c r="AJ6">
        <v>7951000</v>
      </c>
      <c r="AK6">
        <v>8392000</v>
      </c>
      <c r="AL6">
        <v>8819000</v>
      </c>
      <c r="AM6">
        <v>9093000</v>
      </c>
      <c r="AN6">
        <v>9149000</v>
      </c>
      <c r="AO6">
        <v>9573000</v>
      </c>
      <c r="AP6">
        <v>10020000</v>
      </c>
      <c r="AQ6">
        <v>11730000</v>
      </c>
      <c r="AR6">
        <v>12434000</v>
      </c>
      <c r="AS6">
        <v>12458000</v>
      </c>
      <c r="AT6">
        <v>12479000</v>
      </c>
      <c r="AU6">
        <v>12011000</v>
      </c>
      <c r="AV6">
        <v>11719000</v>
      </c>
    </row>
    <row r="7" spans="1:53">
      <c r="A7">
        <v>1</v>
      </c>
      <c r="B7">
        <v>6</v>
      </c>
      <c r="C7" t="s">
        <v>18</v>
      </c>
      <c r="D7" t="s">
        <v>200</v>
      </c>
      <c r="E7" t="s">
        <v>173</v>
      </c>
      <c r="F7" t="s">
        <v>37</v>
      </c>
      <c r="G7" t="s">
        <v>67</v>
      </c>
      <c r="H7">
        <v>0</v>
      </c>
      <c r="I7">
        <v>0</v>
      </c>
      <c r="J7">
        <v>0</v>
      </c>
      <c r="K7">
        <v>0</v>
      </c>
      <c r="L7">
        <v>0</v>
      </c>
      <c r="M7">
        <v>4450912</v>
      </c>
      <c r="N7">
        <v>4992317</v>
      </c>
      <c r="O7">
        <v>5592912</v>
      </c>
      <c r="P7">
        <v>6290357</v>
      </c>
      <c r="Q7">
        <v>6468745</v>
      </c>
      <c r="R7">
        <v>6607435</v>
      </c>
      <c r="S7">
        <v>6755601</v>
      </c>
      <c r="T7">
        <v>6956517</v>
      </c>
      <c r="U7">
        <v>8412979</v>
      </c>
      <c r="V7">
        <v>10195668</v>
      </c>
      <c r="W7">
        <v>11608591</v>
      </c>
      <c r="X7">
        <v>12956683</v>
      </c>
      <c r="Y7">
        <v>12837895</v>
      </c>
      <c r="Z7">
        <v>13092224</v>
      </c>
      <c r="AA7">
        <v>12363207</v>
      </c>
      <c r="AB7">
        <v>12593000</v>
      </c>
      <c r="AC7">
        <v>12693000</v>
      </c>
      <c r="AD7">
        <v>13056000</v>
      </c>
      <c r="AE7">
        <v>12866000</v>
      </c>
      <c r="AF7">
        <v>12446000</v>
      </c>
      <c r="AG7">
        <v>12427000</v>
      </c>
      <c r="AH7">
        <v>13233000</v>
      </c>
      <c r="AI7">
        <v>13473000</v>
      </c>
      <c r="AJ7">
        <v>12880000</v>
      </c>
      <c r="AK7">
        <v>14637000</v>
      </c>
      <c r="AL7">
        <v>14778000</v>
      </c>
      <c r="AM7">
        <v>14491000</v>
      </c>
      <c r="AN7">
        <v>15258000</v>
      </c>
      <c r="AO7">
        <v>17200000</v>
      </c>
      <c r="AP7">
        <v>18397000</v>
      </c>
      <c r="AQ7">
        <v>18370000</v>
      </c>
      <c r="AR7">
        <v>17032000</v>
      </c>
      <c r="AS7">
        <v>16602000</v>
      </c>
      <c r="AT7">
        <v>16429000</v>
      </c>
      <c r="AU7">
        <v>16559000</v>
      </c>
      <c r="AV7">
        <v>17693000</v>
      </c>
    </row>
    <row r="8" spans="1:53">
      <c r="A8">
        <v>1</v>
      </c>
      <c r="B8">
        <v>7</v>
      </c>
      <c r="C8" t="s">
        <v>18</v>
      </c>
      <c r="D8" t="s">
        <v>199</v>
      </c>
      <c r="E8" t="s">
        <v>179</v>
      </c>
      <c r="F8" t="s">
        <v>159</v>
      </c>
      <c r="G8" t="s">
        <v>49</v>
      </c>
      <c r="H8">
        <v>0</v>
      </c>
      <c r="I8">
        <v>0</v>
      </c>
      <c r="J8">
        <v>0</v>
      </c>
      <c r="K8">
        <v>0</v>
      </c>
      <c r="L8">
        <v>0</v>
      </c>
      <c r="M8">
        <v>499109</v>
      </c>
      <c r="N8">
        <v>617297</v>
      </c>
      <c r="O8">
        <v>509352</v>
      </c>
      <c r="P8">
        <v>481971</v>
      </c>
      <c r="Q8">
        <v>533509</v>
      </c>
      <c r="R8">
        <v>528562</v>
      </c>
      <c r="S8">
        <v>538230</v>
      </c>
      <c r="T8">
        <v>455057</v>
      </c>
      <c r="U8">
        <v>457348</v>
      </c>
      <c r="V8">
        <v>420080</v>
      </c>
      <c r="W8">
        <v>461021</v>
      </c>
      <c r="X8">
        <v>457383</v>
      </c>
      <c r="Y8">
        <v>448068</v>
      </c>
      <c r="Z8">
        <v>459759</v>
      </c>
      <c r="AA8">
        <v>466488</v>
      </c>
      <c r="AB8">
        <v>492000</v>
      </c>
      <c r="AC8">
        <v>481000</v>
      </c>
      <c r="AD8">
        <v>440000</v>
      </c>
      <c r="AE8">
        <v>424000</v>
      </c>
      <c r="AF8">
        <v>462000</v>
      </c>
      <c r="AG8">
        <v>433000</v>
      </c>
      <c r="AH8">
        <v>492000</v>
      </c>
      <c r="AI8">
        <v>528000</v>
      </c>
      <c r="AJ8">
        <v>589000</v>
      </c>
      <c r="AK8">
        <v>608000</v>
      </c>
      <c r="AL8">
        <v>636000</v>
      </c>
      <c r="AM8">
        <v>651000</v>
      </c>
      <c r="AN8">
        <v>667000</v>
      </c>
      <c r="AO8">
        <v>524000</v>
      </c>
      <c r="AP8">
        <v>999000</v>
      </c>
      <c r="AQ8">
        <v>2656000</v>
      </c>
      <c r="AR8">
        <v>5128000</v>
      </c>
      <c r="AS8">
        <v>4223000</v>
      </c>
      <c r="AT8">
        <v>936000</v>
      </c>
      <c r="AU8">
        <v>759000</v>
      </c>
      <c r="AV8">
        <v>577000</v>
      </c>
    </row>
    <row r="9" spans="1:53">
      <c r="A9">
        <v>1</v>
      </c>
      <c r="B9">
        <v>8</v>
      </c>
      <c r="C9" t="s">
        <v>18</v>
      </c>
      <c r="D9" t="s">
        <v>199</v>
      </c>
      <c r="E9" t="s">
        <v>179</v>
      </c>
      <c r="F9" t="s">
        <v>159</v>
      </c>
      <c r="G9" t="s">
        <v>50</v>
      </c>
      <c r="H9">
        <v>0</v>
      </c>
      <c r="I9">
        <v>0</v>
      </c>
      <c r="J9">
        <v>0</v>
      </c>
      <c r="K9">
        <v>0</v>
      </c>
      <c r="L9">
        <v>0</v>
      </c>
      <c r="M9">
        <v>569275</v>
      </c>
      <c r="N9">
        <v>829438</v>
      </c>
      <c r="O9">
        <v>985710</v>
      </c>
      <c r="P9">
        <v>1815704</v>
      </c>
      <c r="Q9">
        <v>1782873</v>
      </c>
      <c r="R9">
        <v>2370598</v>
      </c>
      <c r="S9">
        <v>1881870</v>
      </c>
      <c r="T9">
        <v>2045919</v>
      </c>
      <c r="U9">
        <v>2019799</v>
      </c>
      <c r="V9">
        <v>1197820</v>
      </c>
      <c r="W9">
        <v>1117759</v>
      </c>
      <c r="X9">
        <v>1051591</v>
      </c>
      <c r="Y9">
        <v>976466</v>
      </c>
      <c r="Z9">
        <v>953820</v>
      </c>
      <c r="AA9">
        <v>817228</v>
      </c>
      <c r="AB9">
        <v>780000</v>
      </c>
      <c r="AC9">
        <v>641000</v>
      </c>
      <c r="AD9">
        <v>634000</v>
      </c>
      <c r="AE9">
        <v>668000</v>
      </c>
      <c r="AF9">
        <v>659000</v>
      </c>
      <c r="AG9">
        <v>724000</v>
      </c>
      <c r="AH9">
        <v>755000</v>
      </c>
      <c r="AI9">
        <v>750000</v>
      </c>
      <c r="AJ9">
        <v>800000</v>
      </c>
      <c r="AK9">
        <v>995000</v>
      </c>
      <c r="AL9">
        <v>933000</v>
      </c>
      <c r="AM9">
        <v>749000</v>
      </c>
      <c r="AN9">
        <v>803000</v>
      </c>
      <c r="AO9">
        <v>862000</v>
      </c>
      <c r="AP9">
        <v>937000</v>
      </c>
      <c r="AQ9">
        <v>843000</v>
      </c>
      <c r="AR9">
        <v>938000</v>
      </c>
      <c r="AS9">
        <v>635000</v>
      </c>
      <c r="AT9">
        <v>670000</v>
      </c>
      <c r="AU9">
        <v>701000</v>
      </c>
      <c r="AV9">
        <v>707000</v>
      </c>
    </row>
    <row r="10" spans="1:53">
      <c r="A10">
        <v>1</v>
      </c>
      <c r="B10">
        <v>9</v>
      </c>
      <c r="C10" t="s">
        <v>18</v>
      </c>
      <c r="D10" t="s">
        <v>200</v>
      </c>
      <c r="E10" t="s">
        <v>179</v>
      </c>
      <c r="F10" t="s">
        <v>159</v>
      </c>
      <c r="G10" t="s">
        <v>50</v>
      </c>
      <c r="H10">
        <v>0</v>
      </c>
      <c r="I10">
        <v>0</v>
      </c>
      <c r="J10">
        <v>0</v>
      </c>
      <c r="K10">
        <v>0</v>
      </c>
      <c r="L10">
        <v>0</v>
      </c>
      <c r="M10">
        <v>8204562</v>
      </c>
      <c r="N10">
        <v>10411434</v>
      </c>
      <c r="O10">
        <v>14880603</v>
      </c>
      <c r="P10">
        <v>20991423</v>
      </c>
      <c r="Q10">
        <v>11694181</v>
      </c>
      <c r="R10">
        <v>23056218</v>
      </c>
      <c r="S10">
        <v>29436798</v>
      </c>
      <c r="T10">
        <v>24420384</v>
      </c>
      <c r="U10">
        <v>15067913</v>
      </c>
      <c r="V10">
        <v>15499950</v>
      </c>
      <c r="W10">
        <v>10519292</v>
      </c>
      <c r="X10">
        <v>13834240</v>
      </c>
      <c r="Y10">
        <v>13945063</v>
      </c>
      <c r="Z10">
        <v>19127646</v>
      </c>
      <c r="AA10">
        <v>13977354</v>
      </c>
      <c r="AB10">
        <v>8891000</v>
      </c>
      <c r="AC10">
        <v>8403000</v>
      </c>
      <c r="AD10">
        <v>10031000</v>
      </c>
      <c r="AE10">
        <v>13299000</v>
      </c>
      <c r="AF10">
        <v>23976000</v>
      </c>
      <c r="AG10">
        <v>37508000</v>
      </c>
      <c r="AH10">
        <v>27443000</v>
      </c>
      <c r="AI10">
        <v>23288000</v>
      </c>
      <c r="AJ10">
        <v>23670000</v>
      </c>
      <c r="AK10">
        <v>16343000</v>
      </c>
      <c r="AL10">
        <v>27483000</v>
      </c>
      <c r="AM10">
        <v>27128000</v>
      </c>
      <c r="AN10">
        <v>18837000</v>
      </c>
      <c r="AO10">
        <v>19530000</v>
      </c>
      <c r="AP10">
        <v>23226000</v>
      </c>
      <c r="AQ10">
        <v>22372000</v>
      </c>
      <c r="AR10">
        <v>21643000</v>
      </c>
      <c r="AS10">
        <v>19081000</v>
      </c>
      <c r="AT10">
        <v>30940000</v>
      </c>
      <c r="AU10">
        <v>25421000</v>
      </c>
      <c r="AV10">
        <v>19523000</v>
      </c>
    </row>
    <row r="11" spans="1:53">
      <c r="A11">
        <v>1</v>
      </c>
      <c r="B11">
        <v>10</v>
      </c>
      <c r="C11" t="s">
        <v>18</v>
      </c>
      <c r="D11" t="s">
        <v>200</v>
      </c>
      <c r="E11" t="s">
        <v>179</v>
      </c>
      <c r="F11" t="s">
        <v>53</v>
      </c>
      <c r="G11" t="s">
        <v>52</v>
      </c>
      <c r="H11" t="s">
        <v>203</v>
      </c>
      <c r="I11">
        <v>0</v>
      </c>
      <c r="J11">
        <v>0</v>
      </c>
      <c r="K11">
        <v>0</v>
      </c>
      <c r="L11">
        <v>0</v>
      </c>
      <c r="M11">
        <v>3624192</v>
      </c>
      <c r="N11">
        <v>3914091</v>
      </c>
      <c r="O11">
        <v>4045549</v>
      </c>
      <c r="P11">
        <v>3584128</v>
      </c>
      <c r="Q11">
        <v>3429853</v>
      </c>
      <c r="R11">
        <v>3970746</v>
      </c>
      <c r="S11">
        <v>3235108</v>
      </c>
      <c r="T11">
        <v>798822</v>
      </c>
      <c r="U11">
        <v>3611603</v>
      </c>
      <c r="V11">
        <v>3610488</v>
      </c>
      <c r="W11">
        <v>3014360</v>
      </c>
      <c r="X11">
        <v>3238203</v>
      </c>
      <c r="Y11">
        <v>1994055</v>
      </c>
      <c r="Z11">
        <v>1118431</v>
      </c>
      <c r="AA11">
        <v>1107193</v>
      </c>
      <c r="AB11">
        <v>1580000</v>
      </c>
      <c r="AC11">
        <v>746000</v>
      </c>
      <c r="AD11">
        <v>475000</v>
      </c>
      <c r="AE11">
        <v>-179000</v>
      </c>
      <c r="AF11">
        <v>-335000</v>
      </c>
      <c r="AG11">
        <v>-612000</v>
      </c>
      <c r="AH11">
        <v>-468000</v>
      </c>
      <c r="AI11">
        <v>-708000</v>
      </c>
      <c r="AJ11">
        <v>-1287000</v>
      </c>
      <c r="AK11">
        <v>-526000</v>
      </c>
      <c r="AL11">
        <v>-813000</v>
      </c>
      <c r="AM11">
        <v>-257000</v>
      </c>
      <c r="AN11">
        <v>-316000</v>
      </c>
      <c r="AO11">
        <v>-106000</v>
      </c>
      <c r="AP11">
        <v>-482000</v>
      </c>
      <c r="AQ11">
        <v>306000</v>
      </c>
      <c r="AR11">
        <v>345000</v>
      </c>
      <c r="AS11">
        <v>622000</v>
      </c>
      <c r="AT11">
        <v>910000</v>
      </c>
      <c r="AU11">
        <v>776000</v>
      </c>
      <c r="AV11">
        <v>691000</v>
      </c>
    </row>
    <row r="12" spans="1:53">
      <c r="A12">
        <v>1</v>
      </c>
      <c r="B12">
        <v>11</v>
      </c>
      <c r="C12" t="s">
        <v>18</v>
      </c>
      <c r="D12" t="s">
        <v>199</v>
      </c>
      <c r="E12" t="s">
        <v>179</v>
      </c>
      <c r="F12" t="s">
        <v>53</v>
      </c>
      <c r="G12" t="s">
        <v>52</v>
      </c>
      <c r="H12" t="s">
        <v>203</v>
      </c>
      <c r="I12">
        <v>0</v>
      </c>
      <c r="J12">
        <v>0</v>
      </c>
      <c r="K12">
        <v>0</v>
      </c>
      <c r="L12">
        <v>0</v>
      </c>
      <c r="M12">
        <v>828</v>
      </c>
      <c r="N12">
        <v>1984</v>
      </c>
      <c r="O12">
        <v>1309</v>
      </c>
      <c r="P12">
        <v>404</v>
      </c>
      <c r="Q12">
        <v>202</v>
      </c>
      <c r="R12">
        <v>0</v>
      </c>
      <c r="S12">
        <v>-34</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row>
    <row r="13" spans="1:53">
      <c r="A13">
        <v>1</v>
      </c>
      <c r="B13">
        <v>12</v>
      </c>
      <c r="C13" t="s">
        <v>18</v>
      </c>
      <c r="D13" t="s">
        <v>200</v>
      </c>
      <c r="E13" t="s">
        <v>179</v>
      </c>
      <c r="F13" t="s">
        <v>53</v>
      </c>
      <c r="G13" t="s">
        <v>52</v>
      </c>
      <c r="H13" t="s">
        <v>204</v>
      </c>
      <c r="I13">
        <v>0</v>
      </c>
      <c r="J13">
        <v>0</v>
      </c>
      <c r="K13" t="s">
        <v>205</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-54000</v>
      </c>
      <c r="AP13">
        <v>86776000</v>
      </c>
      <c r="AQ13">
        <v>30876000</v>
      </c>
      <c r="AR13">
        <v>12633000</v>
      </c>
      <c r="AS13">
        <v>-7527000</v>
      </c>
      <c r="AT13">
        <v>-96888000</v>
      </c>
      <c r="AU13">
        <v>-74463000</v>
      </c>
      <c r="AV13">
        <v>-22557000</v>
      </c>
    </row>
    <row r="14" spans="1:53">
      <c r="A14">
        <v>1</v>
      </c>
      <c r="B14">
        <v>13</v>
      </c>
      <c r="C14" t="s">
        <v>18</v>
      </c>
      <c r="D14" t="s">
        <v>200</v>
      </c>
      <c r="E14" t="s">
        <v>173</v>
      </c>
      <c r="F14" t="s">
        <v>37</v>
      </c>
      <c r="G14" t="s">
        <v>69</v>
      </c>
      <c r="H14">
        <v>0</v>
      </c>
      <c r="I14">
        <v>0</v>
      </c>
      <c r="J14">
        <v>0</v>
      </c>
      <c r="K14">
        <v>0</v>
      </c>
      <c r="L14" t="s">
        <v>138</v>
      </c>
      <c r="M14">
        <v>1245551</v>
      </c>
      <c r="N14">
        <v>1431723</v>
      </c>
      <c r="O14">
        <v>154146</v>
      </c>
      <c r="P14">
        <v>1111294</v>
      </c>
      <c r="Q14">
        <v>1238828</v>
      </c>
      <c r="R14">
        <v>1351100</v>
      </c>
      <c r="S14">
        <v>758085</v>
      </c>
      <c r="T14">
        <v>1592629</v>
      </c>
      <c r="U14">
        <v>2229465</v>
      </c>
      <c r="V14">
        <v>126798</v>
      </c>
      <c r="W14">
        <v>2115676</v>
      </c>
      <c r="X14">
        <v>1827993</v>
      </c>
      <c r="Y14">
        <v>1169276</v>
      </c>
      <c r="Z14">
        <v>1601631</v>
      </c>
      <c r="AA14">
        <v>1233139</v>
      </c>
      <c r="AB14">
        <v>-1839000</v>
      </c>
      <c r="AC14">
        <v>-58000</v>
      </c>
      <c r="AD14">
        <v>77000</v>
      </c>
      <c r="AE14">
        <v>303000</v>
      </c>
      <c r="AF14">
        <v>1050000</v>
      </c>
      <c r="AG14">
        <v>2129000</v>
      </c>
      <c r="AH14">
        <v>2395000</v>
      </c>
      <c r="AI14">
        <v>207000</v>
      </c>
      <c r="AJ14">
        <v>-5169000</v>
      </c>
      <c r="AK14">
        <v>-4070000</v>
      </c>
      <c r="AL14">
        <v>-1223000</v>
      </c>
      <c r="AM14">
        <v>-971000</v>
      </c>
      <c r="AN14">
        <v>5197000</v>
      </c>
      <c r="AO14">
        <v>2526000</v>
      </c>
      <c r="AP14">
        <v>422000</v>
      </c>
      <c r="AQ14">
        <v>4818000</v>
      </c>
      <c r="AR14">
        <v>909000</v>
      </c>
      <c r="AS14">
        <v>2744000</v>
      </c>
      <c r="AT14">
        <v>-1839000</v>
      </c>
      <c r="AU14">
        <v>-2453000</v>
      </c>
      <c r="AV14">
        <v>-1610000</v>
      </c>
    </row>
    <row r="15" spans="1:53">
      <c r="A15">
        <v>1</v>
      </c>
      <c r="B15">
        <v>14</v>
      </c>
      <c r="C15" t="s">
        <v>18</v>
      </c>
      <c r="D15" t="s">
        <v>199</v>
      </c>
      <c r="E15" t="s">
        <v>173</v>
      </c>
      <c r="F15" t="s">
        <v>37</v>
      </c>
      <c r="G15" t="s">
        <v>66</v>
      </c>
      <c r="H15" t="s">
        <v>100</v>
      </c>
      <c r="I15">
        <v>0</v>
      </c>
      <c r="J15">
        <v>0</v>
      </c>
      <c r="K15" t="s">
        <v>205</v>
      </c>
      <c r="L15">
        <v>0</v>
      </c>
      <c r="M15">
        <v>0</v>
      </c>
      <c r="N15">
        <v>0</v>
      </c>
      <c r="O15">
        <v>0</v>
      </c>
      <c r="P15">
        <v>0</v>
      </c>
      <c r="Q15">
        <v>0</v>
      </c>
      <c r="R15">
        <v>0</v>
      </c>
      <c r="S15">
        <v>0</v>
      </c>
      <c r="T15">
        <v>0</v>
      </c>
      <c r="U15">
        <v>0</v>
      </c>
      <c r="V15">
        <v>0</v>
      </c>
      <c r="W15">
        <v>0</v>
      </c>
      <c r="X15">
        <v>0</v>
      </c>
      <c r="Y15">
        <v>6250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row>
    <row r="16" spans="1:53">
      <c r="A16">
        <v>1</v>
      </c>
      <c r="B16">
        <v>15</v>
      </c>
      <c r="C16" t="s">
        <v>18</v>
      </c>
      <c r="D16" t="s">
        <v>200</v>
      </c>
      <c r="E16" t="s">
        <v>173</v>
      </c>
      <c r="F16" t="s">
        <v>37</v>
      </c>
      <c r="G16" t="s">
        <v>66</v>
      </c>
      <c r="H16" t="s">
        <v>100</v>
      </c>
      <c r="I16">
        <v>0</v>
      </c>
      <c r="J16">
        <v>0</v>
      </c>
      <c r="K16" t="s">
        <v>205</v>
      </c>
      <c r="L16">
        <v>0</v>
      </c>
      <c r="M16">
        <v>-284839</v>
      </c>
      <c r="N16">
        <v>-1371379</v>
      </c>
      <c r="O16">
        <v>-2056070</v>
      </c>
      <c r="P16">
        <v>-1252988</v>
      </c>
      <c r="Q16">
        <v>-615850</v>
      </c>
      <c r="R16">
        <v>-2197646</v>
      </c>
      <c r="S16">
        <v>1394289</v>
      </c>
      <c r="T16">
        <v>3106386</v>
      </c>
      <c r="U16">
        <v>10019627</v>
      </c>
      <c r="V16">
        <v>21996374</v>
      </c>
      <c r="W16">
        <v>57891134</v>
      </c>
      <c r="X16">
        <v>66232100</v>
      </c>
      <c r="Y16">
        <v>2511325</v>
      </c>
      <c r="Z16">
        <v>-27957306</v>
      </c>
      <c r="AA16">
        <v>-7569674</v>
      </c>
      <c r="AB16">
        <v>-17827000</v>
      </c>
      <c r="AC16">
        <v>-8394000</v>
      </c>
      <c r="AD16">
        <v>-14384000</v>
      </c>
      <c r="AE16">
        <v>-4371000</v>
      </c>
      <c r="AF16">
        <v>-5280000</v>
      </c>
      <c r="AG16">
        <v>-3053000</v>
      </c>
      <c r="AH16">
        <v>-1569000</v>
      </c>
      <c r="AI16">
        <v>-1026000</v>
      </c>
      <c r="AJ16">
        <v>-1430000</v>
      </c>
      <c r="AK16">
        <v>-1976000</v>
      </c>
      <c r="AL16">
        <v>-1371000</v>
      </c>
      <c r="AM16">
        <v>-1110000</v>
      </c>
      <c r="AN16">
        <v>-1492000</v>
      </c>
      <c r="AO16">
        <v>18760000</v>
      </c>
      <c r="AP16">
        <v>22573000</v>
      </c>
      <c r="AQ16">
        <v>-32033000</v>
      </c>
      <c r="AR16">
        <v>-8697000</v>
      </c>
      <c r="AS16">
        <v>6666000</v>
      </c>
      <c r="AT16">
        <v>4292000</v>
      </c>
      <c r="AU16">
        <v>-13823000</v>
      </c>
      <c r="AV16">
        <v>-12812000</v>
      </c>
    </row>
    <row r="17" spans="1:48">
      <c r="A17">
        <v>1</v>
      </c>
      <c r="B17">
        <v>16</v>
      </c>
      <c r="C17" t="s">
        <v>18</v>
      </c>
      <c r="D17" t="s">
        <v>199</v>
      </c>
      <c r="E17" t="s">
        <v>179</v>
      </c>
      <c r="F17" t="s">
        <v>159</v>
      </c>
      <c r="G17" t="s">
        <v>51</v>
      </c>
      <c r="H17">
        <v>0</v>
      </c>
      <c r="I17">
        <v>0</v>
      </c>
      <c r="J17">
        <v>0</v>
      </c>
      <c r="K17">
        <v>0</v>
      </c>
      <c r="L17">
        <v>0</v>
      </c>
      <c r="M17">
        <v>5362651</v>
      </c>
      <c r="N17">
        <v>4944494</v>
      </c>
      <c r="O17">
        <v>4871967</v>
      </c>
      <c r="P17">
        <v>4017650</v>
      </c>
      <c r="Q17">
        <v>3778832</v>
      </c>
      <c r="R17">
        <v>4068980</v>
      </c>
      <c r="S17">
        <v>4255165</v>
      </c>
      <c r="T17">
        <v>4072790</v>
      </c>
      <c r="U17">
        <v>3747379</v>
      </c>
      <c r="V17">
        <v>3606076</v>
      </c>
      <c r="W17">
        <v>3744859</v>
      </c>
      <c r="X17">
        <v>4039959</v>
      </c>
      <c r="Y17">
        <v>3931585</v>
      </c>
      <c r="Z17">
        <v>3798988</v>
      </c>
      <c r="AA17">
        <v>3730953</v>
      </c>
      <c r="AB17">
        <v>3987000</v>
      </c>
      <c r="AC17">
        <v>3826000</v>
      </c>
      <c r="AD17">
        <v>4003000</v>
      </c>
      <c r="AE17">
        <v>3767000</v>
      </c>
      <c r="AF17">
        <v>4108000</v>
      </c>
      <c r="AG17">
        <v>4598000</v>
      </c>
      <c r="AH17">
        <v>4888000</v>
      </c>
      <c r="AI17">
        <v>5087000</v>
      </c>
      <c r="AJ17">
        <v>5596000</v>
      </c>
      <c r="AK17">
        <v>6032000</v>
      </c>
      <c r="AL17">
        <v>5881000</v>
      </c>
      <c r="AM17">
        <v>6074000</v>
      </c>
      <c r="AN17">
        <v>6053000</v>
      </c>
      <c r="AO17">
        <v>5908000</v>
      </c>
      <c r="AP17">
        <v>6291000</v>
      </c>
      <c r="AQ17">
        <v>9147000</v>
      </c>
      <c r="AR17">
        <v>8273000</v>
      </c>
      <c r="AS17">
        <v>7783000</v>
      </c>
      <c r="AT17">
        <v>7301000</v>
      </c>
      <c r="AU17">
        <v>6706000</v>
      </c>
      <c r="AV17">
        <v>7074000</v>
      </c>
    </row>
    <row r="18" spans="1:48">
      <c r="A18">
        <v>1</v>
      </c>
      <c r="B18">
        <v>17</v>
      </c>
      <c r="C18" t="s">
        <v>18</v>
      </c>
      <c r="D18" t="s">
        <v>200</v>
      </c>
      <c r="E18" t="s">
        <v>181</v>
      </c>
      <c r="F18" t="s">
        <v>33</v>
      </c>
      <c r="G18" t="s">
        <v>120</v>
      </c>
      <c r="H18">
        <v>0</v>
      </c>
      <c r="I18">
        <v>0</v>
      </c>
      <c r="J18">
        <v>0</v>
      </c>
      <c r="K18">
        <v>0</v>
      </c>
      <c r="L18">
        <v>0</v>
      </c>
      <c r="M18">
        <v>111142</v>
      </c>
      <c r="N18">
        <v>119218</v>
      </c>
      <c r="O18">
        <v>156633</v>
      </c>
      <c r="P18">
        <v>118680</v>
      </c>
      <c r="Q18">
        <v>126517</v>
      </c>
      <c r="R18">
        <v>157373</v>
      </c>
      <c r="S18">
        <v>195173</v>
      </c>
      <c r="T18">
        <v>250211</v>
      </c>
      <c r="U18">
        <v>167670</v>
      </c>
      <c r="V18">
        <v>354162</v>
      </c>
      <c r="W18">
        <v>331638</v>
      </c>
      <c r="X18">
        <v>186428</v>
      </c>
      <c r="Y18">
        <v>207834</v>
      </c>
      <c r="Z18">
        <v>-18601</v>
      </c>
      <c r="AA18">
        <v>129535</v>
      </c>
      <c r="AB18">
        <v>206000</v>
      </c>
      <c r="AC18">
        <v>-64000</v>
      </c>
      <c r="AD18">
        <v>81000</v>
      </c>
      <c r="AE18">
        <v>111000</v>
      </c>
      <c r="AF18">
        <v>139000</v>
      </c>
      <c r="AG18">
        <v>249000</v>
      </c>
      <c r="AH18">
        <v>169000</v>
      </c>
      <c r="AI18">
        <v>140000</v>
      </c>
      <c r="AJ18">
        <v>34000</v>
      </c>
      <c r="AK18">
        <v>100000</v>
      </c>
      <c r="AL18">
        <v>-41000</v>
      </c>
      <c r="AM18">
        <v>64000</v>
      </c>
      <c r="AN18">
        <v>320000</v>
      </c>
      <c r="AO18">
        <v>205000</v>
      </c>
      <c r="AP18">
        <v>396000</v>
      </c>
      <c r="AQ18">
        <v>1082000</v>
      </c>
      <c r="AR18">
        <v>-166000</v>
      </c>
      <c r="AS18">
        <v>-56000</v>
      </c>
      <c r="AT18">
        <v>-254000</v>
      </c>
      <c r="AU18">
        <v>-475000</v>
      </c>
      <c r="AV18">
        <v>40000</v>
      </c>
    </row>
    <row r="19" spans="1:48">
      <c r="A19">
        <v>1</v>
      </c>
      <c r="B19">
        <v>18</v>
      </c>
      <c r="C19" t="s">
        <v>18</v>
      </c>
      <c r="D19" t="s">
        <v>199</v>
      </c>
      <c r="E19" t="s">
        <v>173</v>
      </c>
      <c r="F19" t="s">
        <v>37</v>
      </c>
      <c r="G19" t="s">
        <v>66</v>
      </c>
      <c r="H19" t="s">
        <v>101</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370000</v>
      </c>
      <c r="AS19">
        <v>214000</v>
      </c>
      <c r="AT19">
        <v>380000</v>
      </c>
      <c r="AU19">
        <v>246000</v>
      </c>
      <c r="AV19">
        <v>217000</v>
      </c>
    </row>
    <row r="20" spans="1:48">
      <c r="A20">
        <v>1</v>
      </c>
      <c r="B20">
        <v>19</v>
      </c>
      <c r="C20" t="s">
        <v>18</v>
      </c>
      <c r="D20" t="s">
        <v>200</v>
      </c>
      <c r="E20" t="s">
        <v>179</v>
      </c>
      <c r="F20" t="s">
        <v>159</v>
      </c>
      <c r="G20" t="s">
        <v>51</v>
      </c>
      <c r="H20">
        <v>0</v>
      </c>
      <c r="I20">
        <v>0</v>
      </c>
      <c r="J20">
        <v>0</v>
      </c>
      <c r="K20">
        <v>0</v>
      </c>
      <c r="L20">
        <v>0</v>
      </c>
      <c r="M20">
        <v>8514902</v>
      </c>
      <c r="N20">
        <v>8661681</v>
      </c>
      <c r="O20">
        <v>8153892</v>
      </c>
      <c r="P20">
        <v>8614662</v>
      </c>
      <c r="Q20">
        <v>8800674</v>
      </c>
      <c r="R20">
        <v>9263122</v>
      </c>
      <c r="S20">
        <v>9345325</v>
      </c>
      <c r="T20">
        <v>9262032</v>
      </c>
      <c r="U20">
        <v>10863132</v>
      </c>
      <c r="V20">
        <v>12572700</v>
      </c>
      <c r="W20">
        <v>13336949</v>
      </c>
      <c r="X20">
        <v>14513410</v>
      </c>
      <c r="Y20">
        <v>16080864</v>
      </c>
      <c r="Z20">
        <v>16453007</v>
      </c>
      <c r="AA20">
        <v>17296943</v>
      </c>
      <c r="AB20">
        <v>17956000</v>
      </c>
      <c r="AC20">
        <v>17693000</v>
      </c>
      <c r="AD20">
        <v>15422000</v>
      </c>
      <c r="AE20">
        <v>16626000</v>
      </c>
      <c r="AF20">
        <v>18101000</v>
      </c>
      <c r="AG20">
        <v>18623000</v>
      </c>
      <c r="AH20">
        <v>18676000</v>
      </c>
      <c r="AI20">
        <v>22262000</v>
      </c>
      <c r="AJ20">
        <v>22096000</v>
      </c>
      <c r="AK20">
        <v>22777000</v>
      </c>
      <c r="AL20">
        <v>20264000</v>
      </c>
      <c r="AM20">
        <v>25033000</v>
      </c>
      <c r="AN20">
        <v>23682000</v>
      </c>
      <c r="AO20">
        <v>23916000</v>
      </c>
      <c r="AP20">
        <v>30170000</v>
      </c>
      <c r="AQ20">
        <v>32705000</v>
      </c>
      <c r="AR20">
        <v>35292000</v>
      </c>
      <c r="AS20">
        <v>31915000</v>
      </c>
      <c r="AT20">
        <v>28906000</v>
      </c>
      <c r="AU20">
        <v>27741000</v>
      </c>
      <c r="AV20">
        <v>27269000</v>
      </c>
    </row>
    <row r="21" spans="1:48">
      <c r="A21">
        <v>1</v>
      </c>
      <c r="B21">
        <v>20</v>
      </c>
      <c r="C21" t="s">
        <v>18</v>
      </c>
      <c r="D21" t="s">
        <v>199</v>
      </c>
      <c r="E21" t="s">
        <v>173</v>
      </c>
      <c r="F21" t="s">
        <v>37</v>
      </c>
      <c r="G21" t="s">
        <v>65</v>
      </c>
      <c r="H21">
        <v>0</v>
      </c>
      <c r="I21">
        <v>0</v>
      </c>
      <c r="J21">
        <v>0</v>
      </c>
      <c r="K21">
        <v>0</v>
      </c>
      <c r="L21">
        <v>0</v>
      </c>
      <c r="M21">
        <v>2323</v>
      </c>
      <c r="N21">
        <v>2429</v>
      </c>
      <c r="O21">
        <v>2080</v>
      </c>
      <c r="P21">
        <v>61100</v>
      </c>
      <c r="Q21">
        <v>2080</v>
      </c>
      <c r="R21">
        <v>2180</v>
      </c>
      <c r="S21">
        <v>1576</v>
      </c>
      <c r="T21">
        <v>1447</v>
      </c>
      <c r="U21">
        <v>759</v>
      </c>
      <c r="V21">
        <v>0</v>
      </c>
      <c r="W21">
        <v>0</v>
      </c>
      <c r="X21">
        <v>0</v>
      </c>
      <c r="Y21">
        <v>2288</v>
      </c>
      <c r="Z21">
        <v>2639</v>
      </c>
      <c r="AA21">
        <v>3304</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row>
    <row r="22" spans="1:48">
      <c r="A22">
        <v>1</v>
      </c>
      <c r="B22">
        <v>21</v>
      </c>
      <c r="C22" t="s">
        <v>18</v>
      </c>
      <c r="D22" t="s">
        <v>199</v>
      </c>
      <c r="E22" t="s">
        <v>173</v>
      </c>
      <c r="F22" t="s">
        <v>37</v>
      </c>
      <c r="G22" t="s">
        <v>68</v>
      </c>
      <c r="H22">
        <v>0</v>
      </c>
      <c r="I22">
        <v>0</v>
      </c>
      <c r="J22">
        <v>0</v>
      </c>
      <c r="K22">
        <v>0</v>
      </c>
      <c r="L22">
        <v>0</v>
      </c>
      <c r="M22">
        <v>0</v>
      </c>
      <c r="N22">
        <v>0</v>
      </c>
      <c r="O22">
        <v>0</v>
      </c>
      <c r="P22">
        <v>0</v>
      </c>
      <c r="Q22">
        <v>0</v>
      </c>
      <c r="R22">
        <v>0</v>
      </c>
      <c r="S22">
        <v>0</v>
      </c>
      <c r="T22">
        <v>0</v>
      </c>
      <c r="U22">
        <v>0</v>
      </c>
      <c r="V22">
        <v>0</v>
      </c>
      <c r="W22">
        <v>0</v>
      </c>
      <c r="X22">
        <v>0</v>
      </c>
      <c r="Y22">
        <v>19</v>
      </c>
      <c r="Z22">
        <v>230</v>
      </c>
      <c r="AA22">
        <v>825</v>
      </c>
      <c r="AB22">
        <v>3000</v>
      </c>
      <c r="AC22">
        <v>4000</v>
      </c>
      <c r="AD22">
        <v>4000</v>
      </c>
      <c r="AE22">
        <v>0</v>
      </c>
      <c r="AF22">
        <v>805000</v>
      </c>
      <c r="AG22">
        <v>1215000</v>
      </c>
      <c r="AH22">
        <v>1331000</v>
      </c>
      <c r="AI22">
        <v>1317000</v>
      </c>
      <c r="AJ22">
        <v>1151000</v>
      </c>
      <c r="AK22">
        <v>1143000</v>
      </c>
      <c r="AL22">
        <v>1341000</v>
      </c>
      <c r="AM22">
        <v>1462000</v>
      </c>
      <c r="AN22">
        <v>1442000</v>
      </c>
      <c r="AO22">
        <v>1490000</v>
      </c>
      <c r="AP22">
        <v>1602000</v>
      </c>
      <c r="AQ22">
        <v>1777000</v>
      </c>
      <c r="AR22">
        <v>1938000</v>
      </c>
      <c r="AS22">
        <v>1843000</v>
      </c>
      <c r="AT22">
        <v>1998000</v>
      </c>
      <c r="AU22">
        <v>2087000</v>
      </c>
      <c r="AV22">
        <v>1628000</v>
      </c>
    </row>
    <row r="23" spans="1:48">
      <c r="A23">
        <v>1</v>
      </c>
      <c r="B23">
        <v>22</v>
      </c>
      <c r="C23" t="s">
        <v>18</v>
      </c>
      <c r="D23" t="s">
        <v>200</v>
      </c>
      <c r="E23" t="s">
        <v>181</v>
      </c>
      <c r="F23" t="s">
        <v>33</v>
      </c>
      <c r="G23" t="s">
        <v>93</v>
      </c>
      <c r="H23">
        <v>0</v>
      </c>
      <c r="I23">
        <v>0</v>
      </c>
      <c r="J23">
        <v>0</v>
      </c>
      <c r="K23">
        <v>0</v>
      </c>
      <c r="L23">
        <v>0</v>
      </c>
      <c r="M23">
        <v>68516</v>
      </c>
      <c r="N23">
        <v>70124</v>
      </c>
      <c r="O23">
        <v>68006</v>
      </c>
      <c r="P23">
        <v>65464</v>
      </c>
      <c r="Q23">
        <v>65864</v>
      </c>
      <c r="R23">
        <v>65267</v>
      </c>
      <c r="S23">
        <v>62014</v>
      </c>
      <c r="T23">
        <v>66067</v>
      </c>
      <c r="U23">
        <v>95421</v>
      </c>
      <c r="V23">
        <v>108335</v>
      </c>
      <c r="W23">
        <v>96977</v>
      </c>
      <c r="X23">
        <v>104010</v>
      </c>
      <c r="Y23">
        <v>114641</v>
      </c>
      <c r="Z23">
        <v>105001</v>
      </c>
      <c r="AA23">
        <v>103620</v>
      </c>
      <c r="AB23">
        <v>70000</v>
      </c>
      <c r="AC23">
        <v>77000</v>
      </c>
      <c r="AD23">
        <v>66000</v>
      </c>
      <c r="AE23">
        <v>45000</v>
      </c>
      <c r="AF23">
        <v>55000</v>
      </c>
      <c r="AG23">
        <v>68000</v>
      </c>
      <c r="AH23">
        <v>94000</v>
      </c>
      <c r="AI23">
        <v>148000</v>
      </c>
      <c r="AJ23">
        <v>160000</v>
      </c>
      <c r="AK23">
        <v>144000</v>
      </c>
      <c r="AL23">
        <v>123000</v>
      </c>
      <c r="AM23">
        <v>129000</v>
      </c>
      <c r="AN23">
        <v>116000</v>
      </c>
      <c r="AO23">
        <v>159000</v>
      </c>
      <c r="AP23">
        <v>273000</v>
      </c>
      <c r="AQ23">
        <v>239000</v>
      </c>
      <c r="AR23">
        <v>249000</v>
      </c>
      <c r="AS23">
        <v>242000</v>
      </c>
      <c r="AT23">
        <v>250000</v>
      </c>
      <c r="AU23">
        <v>271000</v>
      </c>
      <c r="AV23">
        <v>233000</v>
      </c>
    </row>
    <row r="24" spans="1:48">
      <c r="A24">
        <v>1</v>
      </c>
      <c r="B24">
        <v>23</v>
      </c>
      <c r="C24" t="s">
        <v>18</v>
      </c>
      <c r="D24" t="s">
        <v>200</v>
      </c>
      <c r="E24" t="s">
        <v>173</v>
      </c>
      <c r="F24" t="s">
        <v>37</v>
      </c>
      <c r="G24" t="s">
        <v>66</v>
      </c>
      <c r="H24" t="s">
        <v>101</v>
      </c>
      <c r="I24">
        <v>0</v>
      </c>
      <c r="J24">
        <v>0</v>
      </c>
      <c r="K24">
        <v>0</v>
      </c>
      <c r="L24">
        <v>0</v>
      </c>
      <c r="M24">
        <v>26181</v>
      </c>
      <c r="N24">
        <v>150624</v>
      </c>
      <c r="O24">
        <v>107341</v>
      </c>
      <c r="P24">
        <v>-289033</v>
      </c>
      <c r="Q24">
        <v>25296</v>
      </c>
      <c r="R24">
        <v>27878</v>
      </c>
      <c r="S24">
        <v>27875</v>
      </c>
      <c r="T24">
        <v>29019</v>
      </c>
      <c r="U24">
        <v>32292</v>
      </c>
      <c r="V24">
        <v>34413</v>
      </c>
      <c r="W24">
        <v>30658</v>
      </c>
      <c r="X24">
        <v>45269</v>
      </c>
      <c r="Y24">
        <v>47852</v>
      </c>
      <c r="Z24">
        <v>49113</v>
      </c>
      <c r="AA24">
        <v>47568</v>
      </c>
      <c r="AB24">
        <v>52000</v>
      </c>
      <c r="AC24">
        <v>52000</v>
      </c>
      <c r="AD24">
        <v>54000</v>
      </c>
      <c r="AE24">
        <v>61000</v>
      </c>
      <c r="AF24">
        <v>61000</v>
      </c>
      <c r="AG24">
        <v>65000</v>
      </c>
      <c r="AH24">
        <v>67000</v>
      </c>
      <c r="AI24">
        <v>74000</v>
      </c>
      <c r="AJ24">
        <v>86000</v>
      </c>
      <c r="AK24">
        <v>99000</v>
      </c>
      <c r="AL24">
        <v>101000</v>
      </c>
      <c r="AM24">
        <v>104000</v>
      </c>
      <c r="AN24">
        <v>103000</v>
      </c>
      <c r="AO24">
        <v>67000</v>
      </c>
      <c r="AP24">
        <v>150219000</v>
      </c>
      <c r="AQ24">
        <v>-109996000</v>
      </c>
      <c r="AR24">
        <v>-38693000</v>
      </c>
      <c r="AS24">
        <v>21555000</v>
      </c>
      <c r="AT24">
        <v>-12103000</v>
      </c>
      <c r="AU24">
        <v>-7536000</v>
      </c>
      <c r="AV24">
        <v>-978000</v>
      </c>
    </row>
    <row r="25" spans="1:48">
      <c r="A25">
        <v>1</v>
      </c>
      <c r="B25">
        <v>24</v>
      </c>
      <c r="C25" t="s">
        <v>18</v>
      </c>
      <c r="D25" t="s">
        <v>200</v>
      </c>
      <c r="E25" t="s">
        <v>173</v>
      </c>
      <c r="F25" t="s">
        <v>37</v>
      </c>
      <c r="G25" t="s">
        <v>68</v>
      </c>
      <c r="H25">
        <v>0</v>
      </c>
      <c r="I25">
        <v>0</v>
      </c>
      <c r="J25">
        <v>0</v>
      </c>
      <c r="K25">
        <v>0</v>
      </c>
      <c r="L25">
        <v>0</v>
      </c>
      <c r="M25">
        <v>214403</v>
      </c>
      <c r="N25">
        <v>234295</v>
      </c>
      <c r="O25">
        <v>223542</v>
      </c>
      <c r="P25">
        <v>242330</v>
      </c>
      <c r="Q25">
        <v>287446</v>
      </c>
      <c r="R25">
        <v>377786</v>
      </c>
      <c r="S25">
        <v>432362</v>
      </c>
      <c r="T25">
        <v>492130</v>
      </c>
      <c r="U25">
        <v>577288</v>
      </c>
      <c r="V25">
        <v>753431</v>
      </c>
      <c r="W25">
        <v>942667</v>
      </c>
      <c r="X25">
        <v>1058765</v>
      </c>
      <c r="Y25">
        <v>1143527</v>
      </c>
      <c r="Z25">
        <v>1225051</v>
      </c>
      <c r="AA25">
        <v>1133553</v>
      </c>
      <c r="AB25">
        <v>1400000</v>
      </c>
      <c r="AC25">
        <v>1552000</v>
      </c>
      <c r="AD25">
        <v>2612000</v>
      </c>
      <c r="AE25">
        <v>7272000</v>
      </c>
      <c r="AF25">
        <v>4520000</v>
      </c>
      <c r="AG25">
        <v>1798000</v>
      </c>
      <c r="AH25">
        <v>3429000</v>
      </c>
      <c r="AI25">
        <v>4677000</v>
      </c>
      <c r="AJ25">
        <v>8423000</v>
      </c>
      <c r="AK25">
        <v>3493000</v>
      </c>
      <c r="AL25">
        <v>6971000</v>
      </c>
      <c r="AM25">
        <v>6334000</v>
      </c>
      <c r="AN25">
        <v>6809000</v>
      </c>
      <c r="AO25">
        <v>7652000</v>
      </c>
      <c r="AP25">
        <v>8909000</v>
      </c>
      <c r="AQ25">
        <v>8084000</v>
      </c>
      <c r="AR25">
        <v>9137000</v>
      </c>
      <c r="AS25">
        <v>10426000</v>
      </c>
      <c r="AT25">
        <v>9041000</v>
      </c>
      <c r="AU25">
        <v>8331000</v>
      </c>
      <c r="AV25">
        <v>8762000</v>
      </c>
    </row>
    <row r="26" spans="1:48">
      <c r="A26">
        <v>1</v>
      </c>
      <c r="B26">
        <v>25</v>
      </c>
      <c r="C26" t="s">
        <v>18</v>
      </c>
      <c r="D26" t="s">
        <v>199</v>
      </c>
      <c r="E26" t="s">
        <v>173</v>
      </c>
      <c r="F26" t="s">
        <v>37</v>
      </c>
      <c r="G26" t="s">
        <v>64</v>
      </c>
      <c r="H26" t="s">
        <v>206</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236000</v>
      </c>
      <c r="AS26">
        <v>207000</v>
      </c>
      <c r="AT26">
        <v>205000</v>
      </c>
      <c r="AU26">
        <v>405000</v>
      </c>
      <c r="AV26">
        <v>466000</v>
      </c>
    </row>
    <row r="27" spans="1:48">
      <c r="A27">
        <v>1</v>
      </c>
      <c r="B27">
        <v>26</v>
      </c>
      <c r="C27" t="s">
        <v>18</v>
      </c>
      <c r="D27" t="s">
        <v>200</v>
      </c>
      <c r="E27" t="s">
        <v>173</v>
      </c>
      <c r="F27" t="s">
        <v>37</v>
      </c>
      <c r="G27" t="s">
        <v>64</v>
      </c>
      <c r="H27" t="s">
        <v>206</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-2000</v>
      </c>
      <c r="AN27">
        <v>0</v>
      </c>
      <c r="AO27">
        <v>0</v>
      </c>
      <c r="AP27">
        <v>-73000</v>
      </c>
      <c r="AQ27">
        <v>10000</v>
      </c>
      <c r="AR27">
        <v>31000</v>
      </c>
      <c r="AS27">
        <v>546000</v>
      </c>
      <c r="AT27">
        <v>281000</v>
      </c>
      <c r="AU27">
        <v>-177000</v>
      </c>
      <c r="AV27">
        <v>-92000</v>
      </c>
    </row>
    <row r="28" spans="1:48">
      <c r="A28">
        <v>1</v>
      </c>
      <c r="B28">
        <v>27</v>
      </c>
      <c r="C28" t="s">
        <v>18</v>
      </c>
      <c r="D28" t="s">
        <v>199</v>
      </c>
      <c r="E28" t="s">
        <v>173</v>
      </c>
      <c r="F28" t="s">
        <v>37</v>
      </c>
      <c r="G28" t="s">
        <v>64</v>
      </c>
      <c r="H28" t="s">
        <v>95</v>
      </c>
      <c r="I28">
        <v>0</v>
      </c>
      <c r="J28">
        <v>0</v>
      </c>
      <c r="K28">
        <v>0</v>
      </c>
      <c r="L28">
        <v>0</v>
      </c>
      <c r="M28">
        <v>9208789</v>
      </c>
      <c r="N28">
        <v>9106700</v>
      </c>
      <c r="O28">
        <v>7903437</v>
      </c>
      <c r="P28">
        <v>8896150</v>
      </c>
      <c r="Q28">
        <v>10521975</v>
      </c>
      <c r="R28">
        <v>12840857</v>
      </c>
      <c r="S28">
        <v>14109510</v>
      </c>
      <c r="T28">
        <v>12648953</v>
      </c>
      <c r="U28">
        <v>13926281</v>
      </c>
      <c r="V28">
        <v>13491935</v>
      </c>
      <c r="W28">
        <v>14171743</v>
      </c>
      <c r="X28">
        <v>14417247</v>
      </c>
      <c r="Y28">
        <v>15249489</v>
      </c>
      <c r="Z28">
        <v>16410370</v>
      </c>
      <c r="AA28">
        <v>18668538</v>
      </c>
      <c r="AB28">
        <v>19475000</v>
      </c>
      <c r="AC28">
        <v>19912000</v>
      </c>
      <c r="AD28">
        <v>20770000</v>
      </c>
      <c r="AE28">
        <v>20307000</v>
      </c>
      <c r="AF28">
        <v>23065000</v>
      </c>
      <c r="AG28">
        <v>25287000</v>
      </c>
      <c r="AH28">
        <v>27605000</v>
      </c>
      <c r="AI28">
        <v>30600000</v>
      </c>
      <c r="AJ28">
        <v>30844000</v>
      </c>
      <c r="AK28">
        <v>30516000</v>
      </c>
      <c r="AL28">
        <v>31670000</v>
      </c>
      <c r="AM28">
        <v>34317000</v>
      </c>
      <c r="AN28">
        <v>35063000</v>
      </c>
      <c r="AO28">
        <v>37537000</v>
      </c>
      <c r="AP28">
        <v>40171000</v>
      </c>
      <c r="AQ28">
        <v>43968000</v>
      </c>
      <c r="AR28">
        <v>45233000</v>
      </c>
      <c r="AS28">
        <v>44757000</v>
      </c>
      <c r="AT28">
        <v>44344000</v>
      </c>
      <c r="AU28">
        <v>43966000</v>
      </c>
      <c r="AV28">
        <v>43028000</v>
      </c>
    </row>
    <row r="29" spans="1:48">
      <c r="A29">
        <v>1</v>
      </c>
      <c r="B29">
        <v>28</v>
      </c>
      <c r="C29" t="s">
        <v>18</v>
      </c>
      <c r="D29" t="s">
        <v>200</v>
      </c>
      <c r="E29" t="s">
        <v>173</v>
      </c>
      <c r="F29" t="s">
        <v>37</v>
      </c>
      <c r="G29" t="s">
        <v>64</v>
      </c>
      <c r="H29" t="s">
        <v>95</v>
      </c>
      <c r="I29">
        <v>0</v>
      </c>
      <c r="J29">
        <v>0</v>
      </c>
      <c r="K29">
        <v>0</v>
      </c>
      <c r="L29">
        <v>0</v>
      </c>
      <c r="M29">
        <v>314391</v>
      </c>
      <c r="N29">
        <v>297372</v>
      </c>
      <c r="O29">
        <v>299020</v>
      </c>
      <c r="P29">
        <v>235383</v>
      </c>
      <c r="Q29">
        <v>238076</v>
      </c>
      <c r="R29">
        <v>240679</v>
      </c>
      <c r="S29">
        <v>286251</v>
      </c>
      <c r="T29">
        <v>299991</v>
      </c>
      <c r="U29">
        <v>286568</v>
      </c>
      <c r="V29">
        <v>215989</v>
      </c>
      <c r="W29">
        <v>371866</v>
      </c>
      <c r="X29">
        <v>386404</v>
      </c>
      <c r="Y29">
        <v>495738</v>
      </c>
      <c r="Z29">
        <v>505468</v>
      </c>
      <c r="AA29">
        <v>663360</v>
      </c>
      <c r="AB29">
        <v>313000</v>
      </c>
      <c r="AC29">
        <v>340000</v>
      </c>
      <c r="AD29">
        <v>297000</v>
      </c>
      <c r="AE29">
        <v>305000</v>
      </c>
      <c r="AF29">
        <v>282000</v>
      </c>
      <c r="AG29">
        <v>372000</v>
      </c>
      <c r="AH29">
        <v>416000</v>
      </c>
      <c r="AI29">
        <v>546000</v>
      </c>
      <c r="AJ29">
        <v>488000</v>
      </c>
      <c r="AK29">
        <v>677000</v>
      </c>
      <c r="AL29">
        <v>841000</v>
      </c>
      <c r="AM29">
        <v>745000</v>
      </c>
      <c r="AN29">
        <v>1007000</v>
      </c>
      <c r="AO29">
        <v>832000</v>
      </c>
      <c r="AP29">
        <v>694000</v>
      </c>
      <c r="AQ29">
        <v>922000</v>
      </c>
      <c r="AR29">
        <v>840000</v>
      </c>
      <c r="AS29">
        <v>794000</v>
      </c>
      <c r="AT29">
        <v>863000</v>
      </c>
      <c r="AU29">
        <v>1445000</v>
      </c>
      <c r="AV29">
        <v>979000</v>
      </c>
    </row>
    <row r="30" spans="1:48">
      <c r="A30">
        <v>1</v>
      </c>
      <c r="B30">
        <v>29</v>
      </c>
      <c r="C30" t="s">
        <v>18</v>
      </c>
      <c r="D30" t="s">
        <v>199</v>
      </c>
      <c r="E30" t="s">
        <v>173</v>
      </c>
      <c r="F30" t="s">
        <v>37</v>
      </c>
      <c r="G30" t="s">
        <v>64</v>
      </c>
      <c r="H30" t="s">
        <v>96</v>
      </c>
      <c r="I30">
        <v>0</v>
      </c>
      <c r="J30">
        <v>0</v>
      </c>
      <c r="K30">
        <v>0</v>
      </c>
      <c r="L30">
        <v>0</v>
      </c>
      <c r="M30">
        <v>3217348</v>
      </c>
      <c r="N30">
        <v>3825223</v>
      </c>
      <c r="O30">
        <v>3866523</v>
      </c>
      <c r="P30">
        <v>3842789</v>
      </c>
      <c r="Q30">
        <v>3757856</v>
      </c>
      <c r="R30">
        <v>3364218</v>
      </c>
      <c r="S30">
        <v>3327650</v>
      </c>
      <c r="T30">
        <v>3280740</v>
      </c>
      <c r="U30">
        <v>3258052</v>
      </c>
      <c r="V30">
        <v>3518155</v>
      </c>
      <c r="W30">
        <v>3751856</v>
      </c>
      <c r="X30">
        <v>3828099</v>
      </c>
      <c r="Y30">
        <v>3592143</v>
      </c>
      <c r="Z30">
        <v>3905165</v>
      </c>
      <c r="AA30">
        <v>3294816</v>
      </c>
      <c r="AB30">
        <v>4375000</v>
      </c>
      <c r="AC30">
        <v>4317000</v>
      </c>
      <c r="AD30">
        <v>4538000</v>
      </c>
      <c r="AE30">
        <v>4275000</v>
      </c>
      <c r="AF30">
        <v>4232000</v>
      </c>
      <c r="AG30">
        <v>5281000</v>
      </c>
      <c r="AH30">
        <v>7000000</v>
      </c>
      <c r="AI30">
        <v>7506000</v>
      </c>
      <c r="AJ30">
        <v>7470000</v>
      </c>
      <c r="AK30">
        <v>7797000</v>
      </c>
      <c r="AL30">
        <v>8151000</v>
      </c>
      <c r="AM30">
        <v>8506000</v>
      </c>
      <c r="AN30">
        <v>8989000</v>
      </c>
      <c r="AO30">
        <v>9848000</v>
      </c>
      <c r="AP30">
        <v>11184000</v>
      </c>
      <c r="AQ30">
        <v>12973000</v>
      </c>
      <c r="AR30">
        <v>12102000</v>
      </c>
      <c r="AS30">
        <v>12630000</v>
      </c>
      <c r="AT30">
        <v>12286000</v>
      </c>
      <c r="AU30">
        <v>14633000</v>
      </c>
      <c r="AV30">
        <v>14199000</v>
      </c>
    </row>
    <row r="31" spans="1:48">
      <c r="A31">
        <v>1</v>
      </c>
      <c r="B31">
        <v>30</v>
      </c>
      <c r="C31" t="s">
        <v>18</v>
      </c>
      <c r="D31" t="s">
        <v>199</v>
      </c>
      <c r="E31" t="s">
        <v>173</v>
      </c>
      <c r="F31" t="s">
        <v>37</v>
      </c>
      <c r="G31" t="s">
        <v>64</v>
      </c>
      <c r="H31" t="s">
        <v>94</v>
      </c>
      <c r="I31">
        <v>0</v>
      </c>
      <c r="J31">
        <v>0</v>
      </c>
      <c r="K31">
        <v>0</v>
      </c>
      <c r="L31">
        <v>0</v>
      </c>
      <c r="M31">
        <v>590344</v>
      </c>
      <c r="N31">
        <v>469043</v>
      </c>
      <c r="O31">
        <v>338596</v>
      </c>
      <c r="P31">
        <v>452863</v>
      </c>
      <c r="Q31">
        <v>693898</v>
      </c>
      <c r="R31">
        <v>788657</v>
      </c>
      <c r="S31">
        <v>853409</v>
      </c>
      <c r="T31">
        <v>916912</v>
      </c>
      <c r="U31">
        <v>825223</v>
      </c>
      <c r="V31">
        <v>1134615</v>
      </c>
      <c r="W31">
        <v>1220154</v>
      </c>
      <c r="X31">
        <v>1540876</v>
      </c>
      <c r="Y31">
        <v>1672126</v>
      </c>
      <c r="Z31">
        <v>1931239</v>
      </c>
      <c r="AA31">
        <v>1619615</v>
      </c>
      <c r="AB31">
        <v>1859000</v>
      </c>
      <c r="AC31">
        <v>1655000</v>
      </c>
      <c r="AD31">
        <v>1489000</v>
      </c>
      <c r="AE31">
        <v>1511000</v>
      </c>
      <c r="AF31">
        <v>1565000</v>
      </c>
      <c r="AG31">
        <v>1624000</v>
      </c>
      <c r="AH31">
        <v>2017000</v>
      </c>
      <c r="AI31">
        <v>2860000</v>
      </c>
      <c r="AJ31">
        <v>2681000</v>
      </c>
      <c r="AK31">
        <v>3131000</v>
      </c>
      <c r="AL31">
        <v>3530000</v>
      </c>
      <c r="AM31">
        <v>3841000</v>
      </c>
      <c r="AN31">
        <v>3874000</v>
      </c>
      <c r="AO31">
        <v>3808000</v>
      </c>
      <c r="AP31">
        <v>3938000</v>
      </c>
      <c r="AQ31">
        <v>3882000</v>
      </c>
      <c r="AR31">
        <v>3259000</v>
      </c>
      <c r="AS31">
        <v>3012000</v>
      </c>
      <c r="AT31">
        <v>3519000</v>
      </c>
      <c r="AU31">
        <v>3100000</v>
      </c>
      <c r="AV31">
        <v>2988000</v>
      </c>
    </row>
    <row r="32" spans="1:48">
      <c r="A32">
        <v>1</v>
      </c>
      <c r="B32">
        <v>31</v>
      </c>
      <c r="C32" t="s">
        <v>18</v>
      </c>
      <c r="D32" t="s">
        <v>200</v>
      </c>
      <c r="E32" t="s">
        <v>173</v>
      </c>
      <c r="F32" t="s">
        <v>37</v>
      </c>
      <c r="G32" t="s">
        <v>64</v>
      </c>
      <c r="H32" t="s">
        <v>94</v>
      </c>
      <c r="I32">
        <v>0</v>
      </c>
      <c r="J32">
        <v>0</v>
      </c>
      <c r="K32">
        <v>0</v>
      </c>
      <c r="L32">
        <v>0</v>
      </c>
      <c r="M32">
        <v>3132454</v>
      </c>
      <c r="N32">
        <v>3344552</v>
      </c>
      <c r="O32">
        <v>3187550</v>
      </c>
      <c r="P32">
        <v>3547616</v>
      </c>
      <c r="Q32">
        <v>3721518</v>
      </c>
      <c r="R32">
        <v>4106564</v>
      </c>
      <c r="S32">
        <v>4433888</v>
      </c>
      <c r="T32">
        <v>4602744</v>
      </c>
      <c r="U32">
        <v>5071888</v>
      </c>
      <c r="V32">
        <v>5487730</v>
      </c>
      <c r="W32">
        <v>6013546</v>
      </c>
      <c r="X32">
        <v>6643019</v>
      </c>
      <c r="Y32">
        <v>7640598</v>
      </c>
      <c r="Z32">
        <v>8117693</v>
      </c>
      <c r="AA32">
        <v>8526337</v>
      </c>
      <c r="AB32">
        <v>8161000</v>
      </c>
      <c r="AC32">
        <v>8480000</v>
      </c>
      <c r="AD32">
        <v>8649000</v>
      </c>
      <c r="AE32">
        <v>9111000</v>
      </c>
      <c r="AF32">
        <v>9155000</v>
      </c>
      <c r="AG32">
        <v>8947000</v>
      </c>
      <c r="AH32">
        <v>11958000</v>
      </c>
      <c r="AI32">
        <v>13678000</v>
      </c>
      <c r="AJ32">
        <v>20662000</v>
      </c>
      <c r="AK32">
        <v>13612000</v>
      </c>
      <c r="AL32">
        <v>15277000</v>
      </c>
      <c r="AM32">
        <v>14164000</v>
      </c>
      <c r="AN32">
        <v>14222000</v>
      </c>
      <c r="AO32">
        <v>15591000</v>
      </c>
      <c r="AP32">
        <v>16861000</v>
      </c>
      <c r="AQ32">
        <v>17549000</v>
      </c>
      <c r="AR32">
        <v>18094000</v>
      </c>
      <c r="AS32">
        <v>18713000</v>
      </c>
      <c r="AT32">
        <v>17945000</v>
      </c>
      <c r="AU32">
        <v>17823000</v>
      </c>
      <c r="AV32">
        <v>17045000</v>
      </c>
    </row>
    <row r="33" spans="1:48">
      <c r="A33">
        <v>1</v>
      </c>
      <c r="B33">
        <v>32</v>
      </c>
      <c r="C33" t="s">
        <v>18</v>
      </c>
      <c r="D33" t="s">
        <v>199</v>
      </c>
      <c r="E33" t="s">
        <v>173</v>
      </c>
      <c r="F33" t="s">
        <v>37</v>
      </c>
      <c r="G33" t="s">
        <v>64</v>
      </c>
      <c r="H33" t="s">
        <v>99</v>
      </c>
      <c r="I33">
        <v>0</v>
      </c>
      <c r="J33">
        <v>0</v>
      </c>
      <c r="K33">
        <v>0</v>
      </c>
      <c r="L33">
        <v>0</v>
      </c>
      <c r="M33">
        <v>2444</v>
      </c>
      <c r="N33">
        <v>62</v>
      </c>
      <c r="O33">
        <v>0</v>
      </c>
      <c r="P33">
        <v>5095</v>
      </c>
      <c r="Q33">
        <v>10730</v>
      </c>
      <c r="R33">
        <v>11880</v>
      </c>
      <c r="S33">
        <v>22652</v>
      </c>
      <c r="T33">
        <v>21767</v>
      </c>
      <c r="U33">
        <v>30581</v>
      </c>
      <c r="V33">
        <v>27312</v>
      </c>
      <c r="W33">
        <v>25688</v>
      </c>
      <c r="X33">
        <v>35000</v>
      </c>
      <c r="Y33">
        <v>36513</v>
      </c>
      <c r="Z33">
        <v>37750</v>
      </c>
      <c r="AA33">
        <v>39981</v>
      </c>
      <c r="AB33">
        <v>63000</v>
      </c>
      <c r="AC33">
        <v>56000</v>
      </c>
      <c r="AD33">
        <v>31000</v>
      </c>
      <c r="AE33">
        <v>32000</v>
      </c>
      <c r="AF33">
        <v>21000</v>
      </c>
      <c r="AG33">
        <v>9000</v>
      </c>
      <c r="AH33">
        <v>1000</v>
      </c>
      <c r="AI33">
        <v>0</v>
      </c>
      <c r="AJ33">
        <v>0</v>
      </c>
      <c r="AK33">
        <v>0</v>
      </c>
      <c r="AL33">
        <v>0</v>
      </c>
      <c r="AM33">
        <v>0</v>
      </c>
      <c r="AN33">
        <v>0</v>
      </c>
      <c r="AO33">
        <v>0</v>
      </c>
      <c r="AP33">
        <v>110000</v>
      </c>
      <c r="AQ33">
        <v>128000</v>
      </c>
      <c r="AR33">
        <v>121000</v>
      </c>
      <c r="AS33">
        <v>113000</v>
      </c>
      <c r="AT33">
        <v>126000</v>
      </c>
      <c r="AU33">
        <v>108000</v>
      </c>
      <c r="AV33">
        <v>100000</v>
      </c>
    </row>
    <row r="34" spans="1:48">
      <c r="A34">
        <v>1</v>
      </c>
      <c r="B34">
        <v>33</v>
      </c>
      <c r="C34" t="s">
        <v>18</v>
      </c>
      <c r="D34" t="s">
        <v>200</v>
      </c>
      <c r="E34" t="s">
        <v>173</v>
      </c>
      <c r="F34" t="s">
        <v>37</v>
      </c>
      <c r="G34" t="s">
        <v>64</v>
      </c>
      <c r="H34" t="s">
        <v>99</v>
      </c>
      <c r="I34">
        <v>0</v>
      </c>
      <c r="J34">
        <v>0</v>
      </c>
      <c r="K34">
        <v>0</v>
      </c>
      <c r="L34">
        <v>0</v>
      </c>
      <c r="M34">
        <v>2226374</v>
      </c>
      <c r="N34">
        <v>2380553</v>
      </c>
      <c r="O34">
        <v>2687267</v>
      </c>
      <c r="P34">
        <v>2963728</v>
      </c>
      <c r="Q34">
        <v>2999653</v>
      </c>
      <c r="R34">
        <v>3188920</v>
      </c>
      <c r="S34">
        <v>3941545</v>
      </c>
      <c r="T34">
        <v>3439007</v>
      </c>
      <c r="U34">
        <v>3080313</v>
      </c>
      <c r="V34">
        <v>2888700</v>
      </c>
      <c r="W34">
        <v>3125473</v>
      </c>
      <c r="X34">
        <v>3112732</v>
      </c>
      <c r="Y34">
        <v>3392489</v>
      </c>
      <c r="Z34">
        <v>3385221</v>
      </c>
      <c r="AA34">
        <v>3607520</v>
      </c>
      <c r="AB34">
        <v>3669000</v>
      </c>
      <c r="AC34">
        <v>3404000</v>
      </c>
      <c r="AD34">
        <v>3523000</v>
      </c>
      <c r="AE34">
        <v>3486000</v>
      </c>
      <c r="AF34">
        <v>3525000</v>
      </c>
      <c r="AG34">
        <v>4385000</v>
      </c>
      <c r="AH34">
        <v>4400000</v>
      </c>
      <c r="AI34">
        <v>5041000</v>
      </c>
      <c r="AJ34">
        <v>5907000</v>
      </c>
      <c r="AK34">
        <v>6898000</v>
      </c>
      <c r="AL34">
        <v>6439000</v>
      </c>
      <c r="AM34">
        <v>6688000</v>
      </c>
      <c r="AN34">
        <v>7695000</v>
      </c>
      <c r="AO34">
        <v>8121000</v>
      </c>
      <c r="AP34">
        <v>8983000</v>
      </c>
      <c r="AQ34">
        <v>9223000</v>
      </c>
      <c r="AR34">
        <v>10238000</v>
      </c>
      <c r="AS34">
        <v>9537000</v>
      </c>
      <c r="AT34">
        <v>9648000</v>
      </c>
      <c r="AU34">
        <v>9674000</v>
      </c>
      <c r="AV34">
        <v>9894000</v>
      </c>
    </row>
    <row r="35" spans="1:48">
      <c r="A35">
        <v>1</v>
      </c>
      <c r="B35">
        <v>34</v>
      </c>
      <c r="C35" t="s">
        <v>18</v>
      </c>
      <c r="D35" t="s">
        <v>200</v>
      </c>
      <c r="E35" t="s">
        <v>173</v>
      </c>
      <c r="F35" t="s">
        <v>37</v>
      </c>
      <c r="G35" t="s">
        <v>64</v>
      </c>
      <c r="H35" t="s">
        <v>96</v>
      </c>
      <c r="I35">
        <v>0</v>
      </c>
      <c r="J35">
        <v>0</v>
      </c>
      <c r="K35">
        <v>0</v>
      </c>
      <c r="L35" t="s">
        <v>207</v>
      </c>
      <c r="M35">
        <v>2533518</v>
      </c>
      <c r="N35">
        <v>3844730</v>
      </c>
      <c r="O35">
        <v>2251811</v>
      </c>
      <c r="P35">
        <v>1290584</v>
      </c>
      <c r="Q35">
        <v>1640139</v>
      </c>
      <c r="R35">
        <v>1159749</v>
      </c>
      <c r="S35">
        <v>1002062</v>
      </c>
      <c r="T35">
        <v>920616</v>
      </c>
      <c r="U35">
        <v>676881</v>
      </c>
      <c r="V35">
        <v>719509</v>
      </c>
      <c r="W35">
        <v>658274</v>
      </c>
      <c r="X35">
        <v>913181</v>
      </c>
      <c r="Y35">
        <v>1009363</v>
      </c>
      <c r="Z35">
        <v>430169</v>
      </c>
      <c r="AA35">
        <v>1313469</v>
      </c>
      <c r="AB35">
        <v>1134000</v>
      </c>
      <c r="AC35">
        <v>1081000</v>
      </c>
      <c r="AD35">
        <v>1190000</v>
      </c>
      <c r="AE35">
        <v>1117000</v>
      </c>
      <c r="AF35">
        <v>473000</v>
      </c>
      <c r="AG35">
        <v>758000</v>
      </c>
      <c r="AH35">
        <v>784000</v>
      </c>
      <c r="AI35">
        <v>1500000</v>
      </c>
      <c r="AJ35">
        <v>-1320000</v>
      </c>
      <c r="AK35">
        <v>1745000</v>
      </c>
      <c r="AL35">
        <v>1651000</v>
      </c>
      <c r="AM35">
        <v>1640000</v>
      </c>
      <c r="AN35">
        <v>1758000</v>
      </c>
      <c r="AO35">
        <v>1761000</v>
      </c>
      <c r="AP35">
        <v>2127000</v>
      </c>
      <c r="AQ35">
        <v>2911000</v>
      </c>
      <c r="AR35">
        <v>2460000</v>
      </c>
      <c r="AS35">
        <v>2374000</v>
      </c>
      <c r="AT35">
        <v>2026000</v>
      </c>
      <c r="AU35">
        <v>555000</v>
      </c>
      <c r="AV35">
        <v>546000</v>
      </c>
    </row>
    <row r="36" spans="1:48">
      <c r="A36">
        <v>1</v>
      </c>
      <c r="B36">
        <v>35</v>
      </c>
      <c r="C36" t="s">
        <v>18</v>
      </c>
      <c r="D36" t="s">
        <v>199</v>
      </c>
      <c r="E36" t="s">
        <v>173</v>
      </c>
      <c r="F36" t="s">
        <v>37</v>
      </c>
      <c r="G36" t="s">
        <v>64</v>
      </c>
      <c r="H36" t="s">
        <v>98</v>
      </c>
      <c r="I36">
        <v>0</v>
      </c>
      <c r="J36">
        <v>0</v>
      </c>
      <c r="K36">
        <v>0</v>
      </c>
      <c r="L36">
        <v>0</v>
      </c>
      <c r="M36">
        <v>2593</v>
      </c>
      <c r="N36">
        <v>2838</v>
      </c>
      <c r="O36">
        <v>1508</v>
      </c>
      <c r="P36">
        <v>3000</v>
      </c>
      <c r="Q36">
        <v>3400</v>
      </c>
      <c r="R36">
        <v>3826</v>
      </c>
      <c r="S36">
        <v>4300</v>
      </c>
      <c r="T36">
        <v>4500</v>
      </c>
      <c r="U36">
        <v>2511</v>
      </c>
      <c r="V36">
        <v>4300</v>
      </c>
      <c r="W36">
        <v>4388</v>
      </c>
      <c r="X36">
        <v>4723</v>
      </c>
      <c r="Y36">
        <v>5953</v>
      </c>
      <c r="Z36">
        <v>7087</v>
      </c>
      <c r="AA36">
        <v>10459</v>
      </c>
      <c r="AB36">
        <v>15000</v>
      </c>
      <c r="AC36">
        <v>17000</v>
      </c>
      <c r="AD36">
        <v>18000</v>
      </c>
      <c r="AE36">
        <v>19000</v>
      </c>
      <c r="AF36">
        <v>21000</v>
      </c>
      <c r="AG36">
        <v>21000</v>
      </c>
      <c r="AH36">
        <v>24000</v>
      </c>
      <c r="AI36">
        <v>31000</v>
      </c>
      <c r="AJ36">
        <v>31000</v>
      </c>
      <c r="AK36">
        <v>27000</v>
      </c>
      <c r="AL36">
        <v>19000</v>
      </c>
      <c r="AM36">
        <v>19000</v>
      </c>
      <c r="AN36">
        <v>19000</v>
      </c>
      <c r="AO36">
        <v>23000</v>
      </c>
      <c r="AP36">
        <v>35000</v>
      </c>
      <c r="AQ36">
        <v>30000</v>
      </c>
      <c r="AR36">
        <v>35000</v>
      </c>
      <c r="AS36">
        <v>30000</v>
      </c>
      <c r="AT36">
        <v>38000</v>
      </c>
      <c r="AU36">
        <v>48000</v>
      </c>
      <c r="AV36">
        <v>50000</v>
      </c>
    </row>
    <row r="37" spans="1:48">
      <c r="A37">
        <v>1</v>
      </c>
      <c r="B37">
        <v>36</v>
      </c>
      <c r="C37" t="s">
        <v>18</v>
      </c>
      <c r="D37" t="s">
        <v>200</v>
      </c>
      <c r="E37" t="s">
        <v>173</v>
      </c>
      <c r="F37" t="s">
        <v>37</v>
      </c>
      <c r="G37" t="s">
        <v>64</v>
      </c>
      <c r="H37" t="s">
        <v>98</v>
      </c>
      <c r="I37">
        <v>0</v>
      </c>
      <c r="J37">
        <v>0</v>
      </c>
      <c r="K37">
        <v>0</v>
      </c>
      <c r="L37">
        <v>0</v>
      </c>
      <c r="M37">
        <v>100911</v>
      </c>
      <c r="N37">
        <v>107467</v>
      </c>
      <c r="O37">
        <v>88818</v>
      </c>
      <c r="P37">
        <v>96495</v>
      </c>
      <c r="Q37">
        <v>81445</v>
      </c>
      <c r="R37">
        <v>132704</v>
      </c>
      <c r="S37">
        <v>131299</v>
      </c>
      <c r="T37">
        <v>86570</v>
      </c>
      <c r="U37">
        <v>113443</v>
      </c>
      <c r="V37">
        <v>120179</v>
      </c>
      <c r="W37">
        <v>142074</v>
      </c>
      <c r="X37">
        <v>217813</v>
      </c>
      <c r="Y37">
        <v>237665</v>
      </c>
      <c r="Z37">
        <v>274300</v>
      </c>
      <c r="AA37">
        <v>322302</v>
      </c>
      <c r="AB37">
        <v>286000</v>
      </c>
      <c r="AC37">
        <v>303000</v>
      </c>
      <c r="AD37">
        <v>262000</v>
      </c>
      <c r="AE37">
        <v>180000</v>
      </c>
      <c r="AF37">
        <v>193000</v>
      </c>
      <c r="AG37">
        <v>169000</v>
      </c>
      <c r="AH37">
        <v>242000</v>
      </c>
      <c r="AI37">
        <v>64000</v>
      </c>
      <c r="AJ37">
        <v>297000</v>
      </c>
      <c r="AK37">
        <v>214000</v>
      </c>
      <c r="AL37">
        <v>312000</v>
      </c>
      <c r="AM37">
        <v>323000</v>
      </c>
      <c r="AN37">
        <v>277000</v>
      </c>
      <c r="AO37">
        <v>95000</v>
      </c>
      <c r="AP37">
        <v>259000</v>
      </c>
      <c r="AQ37">
        <v>376000</v>
      </c>
      <c r="AR37">
        <v>317000</v>
      </c>
      <c r="AS37">
        <v>306000</v>
      </c>
      <c r="AT37">
        <v>392000</v>
      </c>
      <c r="AU37">
        <v>358000</v>
      </c>
      <c r="AV37">
        <v>330000</v>
      </c>
    </row>
    <row r="38" spans="1:48">
      <c r="A38">
        <v>1</v>
      </c>
      <c r="B38">
        <v>37</v>
      </c>
      <c r="C38" t="s">
        <v>18</v>
      </c>
      <c r="D38" t="s">
        <v>200</v>
      </c>
      <c r="E38" t="s">
        <v>179</v>
      </c>
      <c r="F38" t="s">
        <v>159</v>
      </c>
      <c r="G38" t="s">
        <v>49</v>
      </c>
      <c r="H38">
        <v>0</v>
      </c>
      <c r="I38">
        <v>0</v>
      </c>
      <c r="J38">
        <v>0</v>
      </c>
      <c r="K38">
        <v>0</v>
      </c>
      <c r="L38" t="s">
        <v>208</v>
      </c>
      <c r="M38">
        <v>9815301</v>
      </c>
      <c r="N38">
        <v>14710647</v>
      </c>
      <c r="O38">
        <v>13209335</v>
      </c>
      <c r="P38">
        <v>9031019</v>
      </c>
      <c r="Q38">
        <v>6705508</v>
      </c>
      <c r="R38">
        <v>5219980</v>
      </c>
      <c r="S38">
        <v>4273601</v>
      </c>
      <c r="T38">
        <v>3729181</v>
      </c>
      <c r="U38">
        <v>1936031</v>
      </c>
      <c r="V38">
        <v>2379775</v>
      </c>
      <c r="W38">
        <v>2977794</v>
      </c>
      <c r="X38">
        <v>2085801</v>
      </c>
      <c r="Y38">
        <v>4146112</v>
      </c>
      <c r="Z38">
        <v>4002648</v>
      </c>
      <c r="AA38">
        <v>4921531</v>
      </c>
      <c r="AB38">
        <v>4654000</v>
      </c>
      <c r="AC38">
        <v>2465000</v>
      </c>
      <c r="AD38">
        <v>1147000</v>
      </c>
      <c r="AE38">
        <v>931000</v>
      </c>
      <c r="AF38">
        <v>500000</v>
      </c>
      <c r="AG38">
        <v>-1154000</v>
      </c>
      <c r="AH38">
        <v>-475000</v>
      </c>
      <c r="AI38">
        <v>-50000</v>
      </c>
      <c r="AJ38">
        <v>-1312000</v>
      </c>
      <c r="AK38">
        <v>-755000</v>
      </c>
      <c r="AL38">
        <v>-196000</v>
      </c>
      <c r="AM38">
        <v>134000</v>
      </c>
      <c r="AN38">
        <v>-1519000</v>
      </c>
      <c r="AO38">
        <v>107000</v>
      </c>
      <c r="AP38">
        <v>3756000</v>
      </c>
      <c r="AQ38">
        <v>8962000</v>
      </c>
      <c r="AR38">
        <v>7046000</v>
      </c>
      <c r="AS38">
        <v>10635000</v>
      </c>
      <c r="AT38">
        <v>10106000</v>
      </c>
      <c r="AU38">
        <v>4511000</v>
      </c>
      <c r="AV38">
        <v>6261000</v>
      </c>
    </row>
    <row r="39" spans="1:48">
      <c r="A39">
        <v>1</v>
      </c>
      <c r="B39">
        <v>38</v>
      </c>
      <c r="C39" t="s">
        <v>18</v>
      </c>
      <c r="D39" t="s">
        <v>199</v>
      </c>
      <c r="E39" t="s">
        <v>173</v>
      </c>
      <c r="F39" t="s">
        <v>37</v>
      </c>
      <c r="G39" t="s">
        <v>70</v>
      </c>
      <c r="H39">
        <v>0</v>
      </c>
      <c r="I39">
        <v>0</v>
      </c>
      <c r="J39">
        <v>0</v>
      </c>
      <c r="K39">
        <v>0</v>
      </c>
      <c r="L39">
        <v>0</v>
      </c>
      <c r="M39">
        <v>6105652</v>
      </c>
      <c r="N39">
        <v>5855635</v>
      </c>
      <c r="O39">
        <v>5265722</v>
      </c>
      <c r="P39">
        <v>4775988</v>
      </c>
      <c r="Q39">
        <v>4940586</v>
      </c>
      <c r="R39">
        <v>5041418</v>
      </c>
      <c r="S39">
        <v>4562493</v>
      </c>
      <c r="T39">
        <v>4033246</v>
      </c>
      <c r="U39">
        <v>4093463</v>
      </c>
      <c r="V39">
        <v>3941357</v>
      </c>
      <c r="W39">
        <v>3780221</v>
      </c>
      <c r="X39">
        <v>3777043</v>
      </c>
      <c r="Y39">
        <v>3910250</v>
      </c>
      <c r="Z39">
        <v>3828125</v>
      </c>
      <c r="AA39">
        <v>4590796</v>
      </c>
      <c r="AB39">
        <v>5458000</v>
      </c>
      <c r="AC39">
        <v>5953000</v>
      </c>
      <c r="AD39">
        <v>6012000</v>
      </c>
      <c r="AE39">
        <v>5904000</v>
      </c>
      <c r="AF39">
        <v>6067000</v>
      </c>
      <c r="AG39">
        <v>6226000</v>
      </c>
      <c r="AH39">
        <v>6475000</v>
      </c>
      <c r="AI39">
        <v>7045000</v>
      </c>
      <c r="AJ39">
        <v>7221000</v>
      </c>
      <c r="AK39">
        <v>7114000</v>
      </c>
      <c r="AL39">
        <v>6626000</v>
      </c>
      <c r="AM39">
        <v>6554000</v>
      </c>
      <c r="AN39">
        <v>12386000</v>
      </c>
      <c r="AO39">
        <v>10591000</v>
      </c>
      <c r="AP39">
        <v>8300000</v>
      </c>
      <c r="AQ39">
        <v>10425000</v>
      </c>
      <c r="AR39">
        <v>10479000</v>
      </c>
      <c r="AS39">
        <v>10052000</v>
      </c>
      <c r="AT39">
        <v>8983000</v>
      </c>
      <c r="AU39">
        <v>8473000</v>
      </c>
      <c r="AV39">
        <v>8433000</v>
      </c>
    </row>
    <row r="40" spans="1:48">
      <c r="A40">
        <v>1</v>
      </c>
      <c r="B40">
        <v>39</v>
      </c>
      <c r="C40" t="s">
        <v>18</v>
      </c>
      <c r="D40" t="s">
        <v>200</v>
      </c>
      <c r="E40" t="s">
        <v>173</v>
      </c>
      <c r="F40" t="s">
        <v>37</v>
      </c>
      <c r="G40" t="s">
        <v>70</v>
      </c>
      <c r="H40">
        <v>0</v>
      </c>
      <c r="I40">
        <v>0</v>
      </c>
      <c r="J40">
        <v>0</v>
      </c>
      <c r="K40">
        <v>0</v>
      </c>
      <c r="L40">
        <v>0</v>
      </c>
      <c r="M40">
        <v>2945421</v>
      </c>
      <c r="N40">
        <v>2870788</v>
      </c>
      <c r="O40">
        <v>2991174</v>
      </c>
      <c r="P40">
        <v>2628995</v>
      </c>
      <c r="Q40">
        <v>2447387</v>
      </c>
      <c r="R40">
        <v>2529110</v>
      </c>
      <c r="S40">
        <v>2132617</v>
      </c>
      <c r="T40">
        <v>1132338</v>
      </c>
      <c r="U40">
        <v>1332699</v>
      </c>
      <c r="V40">
        <v>1551786</v>
      </c>
      <c r="W40">
        <v>2553954</v>
      </c>
      <c r="X40">
        <v>2403673</v>
      </c>
      <c r="Y40">
        <v>1953952</v>
      </c>
      <c r="Z40">
        <v>2250369</v>
      </c>
      <c r="AA40">
        <v>1708969</v>
      </c>
      <c r="AB40">
        <v>1799000</v>
      </c>
      <c r="AC40">
        <v>1527000</v>
      </c>
      <c r="AD40">
        <v>1579000</v>
      </c>
      <c r="AE40">
        <v>1641000</v>
      </c>
      <c r="AF40">
        <v>1325000</v>
      </c>
      <c r="AG40">
        <v>1752000</v>
      </c>
      <c r="AH40">
        <v>1464000</v>
      </c>
      <c r="AI40">
        <v>1583000</v>
      </c>
      <c r="AJ40">
        <v>1520000</v>
      </c>
      <c r="AK40">
        <v>1404000</v>
      </c>
      <c r="AL40">
        <v>1980000</v>
      </c>
      <c r="AM40">
        <v>1871000</v>
      </c>
      <c r="AN40">
        <v>1962000</v>
      </c>
      <c r="AO40">
        <v>2191000</v>
      </c>
      <c r="AP40">
        <v>2640000</v>
      </c>
      <c r="AQ40">
        <v>2725000</v>
      </c>
      <c r="AR40">
        <v>3176000</v>
      </c>
      <c r="AS40">
        <v>3141000</v>
      </c>
      <c r="AT40">
        <v>371000</v>
      </c>
      <c r="AU40">
        <v>2450000</v>
      </c>
      <c r="AV40">
        <v>3245000</v>
      </c>
    </row>
    <row r="41" spans="1:48">
      <c r="A41">
        <v>1</v>
      </c>
      <c r="B41">
        <v>40</v>
      </c>
      <c r="C41" t="s">
        <v>18</v>
      </c>
      <c r="D41" t="s">
        <v>199</v>
      </c>
      <c r="E41" t="s">
        <v>181</v>
      </c>
      <c r="F41" t="s">
        <v>28</v>
      </c>
      <c r="G41" t="s">
        <v>32</v>
      </c>
      <c r="H41">
        <v>0</v>
      </c>
      <c r="I41">
        <v>0</v>
      </c>
      <c r="J41">
        <v>0</v>
      </c>
      <c r="K41">
        <v>0</v>
      </c>
      <c r="L41">
        <v>0</v>
      </c>
      <c r="M41">
        <v>380785</v>
      </c>
      <c r="N41">
        <v>268480</v>
      </c>
      <c r="O41">
        <v>113423</v>
      </c>
      <c r="P41">
        <v>186277</v>
      </c>
      <c r="Q41">
        <v>216383</v>
      </c>
      <c r="R41">
        <v>179550</v>
      </c>
      <c r="S41">
        <v>298341</v>
      </c>
      <c r="T41">
        <v>201424</v>
      </c>
      <c r="U41">
        <v>173032</v>
      </c>
      <c r="V41">
        <v>132386</v>
      </c>
      <c r="W41">
        <v>1184378</v>
      </c>
      <c r="X41">
        <v>496093</v>
      </c>
      <c r="Y41">
        <v>628678</v>
      </c>
      <c r="Z41">
        <v>1837475</v>
      </c>
      <c r="AA41">
        <v>3197749</v>
      </c>
      <c r="AB41">
        <v>1772000</v>
      </c>
      <c r="AC41">
        <v>1897000</v>
      </c>
      <c r="AD41">
        <v>2149000</v>
      </c>
      <c r="AE41">
        <v>1749000</v>
      </c>
      <c r="AF41">
        <v>3265000</v>
      </c>
      <c r="AG41">
        <v>2439000</v>
      </c>
      <c r="AH41">
        <v>3010000</v>
      </c>
      <c r="AI41">
        <v>3456000</v>
      </c>
      <c r="AJ41">
        <v>7861000</v>
      </c>
      <c r="AK41">
        <v>5490000</v>
      </c>
      <c r="AL41">
        <v>13541000</v>
      </c>
      <c r="AM41">
        <v>14731000</v>
      </c>
      <c r="AN41">
        <v>8267000</v>
      </c>
      <c r="AO41">
        <v>8630000</v>
      </c>
      <c r="AP41">
        <v>9094000</v>
      </c>
      <c r="AQ41">
        <v>8483000</v>
      </c>
      <c r="AR41">
        <v>9523000</v>
      </c>
      <c r="AS41">
        <v>10206000</v>
      </c>
      <c r="AT41">
        <v>7798000</v>
      </c>
      <c r="AU41">
        <v>4759000</v>
      </c>
      <c r="AV41">
        <v>5924000</v>
      </c>
    </row>
    <row r="42" spans="1:48">
      <c r="A42">
        <v>1</v>
      </c>
      <c r="B42">
        <v>41</v>
      </c>
      <c r="C42" t="s">
        <v>18</v>
      </c>
      <c r="D42" t="s">
        <v>200</v>
      </c>
      <c r="E42" t="s">
        <v>181</v>
      </c>
      <c r="F42" t="s">
        <v>28</v>
      </c>
      <c r="G42" t="s">
        <v>32</v>
      </c>
      <c r="H42">
        <v>0</v>
      </c>
      <c r="I42">
        <v>0</v>
      </c>
      <c r="J42">
        <v>0</v>
      </c>
      <c r="K42">
        <v>0</v>
      </c>
      <c r="L42">
        <v>0</v>
      </c>
      <c r="M42">
        <v>1661795</v>
      </c>
      <c r="N42">
        <v>1411110</v>
      </c>
      <c r="O42">
        <v>-215236</v>
      </c>
      <c r="P42">
        <v>-187741</v>
      </c>
      <c r="Q42">
        <v>-97809</v>
      </c>
      <c r="R42">
        <v>-214268</v>
      </c>
      <c r="S42">
        <v>117313</v>
      </c>
      <c r="T42">
        <v>-430071</v>
      </c>
      <c r="U42">
        <v>-403155</v>
      </c>
      <c r="V42">
        <v>-358219</v>
      </c>
      <c r="W42">
        <v>914024</v>
      </c>
      <c r="X42">
        <v>26202</v>
      </c>
      <c r="Y42">
        <v>247714</v>
      </c>
      <c r="Z42">
        <v>1086709</v>
      </c>
      <c r="AA42">
        <v>952714</v>
      </c>
      <c r="AB42">
        <v>1507000</v>
      </c>
      <c r="AC42">
        <v>1257000</v>
      </c>
      <c r="AD42">
        <v>1197000</v>
      </c>
      <c r="AE42">
        <v>392000</v>
      </c>
      <c r="AF42">
        <v>1157000</v>
      </c>
      <c r="AG42">
        <v>166000</v>
      </c>
      <c r="AH42">
        <v>816000</v>
      </c>
      <c r="AI42">
        <v>894000</v>
      </c>
      <c r="AJ42">
        <v>2246000</v>
      </c>
      <c r="AK42">
        <v>1812000</v>
      </c>
      <c r="AL42">
        <v>4115000</v>
      </c>
      <c r="AM42">
        <v>31309000</v>
      </c>
      <c r="AN42">
        <v>6952000</v>
      </c>
      <c r="AO42">
        <v>2540000</v>
      </c>
      <c r="AP42">
        <v>7642000</v>
      </c>
      <c r="AQ42">
        <v>2261000</v>
      </c>
      <c r="AR42">
        <v>705000</v>
      </c>
      <c r="AS42">
        <v>1733000</v>
      </c>
      <c r="AT42">
        <v>15184000</v>
      </c>
      <c r="AU42">
        <v>4988000</v>
      </c>
      <c r="AV42">
        <v>3068000</v>
      </c>
    </row>
    <row r="43" spans="1:48">
      <c r="A43">
        <v>1</v>
      </c>
      <c r="B43">
        <v>42</v>
      </c>
      <c r="C43" t="s">
        <v>18</v>
      </c>
      <c r="D43" t="s">
        <v>199</v>
      </c>
      <c r="E43" t="s">
        <v>179</v>
      </c>
      <c r="F43" t="s">
        <v>209</v>
      </c>
      <c r="G43" t="s">
        <v>47</v>
      </c>
      <c r="H43">
        <v>0</v>
      </c>
      <c r="I43">
        <v>0</v>
      </c>
      <c r="J43">
        <v>0</v>
      </c>
      <c r="K43">
        <v>0</v>
      </c>
      <c r="L43">
        <v>0</v>
      </c>
      <c r="M43">
        <v>854115</v>
      </c>
      <c r="N43">
        <v>722908</v>
      </c>
      <c r="O43">
        <v>801905</v>
      </c>
      <c r="P43">
        <v>705018</v>
      </c>
      <c r="Q43">
        <v>718696</v>
      </c>
      <c r="R43">
        <v>633144</v>
      </c>
      <c r="S43">
        <v>1007771</v>
      </c>
      <c r="T43">
        <v>1224966</v>
      </c>
      <c r="U43">
        <v>1261076</v>
      </c>
      <c r="V43">
        <v>824083</v>
      </c>
      <c r="W43">
        <v>1287089</v>
      </c>
      <c r="X43">
        <v>1037506</v>
      </c>
      <c r="Y43">
        <v>1019814</v>
      </c>
      <c r="Z43">
        <v>1133120</v>
      </c>
      <c r="AA43">
        <v>1292212</v>
      </c>
      <c r="AB43">
        <v>1449000</v>
      </c>
      <c r="AC43">
        <v>1323000</v>
      </c>
      <c r="AD43">
        <v>1382000</v>
      </c>
      <c r="AE43">
        <v>1425000</v>
      </c>
      <c r="AF43">
        <v>1338000</v>
      </c>
      <c r="AG43">
        <v>1448000</v>
      </c>
      <c r="AH43">
        <v>1651000</v>
      </c>
      <c r="AI43">
        <v>1742000</v>
      </c>
      <c r="AJ43">
        <v>1908000</v>
      </c>
      <c r="AK43">
        <v>1909000</v>
      </c>
      <c r="AL43">
        <v>1930000</v>
      </c>
      <c r="AM43">
        <v>1958000</v>
      </c>
      <c r="AN43">
        <v>1927000</v>
      </c>
      <c r="AO43">
        <v>1871000</v>
      </c>
      <c r="AP43">
        <v>2005000</v>
      </c>
      <c r="AQ43">
        <v>1989000</v>
      </c>
      <c r="AR43">
        <v>1946000</v>
      </c>
      <c r="AS43">
        <v>1846000</v>
      </c>
      <c r="AT43">
        <v>1768000</v>
      </c>
      <c r="AU43">
        <v>1665000</v>
      </c>
      <c r="AV43">
        <v>1637000</v>
      </c>
    </row>
    <row r="44" spans="1:48">
      <c r="A44">
        <v>1</v>
      </c>
      <c r="B44">
        <v>43</v>
      </c>
      <c r="C44" t="s">
        <v>18</v>
      </c>
      <c r="D44" t="s">
        <v>200</v>
      </c>
      <c r="E44" t="s">
        <v>179</v>
      </c>
      <c r="F44" t="s">
        <v>209</v>
      </c>
      <c r="G44" t="s">
        <v>47</v>
      </c>
      <c r="H44">
        <v>0</v>
      </c>
      <c r="I44">
        <v>0</v>
      </c>
      <c r="J44">
        <v>0</v>
      </c>
      <c r="K44">
        <v>0</v>
      </c>
      <c r="L44">
        <v>0</v>
      </c>
      <c r="M44">
        <v>10288</v>
      </c>
      <c r="N44">
        <v>5520</v>
      </c>
      <c r="O44">
        <v>15639</v>
      </c>
      <c r="P44">
        <v>12551</v>
      </c>
      <c r="Q44">
        <v>23841</v>
      </c>
      <c r="R44">
        <v>25170</v>
      </c>
      <c r="S44">
        <v>26792</v>
      </c>
      <c r="T44">
        <v>5561</v>
      </c>
      <c r="U44">
        <v>14724</v>
      </c>
      <c r="V44">
        <v>17953</v>
      </c>
      <c r="W44">
        <v>19596</v>
      </c>
      <c r="X44">
        <v>52896</v>
      </c>
      <c r="Y44">
        <v>59239</v>
      </c>
      <c r="Z44">
        <v>57329</v>
      </c>
      <c r="AA44">
        <v>48551</v>
      </c>
      <c r="AB44">
        <v>33000</v>
      </c>
      <c r="AC44">
        <v>25000</v>
      </c>
      <c r="AD44">
        <v>20000</v>
      </c>
      <c r="AE44">
        <v>26000</v>
      </c>
      <c r="AF44">
        <v>26000</v>
      </c>
      <c r="AG44">
        <v>14000</v>
      </c>
      <c r="AH44">
        <v>28000</v>
      </c>
      <c r="AI44">
        <v>36000</v>
      </c>
      <c r="AJ44">
        <v>35000</v>
      </c>
      <c r="AK44">
        <v>36000</v>
      </c>
      <c r="AL44">
        <v>37000</v>
      </c>
      <c r="AM44">
        <v>29000</v>
      </c>
      <c r="AN44">
        <v>29000</v>
      </c>
      <c r="AO44">
        <v>24000</v>
      </c>
      <c r="AP44">
        <v>29000</v>
      </c>
      <c r="AQ44">
        <v>22000</v>
      </c>
      <c r="AR44">
        <v>22000</v>
      </c>
      <c r="AS44">
        <v>20000</v>
      </c>
      <c r="AT44">
        <v>17000</v>
      </c>
      <c r="AU44">
        <v>16000</v>
      </c>
      <c r="AV44">
        <v>18000</v>
      </c>
    </row>
    <row r="45" spans="1:48">
      <c r="A45">
        <v>1</v>
      </c>
      <c r="B45">
        <v>44</v>
      </c>
      <c r="C45" t="s">
        <v>18</v>
      </c>
      <c r="D45" t="s">
        <v>199</v>
      </c>
      <c r="E45" t="s">
        <v>179</v>
      </c>
      <c r="F45" t="s">
        <v>209</v>
      </c>
      <c r="G45" t="s">
        <v>45</v>
      </c>
      <c r="H45">
        <v>0</v>
      </c>
      <c r="I45">
        <v>0</v>
      </c>
      <c r="J45">
        <v>0</v>
      </c>
      <c r="K45">
        <v>0</v>
      </c>
      <c r="L45">
        <v>0</v>
      </c>
      <c r="M45">
        <v>5591633</v>
      </c>
      <c r="N45">
        <v>5909697</v>
      </c>
      <c r="O45">
        <v>5447226</v>
      </c>
      <c r="P45">
        <v>4994838</v>
      </c>
      <c r="Q45">
        <v>5182428</v>
      </c>
      <c r="R45">
        <v>6426913</v>
      </c>
      <c r="S45">
        <v>6423797</v>
      </c>
      <c r="T45">
        <v>6007311</v>
      </c>
      <c r="U45">
        <v>6600524</v>
      </c>
      <c r="V45">
        <v>7722918</v>
      </c>
      <c r="W45">
        <v>8031494</v>
      </c>
      <c r="X45">
        <v>9415196</v>
      </c>
      <c r="Y45">
        <v>10624501</v>
      </c>
      <c r="Z45">
        <v>11568137</v>
      </c>
      <c r="AA45">
        <v>12074714</v>
      </c>
      <c r="AB45">
        <v>12233000</v>
      </c>
      <c r="AC45">
        <v>12684000</v>
      </c>
      <c r="AD45">
        <v>12838000</v>
      </c>
      <c r="AE45">
        <v>14296000</v>
      </c>
      <c r="AF45">
        <v>15350000</v>
      </c>
      <c r="AG45">
        <v>17912000</v>
      </c>
      <c r="AH45">
        <v>19682000</v>
      </c>
      <c r="AI45">
        <v>21935000</v>
      </c>
      <c r="AJ45">
        <v>27669000</v>
      </c>
      <c r="AK45">
        <v>30691000</v>
      </c>
      <c r="AL45">
        <v>34557000</v>
      </c>
      <c r="AM45">
        <v>36075000</v>
      </c>
      <c r="AN45">
        <v>35016000</v>
      </c>
      <c r="AO45">
        <v>35591000</v>
      </c>
      <c r="AP45">
        <v>49645000</v>
      </c>
      <c r="AQ45">
        <v>69746000</v>
      </c>
      <c r="AR45">
        <v>62618000</v>
      </c>
      <c r="AS45">
        <v>43661000</v>
      </c>
      <c r="AT45">
        <v>38498000</v>
      </c>
      <c r="AU45">
        <v>37261000</v>
      </c>
      <c r="AV45">
        <v>36395000</v>
      </c>
    </row>
    <row r="46" spans="1:48">
      <c r="A46">
        <v>1</v>
      </c>
      <c r="B46">
        <v>45</v>
      </c>
      <c r="C46" t="s">
        <v>18</v>
      </c>
      <c r="D46" t="s">
        <v>200</v>
      </c>
      <c r="E46" t="s">
        <v>179</v>
      </c>
      <c r="F46" t="s">
        <v>209</v>
      </c>
      <c r="G46" t="s">
        <v>45</v>
      </c>
      <c r="H46">
        <v>0</v>
      </c>
      <c r="I46">
        <v>0</v>
      </c>
      <c r="J46">
        <v>0</v>
      </c>
      <c r="K46">
        <v>0</v>
      </c>
      <c r="L46">
        <v>0</v>
      </c>
      <c r="M46">
        <v>436966</v>
      </c>
      <c r="N46">
        <v>461003</v>
      </c>
      <c r="O46">
        <v>456932</v>
      </c>
      <c r="P46">
        <v>545400</v>
      </c>
      <c r="Q46">
        <v>557669</v>
      </c>
      <c r="R46">
        <v>512673</v>
      </c>
      <c r="S46">
        <v>343175</v>
      </c>
      <c r="T46">
        <v>631277</v>
      </c>
      <c r="U46">
        <v>500772</v>
      </c>
      <c r="V46">
        <v>585090</v>
      </c>
      <c r="W46">
        <v>579728</v>
      </c>
      <c r="X46">
        <v>866231</v>
      </c>
      <c r="Y46">
        <v>698081</v>
      </c>
      <c r="Z46">
        <v>722884</v>
      </c>
      <c r="AA46">
        <v>842917</v>
      </c>
      <c r="AB46">
        <v>979000</v>
      </c>
      <c r="AC46">
        <v>839000</v>
      </c>
      <c r="AD46">
        <v>833000</v>
      </c>
      <c r="AE46">
        <v>859000</v>
      </c>
      <c r="AF46">
        <v>875000</v>
      </c>
      <c r="AG46">
        <v>1204000</v>
      </c>
      <c r="AH46">
        <v>1497000</v>
      </c>
      <c r="AI46">
        <v>2166000</v>
      </c>
      <c r="AJ46">
        <v>1861000</v>
      </c>
      <c r="AK46">
        <v>1724000</v>
      </c>
      <c r="AL46">
        <v>1747000</v>
      </c>
      <c r="AM46">
        <v>1648000</v>
      </c>
      <c r="AN46">
        <v>1455000</v>
      </c>
      <c r="AO46">
        <v>1432000</v>
      </c>
      <c r="AP46">
        <v>1527000</v>
      </c>
      <c r="AQ46">
        <v>1504000</v>
      </c>
      <c r="AR46">
        <v>1890000</v>
      </c>
      <c r="AS46">
        <v>1965000</v>
      </c>
      <c r="AT46">
        <v>2124000</v>
      </c>
      <c r="AU46">
        <v>1871000</v>
      </c>
      <c r="AV46">
        <v>1972000</v>
      </c>
    </row>
    <row r="47" spans="1:48">
      <c r="A47">
        <v>1</v>
      </c>
      <c r="B47">
        <v>46</v>
      </c>
      <c r="C47" t="s">
        <v>18</v>
      </c>
      <c r="D47" t="s">
        <v>199</v>
      </c>
      <c r="E47" t="s">
        <v>173</v>
      </c>
      <c r="F47" t="s">
        <v>39</v>
      </c>
      <c r="G47" t="s">
        <v>174</v>
      </c>
      <c r="H47" t="s">
        <v>113</v>
      </c>
      <c r="I47">
        <v>0</v>
      </c>
      <c r="J47" t="s">
        <v>46</v>
      </c>
      <c r="K47">
        <v>0</v>
      </c>
      <c r="L47">
        <v>0</v>
      </c>
      <c r="M47">
        <v>78285</v>
      </c>
      <c r="N47">
        <v>78350</v>
      </c>
      <c r="O47">
        <v>56750</v>
      </c>
      <c r="P47">
        <v>50755</v>
      </c>
      <c r="Q47">
        <v>69584</v>
      </c>
      <c r="R47">
        <v>75986</v>
      </c>
      <c r="S47">
        <v>82072</v>
      </c>
      <c r="T47">
        <v>66421</v>
      </c>
      <c r="U47">
        <v>68334</v>
      </c>
      <c r="V47">
        <v>67973</v>
      </c>
      <c r="W47">
        <v>73412</v>
      </c>
      <c r="X47">
        <v>60171</v>
      </c>
      <c r="Y47">
        <v>73380</v>
      </c>
      <c r="Z47">
        <v>89288</v>
      </c>
      <c r="AA47">
        <v>80919</v>
      </c>
      <c r="AB47">
        <v>82000</v>
      </c>
      <c r="AC47">
        <v>79000</v>
      </c>
      <c r="AD47">
        <v>43000</v>
      </c>
      <c r="AE47">
        <v>51000</v>
      </c>
      <c r="AF47">
        <v>23000</v>
      </c>
      <c r="AG47">
        <v>24000</v>
      </c>
      <c r="AH47">
        <v>43000</v>
      </c>
      <c r="AI47">
        <v>62000</v>
      </c>
      <c r="AJ47">
        <v>65000</v>
      </c>
      <c r="AK47">
        <v>65000</v>
      </c>
      <c r="AL47">
        <v>60000</v>
      </c>
      <c r="AM47">
        <v>68000</v>
      </c>
      <c r="AN47">
        <v>60000</v>
      </c>
      <c r="AO47">
        <v>68000</v>
      </c>
      <c r="AP47">
        <v>61000</v>
      </c>
      <c r="AQ47">
        <v>63000</v>
      </c>
      <c r="AR47">
        <v>47000</v>
      </c>
      <c r="AS47">
        <v>6000</v>
      </c>
      <c r="AT47">
        <v>0</v>
      </c>
      <c r="AU47">
        <v>0</v>
      </c>
      <c r="AV47">
        <v>2000</v>
      </c>
    </row>
    <row r="48" spans="1:48">
      <c r="A48">
        <v>1</v>
      </c>
      <c r="B48">
        <v>47</v>
      </c>
      <c r="C48" t="s">
        <v>18</v>
      </c>
      <c r="D48" t="s">
        <v>200</v>
      </c>
      <c r="E48" t="s">
        <v>173</v>
      </c>
      <c r="F48" t="s">
        <v>39</v>
      </c>
      <c r="G48" t="s">
        <v>174</v>
      </c>
      <c r="H48" t="s">
        <v>113</v>
      </c>
      <c r="I48">
        <v>0</v>
      </c>
      <c r="J48" t="s">
        <v>46</v>
      </c>
      <c r="K48">
        <v>0</v>
      </c>
      <c r="L48">
        <v>0</v>
      </c>
      <c r="M48">
        <v>3604504</v>
      </c>
      <c r="N48">
        <v>3827935</v>
      </c>
      <c r="O48">
        <v>2675717</v>
      </c>
      <c r="P48">
        <v>3992842</v>
      </c>
      <c r="Q48">
        <v>3673678</v>
      </c>
      <c r="R48">
        <v>4086709</v>
      </c>
      <c r="S48">
        <v>4503138</v>
      </c>
      <c r="T48">
        <v>4713396</v>
      </c>
      <c r="U48">
        <v>5151582</v>
      </c>
      <c r="V48">
        <v>5791801</v>
      </c>
      <c r="W48">
        <v>5846916</v>
      </c>
      <c r="X48">
        <v>6273668</v>
      </c>
      <c r="Y48">
        <v>6998060</v>
      </c>
      <c r="Z48">
        <v>7589005</v>
      </c>
      <c r="AA48">
        <v>7037115</v>
      </c>
      <c r="AB48">
        <v>6965000</v>
      </c>
      <c r="AC48">
        <v>6783000</v>
      </c>
      <c r="AD48">
        <v>7205000</v>
      </c>
      <c r="AE48">
        <v>7883000</v>
      </c>
      <c r="AF48">
        <v>9102000</v>
      </c>
      <c r="AG48">
        <v>9036000</v>
      </c>
      <c r="AH48">
        <v>10118000</v>
      </c>
      <c r="AI48">
        <v>12307000</v>
      </c>
      <c r="AJ48">
        <v>13983000</v>
      </c>
      <c r="AK48">
        <v>14789000</v>
      </c>
      <c r="AL48">
        <v>15042000</v>
      </c>
      <c r="AM48">
        <v>14642000</v>
      </c>
      <c r="AN48">
        <v>14867000</v>
      </c>
      <c r="AO48">
        <v>17013000</v>
      </c>
      <c r="AP48">
        <v>23124000</v>
      </c>
      <c r="AQ48">
        <v>33891000</v>
      </c>
      <c r="AR48">
        <v>37847000</v>
      </c>
      <c r="AS48">
        <v>34974000</v>
      </c>
      <c r="AT48">
        <v>34037000</v>
      </c>
      <c r="AU48">
        <v>33176000</v>
      </c>
      <c r="AV48">
        <v>31588000</v>
      </c>
    </row>
    <row r="49" spans="1:48">
      <c r="A49">
        <v>1</v>
      </c>
      <c r="B49">
        <v>48</v>
      </c>
      <c r="C49" t="s">
        <v>18</v>
      </c>
      <c r="D49" t="s">
        <v>199</v>
      </c>
      <c r="E49" t="s">
        <v>179</v>
      </c>
      <c r="F49" t="s">
        <v>209</v>
      </c>
      <c r="G49" t="s">
        <v>46</v>
      </c>
      <c r="H49">
        <v>0</v>
      </c>
      <c r="I49">
        <v>0</v>
      </c>
      <c r="J49" t="s">
        <v>46</v>
      </c>
      <c r="K49" t="s">
        <v>210</v>
      </c>
      <c r="L49">
        <v>0</v>
      </c>
      <c r="M49">
        <v>19859</v>
      </c>
      <c r="N49">
        <v>10544</v>
      </c>
      <c r="O49">
        <v>2800</v>
      </c>
      <c r="P49">
        <v>3076</v>
      </c>
      <c r="Q49">
        <v>0</v>
      </c>
      <c r="R49">
        <v>14287</v>
      </c>
      <c r="S49">
        <v>6351</v>
      </c>
      <c r="T49">
        <v>24784</v>
      </c>
      <c r="U49">
        <v>20915</v>
      </c>
      <c r="V49">
        <v>20605</v>
      </c>
      <c r="W49">
        <v>24735</v>
      </c>
      <c r="X49">
        <v>18661</v>
      </c>
      <c r="Y49">
        <v>22562</v>
      </c>
      <c r="Z49">
        <v>29544</v>
      </c>
      <c r="AA49">
        <v>30084</v>
      </c>
      <c r="AB49">
        <v>35000</v>
      </c>
      <c r="AC49">
        <v>29000</v>
      </c>
      <c r="AD49">
        <v>32000</v>
      </c>
      <c r="AE49">
        <v>39000</v>
      </c>
      <c r="AF49">
        <v>42000</v>
      </c>
      <c r="AG49">
        <v>169000</v>
      </c>
      <c r="AH49">
        <v>317000</v>
      </c>
      <c r="AI49">
        <v>382000</v>
      </c>
      <c r="AJ49">
        <v>423000</v>
      </c>
      <c r="AK49">
        <v>434000</v>
      </c>
      <c r="AL49">
        <v>462000</v>
      </c>
      <c r="AM49">
        <v>472000</v>
      </c>
      <c r="AN49">
        <v>444000</v>
      </c>
      <c r="AO49">
        <v>451000</v>
      </c>
      <c r="AP49">
        <v>422000</v>
      </c>
      <c r="AQ49">
        <v>447000</v>
      </c>
      <c r="AR49">
        <v>473000</v>
      </c>
      <c r="AS49">
        <v>426000</v>
      </c>
      <c r="AT49">
        <v>448000</v>
      </c>
      <c r="AU49">
        <v>402000</v>
      </c>
      <c r="AV49">
        <v>371000</v>
      </c>
    </row>
    <row r="50" spans="1:48">
      <c r="A50">
        <v>1</v>
      </c>
      <c r="B50">
        <v>49</v>
      </c>
      <c r="C50" t="s">
        <v>18</v>
      </c>
      <c r="D50" t="s">
        <v>200</v>
      </c>
      <c r="E50" t="s">
        <v>179</v>
      </c>
      <c r="F50" t="s">
        <v>209</v>
      </c>
      <c r="G50" t="s">
        <v>46</v>
      </c>
      <c r="H50">
        <v>0</v>
      </c>
      <c r="I50">
        <v>0</v>
      </c>
      <c r="J50" t="s">
        <v>46</v>
      </c>
      <c r="K50">
        <v>0</v>
      </c>
      <c r="L50">
        <v>0</v>
      </c>
      <c r="M50">
        <v>3020625</v>
      </c>
      <c r="N50">
        <v>4850345</v>
      </c>
      <c r="O50">
        <v>4380589</v>
      </c>
      <c r="P50">
        <v>3136930</v>
      </c>
      <c r="Q50">
        <v>3574763</v>
      </c>
      <c r="R50">
        <v>3978989</v>
      </c>
      <c r="S50">
        <v>3767651</v>
      </c>
      <c r="T50">
        <v>2556044</v>
      </c>
      <c r="U50">
        <v>3003362</v>
      </c>
      <c r="V50">
        <v>4703231</v>
      </c>
      <c r="W50">
        <v>5162364</v>
      </c>
      <c r="X50">
        <v>5608966</v>
      </c>
      <c r="Y50">
        <v>4174078</v>
      </c>
      <c r="Z50">
        <v>6766291</v>
      </c>
      <c r="AA50">
        <v>726823</v>
      </c>
      <c r="AB50">
        <v>7090000</v>
      </c>
      <c r="AC50">
        <v>5300000</v>
      </c>
      <c r="AD50">
        <v>5018000</v>
      </c>
      <c r="AE50">
        <v>4097000</v>
      </c>
      <c r="AF50">
        <v>1505000</v>
      </c>
      <c r="AG50">
        <v>886000</v>
      </c>
      <c r="AH50">
        <v>-910000</v>
      </c>
      <c r="AI50">
        <v>4298000</v>
      </c>
      <c r="AJ50">
        <v>8226000</v>
      </c>
      <c r="AK50">
        <v>9976000</v>
      </c>
      <c r="AL50">
        <v>15878000</v>
      </c>
      <c r="AM50">
        <v>35289000</v>
      </c>
      <c r="AN50">
        <v>9266000</v>
      </c>
      <c r="AO50">
        <v>6034000</v>
      </c>
      <c r="AP50">
        <v>-26865000</v>
      </c>
      <c r="AQ50">
        <v>-13493000</v>
      </c>
      <c r="AR50">
        <v>-37259000</v>
      </c>
      <c r="AS50">
        <v>-23293000</v>
      </c>
      <c r="AT50">
        <v>-35010000</v>
      </c>
      <c r="AU50">
        <v>-13474000</v>
      </c>
      <c r="AV50">
        <v>19380000</v>
      </c>
    </row>
    <row r="51" spans="1:48">
      <c r="A51">
        <v>1</v>
      </c>
      <c r="B51">
        <v>50</v>
      </c>
      <c r="C51" t="s">
        <v>18</v>
      </c>
      <c r="D51" t="s">
        <v>199</v>
      </c>
      <c r="E51" t="s">
        <v>179</v>
      </c>
      <c r="F51" t="s">
        <v>211</v>
      </c>
      <c r="G51">
        <v>0</v>
      </c>
      <c r="H51">
        <v>0</v>
      </c>
      <c r="I51">
        <v>0</v>
      </c>
      <c r="J51">
        <v>0</v>
      </c>
      <c r="K51">
        <v>0</v>
      </c>
      <c r="L51">
        <v>0</v>
      </c>
      <c r="M51">
        <v>349905</v>
      </c>
      <c r="N51">
        <v>281574</v>
      </c>
      <c r="O51">
        <v>308555</v>
      </c>
      <c r="P51">
        <v>313761</v>
      </c>
      <c r="Q51">
        <v>264097</v>
      </c>
      <c r="R51">
        <v>282656</v>
      </c>
      <c r="S51">
        <v>317615</v>
      </c>
      <c r="T51">
        <v>379686</v>
      </c>
      <c r="U51">
        <v>365401</v>
      </c>
      <c r="V51">
        <v>415068</v>
      </c>
      <c r="W51">
        <v>414418</v>
      </c>
      <c r="X51">
        <v>493916</v>
      </c>
      <c r="Y51">
        <v>322207</v>
      </c>
      <c r="Z51">
        <v>331719</v>
      </c>
      <c r="AA51">
        <v>311876</v>
      </c>
      <c r="AB51">
        <v>303000</v>
      </c>
      <c r="AC51">
        <v>354000</v>
      </c>
      <c r="AD51">
        <v>342000</v>
      </c>
      <c r="AE51">
        <v>416000</v>
      </c>
      <c r="AF51">
        <v>409000</v>
      </c>
      <c r="AG51">
        <v>565000</v>
      </c>
      <c r="AH51">
        <v>692000</v>
      </c>
      <c r="AI51">
        <v>727000</v>
      </c>
      <c r="AJ51">
        <v>841000</v>
      </c>
      <c r="AK51">
        <v>769000</v>
      </c>
      <c r="AL51">
        <v>798000</v>
      </c>
      <c r="AM51">
        <v>762000</v>
      </c>
      <c r="AN51">
        <v>788000</v>
      </c>
      <c r="AO51">
        <v>783000</v>
      </c>
      <c r="AP51">
        <v>816000</v>
      </c>
      <c r="AQ51">
        <v>860000</v>
      </c>
      <c r="AR51">
        <v>854000</v>
      </c>
      <c r="AS51">
        <v>840000</v>
      </c>
      <c r="AT51">
        <v>838000</v>
      </c>
      <c r="AU51">
        <v>797000</v>
      </c>
      <c r="AV51">
        <v>741000</v>
      </c>
    </row>
    <row r="52" spans="1:48">
      <c r="A52">
        <v>1</v>
      </c>
      <c r="B52">
        <v>51</v>
      </c>
      <c r="C52" t="s">
        <v>18</v>
      </c>
      <c r="D52" t="s">
        <v>200</v>
      </c>
      <c r="E52" t="s">
        <v>179</v>
      </c>
      <c r="F52" t="s">
        <v>211</v>
      </c>
      <c r="G52">
        <v>0</v>
      </c>
      <c r="H52">
        <v>0</v>
      </c>
      <c r="I52">
        <v>0</v>
      </c>
      <c r="J52">
        <v>0</v>
      </c>
      <c r="K52">
        <v>0</v>
      </c>
      <c r="L52">
        <v>0</v>
      </c>
      <c r="M52">
        <v>861838</v>
      </c>
      <c r="N52">
        <v>889022</v>
      </c>
      <c r="O52">
        <v>902614</v>
      </c>
      <c r="P52">
        <v>841655</v>
      </c>
      <c r="Q52">
        <v>1066092</v>
      </c>
      <c r="R52">
        <v>945703</v>
      </c>
      <c r="S52">
        <v>947349</v>
      </c>
      <c r="T52">
        <v>978456</v>
      </c>
      <c r="U52">
        <v>1002364</v>
      </c>
      <c r="V52">
        <v>1091624</v>
      </c>
      <c r="W52">
        <v>1157145</v>
      </c>
      <c r="X52">
        <v>1280596</v>
      </c>
      <c r="Y52">
        <v>1672406</v>
      </c>
      <c r="Z52">
        <v>1720917</v>
      </c>
      <c r="AA52">
        <v>1785988</v>
      </c>
      <c r="AB52">
        <v>1825000</v>
      </c>
      <c r="AC52">
        <v>1874000</v>
      </c>
      <c r="AD52">
        <v>1808000</v>
      </c>
      <c r="AE52">
        <v>1864000</v>
      </c>
      <c r="AF52">
        <v>1924000</v>
      </c>
      <c r="AG52">
        <v>1978000</v>
      </c>
      <c r="AH52">
        <v>2036000</v>
      </c>
      <c r="AI52">
        <v>2223000</v>
      </c>
      <c r="AJ52">
        <v>2151000</v>
      </c>
      <c r="AK52">
        <v>2262000</v>
      </c>
      <c r="AL52">
        <v>2326000</v>
      </c>
      <c r="AM52">
        <v>2236000</v>
      </c>
      <c r="AN52">
        <v>2365000</v>
      </c>
      <c r="AO52">
        <v>2411000</v>
      </c>
      <c r="AP52">
        <v>2640000</v>
      </c>
      <c r="AQ52">
        <v>2771000</v>
      </c>
      <c r="AR52">
        <v>2856000</v>
      </c>
      <c r="AS52">
        <v>2864000</v>
      </c>
      <c r="AT52">
        <v>2867000</v>
      </c>
      <c r="AU52">
        <v>2755000</v>
      </c>
      <c r="AV52">
        <v>2752000</v>
      </c>
    </row>
    <row r="53" spans="1:48">
      <c r="A53">
        <v>1</v>
      </c>
      <c r="B53">
        <v>52</v>
      </c>
      <c r="C53" t="s">
        <v>18</v>
      </c>
      <c r="D53" t="s">
        <v>199</v>
      </c>
      <c r="E53" t="s">
        <v>173</v>
      </c>
      <c r="F53" t="s">
        <v>39</v>
      </c>
      <c r="G53" t="s">
        <v>62</v>
      </c>
      <c r="H53">
        <v>0</v>
      </c>
      <c r="I53">
        <v>0</v>
      </c>
      <c r="J53">
        <v>0</v>
      </c>
      <c r="K53">
        <v>0</v>
      </c>
      <c r="L53">
        <v>0</v>
      </c>
      <c r="M53">
        <v>9153839</v>
      </c>
      <c r="N53">
        <v>7979544</v>
      </c>
      <c r="O53">
        <v>4321037</v>
      </c>
      <c r="P53">
        <v>4284683</v>
      </c>
      <c r="Q53">
        <v>3637388</v>
      </c>
      <c r="R53">
        <v>3993213</v>
      </c>
      <c r="S53">
        <v>4273551</v>
      </c>
      <c r="T53">
        <v>4073092</v>
      </c>
      <c r="U53">
        <v>4087879</v>
      </c>
      <c r="V53">
        <v>4163888</v>
      </c>
      <c r="W53">
        <v>4416232</v>
      </c>
      <c r="X53">
        <v>4680853</v>
      </c>
      <c r="Y53">
        <v>5120192</v>
      </c>
      <c r="Z53">
        <v>5243373</v>
      </c>
      <c r="AA53">
        <v>5589963</v>
      </c>
      <c r="AB53">
        <v>5867000</v>
      </c>
      <c r="AC53">
        <v>5540000</v>
      </c>
      <c r="AD53">
        <v>5114000</v>
      </c>
      <c r="AE53">
        <v>4836000</v>
      </c>
      <c r="AF53">
        <v>4980000</v>
      </c>
      <c r="AG53">
        <v>4917000</v>
      </c>
      <c r="AH53">
        <v>5257000</v>
      </c>
      <c r="AI53">
        <v>6167000</v>
      </c>
      <c r="AJ53">
        <v>6151000</v>
      </c>
      <c r="AK53">
        <v>5614000</v>
      </c>
      <c r="AL53">
        <v>4325000</v>
      </c>
      <c r="AM53">
        <v>5847000</v>
      </c>
      <c r="AN53">
        <v>4341000</v>
      </c>
      <c r="AO53">
        <v>4521000</v>
      </c>
      <c r="AP53">
        <v>5200000</v>
      </c>
      <c r="AQ53">
        <v>6648000</v>
      </c>
      <c r="AR53">
        <v>5797000</v>
      </c>
      <c r="AS53">
        <v>4763000</v>
      </c>
      <c r="AT53">
        <v>4356000</v>
      </c>
      <c r="AU53">
        <v>4371000</v>
      </c>
      <c r="AV53">
        <v>4317000</v>
      </c>
    </row>
    <row r="54" spans="1:48">
      <c r="A54">
        <v>1</v>
      </c>
      <c r="B54">
        <v>53</v>
      </c>
      <c r="C54" t="s">
        <v>18</v>
      </c>
      <c r="D54" t="s">
        <v>200</v>
      </c>
      <c r="E54" t="s">
        <v>173</v>
      </c>
      <c r="F54" t="s">
        <v>37</v>
      </c>
      <c r="G54" t="s">
        <v>65</v>
      </c>
      <c r="H54">
        <v>0</v>
      </c>
      <c r="I54">
        <v>0</v>
      </c>
      <c r="J54">
        <v>0</v>
      </c>
      <c r="K54">
        <v>0</v>
      </c>
      <c r="L54">
        <v>0</v>
      </c>
      <c r="M54">
        <v>2127294</v>
      </c>
      <c r="N54">
        <v>1503534</v>
      </c>
      <c r="O54">
        <v>1559586</v>
      </c>
      <c r="P54">
        <v>1573562</v>
      </c>
      <c r="Q54">
        <v>1507970</v>
      </c>
      <c r="R54">
        <v>1556934</v>
      </c>
      <c r="S54">
        <v>1330410</v>
      </c>
      <c r="T54">
        <v>933277</v>
      </c>
      <c r="U54">
        <v>1043149</v>
      </c>
      <c r="V54">
        <v>1382736</v>
      </c>
      <c r="W54">
        <v>2362755</v>
      </c>
      <c r="X54">
        <v>1492963</v>
      </c>
      <c r="Y54">
        <v>1494836</v>
      </c>
      <c r="Z54">
        <v>1735192</v>
      </c>
      <c r="AA54">
        <v>1372314</v>
      </c>
      <c r="AB54">
        <v>1254000</v>
      </c>
      <c r="AC54">
        <v>1579000</v>
      </c>
      <c r="AD54">
        <v>1182000</v>
      </c>
      <c r="AE54">
        <v>1049000</v>
      </c>
      <c r="AF54">
        <v>1467000</v>
      </c>
      <c r="AG54">
        <v>4923000</v>
      </c>
      <c r="AH54">
        <v>1679000</v>
      </c>
      <c r="AI54">
        <v>2030000</v>
      </c>
      <c r="AJ54">
        <v>3012000</v>
      </c>
      <c r="AK54">
        <v>4759000</v>
      </c>
      <c r="AL54">
        <v>3743000</v>
      </c>
      <c r="AM54">
        <v>2273000</v>
      </c>
      <c r="AN54">
        <v>2506000</v>
      </c>
      <c r="AO54">
        <v>3136000</v>
      </c>
      <c r="AP54">
        <v>5789000</v>
      </c>
      <c r="AQ54">
        <v>13811000</v>
      </c>
      <c r="AR54">
        <v>8795000</v>
      </c>
      <c r="AS54">
        <v>5272000</v>
      </c>
      <c r="AT54">
        <v>2890000</v>
      </c>
      <c r="AU54">
        <v>2592000</v>
      </c>
      <c r="AV54">
        <v>2004000</v>
      </c>
    </row>
    <row r="55" spans="1:48">
      <c r="A55">
        <v>1</v>
      </c>
      <c r="B55">
        <v>54</v>
      </c>
      <c r="C55" t="s">
        <v>18</v>
      </c>
      <c r="D55" t="s">
        <v>200</v>
      </c>
      <c r="E55" t="s">
        <v>173</v>
      </c>
      <c r="F55" t="s">
        <v>39</v>
      </c>
      <c r="G55" t="s">
        <v>62</v>
      </c>
      <c r="H55">
        <v>0</v>
      </c>
      <c r="I55">
        <v>0</v>
      </c>
      <c r="J55">
        <v>0</v>
      </c>
      <c r="K55">
        <v>0</v>
      </c>
      <c r="L55">
        <v>0</v>
      </c>
      <c r="M55">
        <v>1190738</v>
      </c>
      <c r="N55">
        <v>1261621</v>
      </c>
      <c r="O55">
        <v>1142790</v>
      </c>
      <c r="P55">
        <v>1010169</v>
      </c>
      <c r="Q55">
        <v>1006297</v>
      </c>
      <c r="R55">
        <v>978474</v>
      </c>
      <c r="S55">
        <v>983455</v>
      </c>
      <c r="T55">
        <v>1010929</v>
      </c>
      <c r="U55">
        <v>1127538</v>
      </c>
      <c r="V55">
        <v>1127840</v>
      </c>
      <c r="W55">
        <v>1202853</v>
      </c>
      <c r="X55">
        <v>1252689</v>
      </c>
      <c r="Y55">
        <v>1358778</v>
      </c>
      <c r="Z55">
        <v>1456548</v>
      </c>
      <c r="AA55">
        <v>1507144</v>
      </c>
      <c r="AB55">
        <v>1563000</v>
      </c>
      <c r="AC55">
        <v>1490000</v>
      </c>
      <c r="AD55">
        <v>1567000</v>
      </c>
      <c r="AE55">
        <v>1800000</v>
      </c>
      <c r="AF55">
        <v>1803000</v>
      </c>
      <c r="AG55">
        <v>1860000</v>
      </c>
      <c r="AH55">
        <v>1935000</v>
      </c>
      <c r="AI55">
        <v>2187000</v>
      </c>
      <c r="AJ55">
        <v>2228000</v>
      </c>
      <c r="AK55">
        <v>2304000</v>
      </c>
      <c r="AL55">
        <v>2527000</v>
      </c>
      <c r="AM55">
        <v>1352000</v>
      </c>
      <c r="AN55">
        <v>2739000</v>
      </c>
      <c r="AO55">
        <v>2660000</v>
      </c>
      <c r="AP55">
        <v>2452000</v>
      </c>
      <c r="AQ55">
        <v>3206000</v>
      </c>
      <c r="AR55">
        <v>3342000</v>
      </c>
      <c r="AS55">
        <v>3016000</v>
      </c>
      <c r="AT55">
        <v>2915000</v>
      </c>
      <c r="AU55">
        <v>2642000</v>
      </c>
      <c r="AV55">
        <v>2786000</v>
      </c>
    </row>
    <row r="56" spans="1:48">
      <c r="A56">
        <v>1</v>
      </c>
      <c r="B56">
        <v>55</v>
      </c>
      <c r="C56" t="s">
        <v>18</v>
      </c>
      <c r="D56" t="s">
        <v>199</v>
      </c>
      <c r="E56" t="s">
        <v>173</v>
      </c>
      <c r="F56" t="s">
        <v>39</v>
      </c>
      <c r="G56" t="s">
        <v>174</v>
      </c>
      <c r="H56" t="s">
        <v>57</v>
      </c>
      <c r="I56">
        <v>0</v>
      </c>
      <c r="J56" t="s">
        <v>182</v>
      </c>
      <c r="K56" t="s">
        <v>210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row>
    <row r="57" spans="1:48">
      <c r="A57">
        <v>1</v>
      </c>
      <c r="B57">
        <v>56</v>
      </c>
      <c r="C57" t="s">
        <v>18</v>
      </c>
      <c r="D57" t="s">
        <v>199</v>
      </c>
      <c r="E57" t="s">
        <v>173</v>
      </c>
      <c r="F57" t="s">
        <v>38</v>
      </c>
      <c r="G57" t="s">
        <v>57</v>
      </c>
      <c r="H57">
        <v>0</v>
      </c>
      <c r="I57">
        <v>0</v>
      </c>
      <c r="J57" t="s">
        <v>182</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1000</v>
      </c>
      <c r="AR57">
        <v>24000</v>
      </c>
      <c r="AS57">
        <v>167000</v>
      </c>
      <c r="AT57">
        <v>963000</v>
      </c>
      <c r="AU57">
        <v>1803000</v>
      </c>
      <c r="AV57">
        <v>1372000</v>
      </c>
    </row>
    <row r="58" spans="1:48">
      <c r="A58">
        <v>1</v>
      </c>
      <c r="B58">
        <v>57</v>
      </c>
      <c r="C58" t="s">
        <v>18</v>
      </c>
      <c r="D58" t="s">
        <v>199</v>
      </c>
      <c r="E58" t="s">
        <v>173</v>
      </c>
      <c r="F58" t="s">
        <v>39</v>
      </c>
      <c r="G58" t="s">
        <v>174</v>
      </c>
      <c r="H58" t="s">
        <v>112</v>
      </c>
      <c r="I58">
        <v>0</v>
      </c>
      <c r="J58" t="s">
        <v>182</v>
      </c>
      <c r="K58">
        <v>0</v>
      </c>
      <c r="L58">
        <v>0</v>
      </c>
      <c r="M58">
        <v>13956700</v>
      </c>
      <c r="N58">
        <v>16833344</v>
      </c>
      <c r="O58">
        <v>17390734</v>
      </c>
      <c r="P58">
        <v>18985244</v>
      </c>
      <c r="Q58">
        <v>20060943</v>
      </c>
      <c r="R58">
        <v>22654604</v>
      </c>
      <c r="S58">
        <v>24995451</v>
      </c>
      <c r="T58">
        <v>27435204</v>
      </c>
      <c r="U58">
        <v>30461630</v>
      </c>
      <c r="V58">
        <v>34603976</v>
      </c>
      <c r="W58">
        <v>41103202</v>
      </c>
      <c r="X58">
        <v>52532714</v>
      </c>
      <c r="Y58">
        <v>67827253</v>
      </c>
      <c r="Z58">
        <v>75774060</v>
      </c>
      <c r="AA58">
        <v>82033658</v>
      </c>
      <c r="AB58">
        <v>89070000</v>
      </c>
      <c r="AC58">
        <v>91990000</v>
      </c>
      <c r="AD58">
        <v>95552000</v>
      </c>
      <c r="AE58">
        <v>101239000</v>
      </c>
      <c r="AF58">
        <v>108607000</v>
      </c>
      <c r="AG58">
        <v>119141000</v>
      </c>
      <c r="AH58">
        <v>133135000</v>
      </c>
      <c r="AI58">
        <v>151342000</v>
      </c>
      <c r="AJ58">
        <v>165175000</v>
      </c>
      <c r="AK58">
        <v>180886000</v>
      </c>
      <c r="AL58">
        <v>186933000</v>
      </c>
      <c r="AM58">
        <v>187345000</v>
      </c>
      <c r="AN58">
        <v>197899000</v>
      </c>
      <c r="AO58">
        <v>208753000</v>
      </c>
      <c r="AP58">
        <v>258969000</v>
      </c>
      <c r="AQ58">
        <v>281189000</v>
      </c>
      <c r="AR58">
        <v>284159000</v>
      </c>
      <c r="AS58">
        <v>260076000</v>
      </c>
      <c r="AT58">
        <v>275392000</v>
      </c>
      <c r="AU58">
        <v>311297000</v>
      </c>
      <c r="AV58">
        <v>359572000</v>
      </c>
    </row>
    <row r="59" spans="1:48">
      <c r="A59">
        <v>1</v>
      </c>
      <c r="B59">
        <v>58</v>
      </c>
      <c r="C59" t="s">
        <v>18</v>
      </c>
      <c r="D59" t="s">
        <v>199</v>
      </c>
      <c r="E59" t="s">
        <v>173</v>
      </c>
      <c r="F59" t="s">
        <v>38</v>
      </c>
      <c r="G59" t="s">
        <v>58</v>
      </c>
      <c r="H59">
        <v>0</v>
      </c>
      <c r="I59">
        <v>0</v>
      </c>
      <c r="J59" t="s">
        <v>182</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717000</v>
      </c>
      <c r="AJ59">
        <v>1198000</v>
      </c>
      <c r="AK59">
        <v>1497000</v>
      </c>
      <c r="AL59">
        <v>105000</v>
      </c>
      <c r="AM59">
        <v>109000</v>
      </c>
      <c r="AN59">
        <v>134000</v>
      </c>
      <c r="AO59">
        <v>160000</v>
      </c>
      <c r="AP59">
        <v>239000</v>
      </c>
      <c r="AQ59">
        <v>295000</v>
      </c>
      <c r="AR59">
        <v>0</v>
      </c>
      <c r="AS59">
        <v>0</v>
      </c>
      <c r="AT59">
        <v>0</v>
      </c>
      <c r="AU59">
        <v>0</v>
      </c>
      <c r="AV59">
        <v>0</v>
      </c>
    </row>
    <row r="60" spans="1:48">
      <c r="A60">
        <v>1</v>
      </c>
      <c r="B60">
        <v>59</v>
      </c>
      <c r="C60" t="s">
        <v>18</v>
      </c>
      <c r="D60" t="s">
        <v>200</v>
      </c>
      <c r="E60" t="s">
        <v>173</v>
      </c>
      <c r="F60" t="s">
        <v>38</v>
      </c>
      <c r="G60" t="s">
        <v>58</v>
      </c>
      <c r="H60">
        <v>0</v>
      </c>
      <c r="I60">
        <v>0</v>
      </c>
      <c r="J60" t="s">
        <v>182</v>
      </c>
      <c r="K60">
        <v>0</v>
      </c>
      <c r="L60">
        <v>0</v>
      </c>
      <c r="M60">
        <v>64046</v>
      </c>
      <c r="N60">
        <v>117812</v>
      </c>
      <c r="O60">
        <v>106680</v>
      </c>
      <c r="P60">
        <v>51179</v>
      </c>
      <c r="Q60">
        <v>38701</v>
      </c>
      <c r="R60">
        <v>32874</v>
      </c>
      <c r="S60">
        <v>31891</v>
      </c>
      <c r="T60">
        <v>42746</v>
      </c>
      <c r="U60">
        <v>42704</v>
      </c>
      <c r="V60">
        <v>40174</v>
      </c>
      <c r="W60">
        <v>61923</v>
      </c>
      <c r="X60">
        <v>42345</v>
      </c>
      <c r="Y60">
        <v>63314</v>
      </c>
      <c r="Z60">
        <v>35502</v>
      </c>
      <c r="AA60">
        <v>64704</v>
      </c>
      <c r="AB60">
        <v>250000</v>
      </c>
      <c r="AC60">
        <v>144000</v>
      </c>
      <c r="AD60">
        <v>167000</v>
      </c>
      <c r="AE60">
        <v>182000</v>
      </c>
      <c r="AF60">
        <v>314000</v>
      </c>
      <c r="AG60">
        <v>657000</v>
      </c>
      <c r="AH60">
        <v>460000</v>
      </c>
      <c r="AI60">
        <v>267000</v>
      </c>
      <c r="AJ60">
        <v>572000</v>
      </c>
      <c r="AK60">
        <v>863000</v>
      </c>
      <c r="AL60">
        <v>286000</v>
      </c>
      <c r="AM60">
        <v>340000</v>
      </c>
      <c r="AN60">
        <v>277000</v>
      </c>
      <c r="AO60">
        <v>286000</v>
      </c>
      <c r="AP60">
        <v>151000</v>
      </c>
      <c r="AQ60">
        <v>256000</v>
      </c>
      <c r="AR60">
        <v>620000</v>
      </c>
      <c r="AS60">
        <v>907000</v>
      </c>
      <c r="AT60">
        <v>863000</v>
      </c>
      <c r="AU60">
        <v>1301000</v>
      </c>
      <c r="AV60">
        <v>932000</v>
      </c>
    </row>
    <row r="61" spans="1:48">
      <c r="A61">
        <v>1</v>
      </c>
      <c r="B61">
        <v>60</v>
      </c>
      <c r="C61" t="s">
        <v>18</v>
      </c>
      <c r="D61" t="s">
        <v>200</v>
      </c>
      <c r="E61" t="s">
        <v>173</v>
      </c>
      <c r="F61" t="s">
        <v>38</v>
      </c>
      <c r="G61" t="s">
        <v>212</v>
      </c>
      <c r="H61">
        <v>0</v>
      </c>
      <c r="I61">
        <v>0</v>
      </c>
      <c r="J61" t="s">
        <v>182</v>
      </c>
      <c r="K61">
        <v>0</v>
      </c>
      <c r="L61">
        <v>0</v>
      </c>
      <c r="M61">
        <v>69034</v>
      </c>
      <c r="N61">
        <v>115922</v>
      </c>
      <c r="O61">
        <v>53445</v>
      </c>
      <c r="P61">
        <v>85991</v>
      </c>
      <c r="Q61">
        <v>89701</v>
      </c>
      <c r="R61">
        <v>46045</v>
      </c>
      <c r="S61">
        <v>77070</v>
      </c>
      <c r="T61">
        <v>94314</v>
      </c>
      <c r="U61">
        <v>57791</v>
      </c>
      <c r="V61">
        <v>76127</v>
      </c>
      <c r="W61">
        <v>65982</v>
      </c>
      <c r="X61">
        <v>121919</v>
      </c>
      <c r="Y61">
        <v>-76214</v>
      </c>
      <c r="Z61">
        <v>116802</v>
      </c>
      <c r="AA61">
        <v>-23833</v>
      </c>
      <c r="AB61">
        <v>12000</v>
      </c>
      <c r="AC61">
        <v>23000</v>
      </c>
      <c r="AD61">
        <v>27000</v>
      </c>
      <c r="AE61">
        <v>40000</v>
      </c>
      <c r="AF61">
        <v>35000</v>
      </c>
      <c r="AG61">
        <v>-149000</v>
      </c>
      <c r="AH61">
        <v>-14000</v>
      </c>
      <c r="AI61">
        <v>477000</v>
      </c>
      <c r="AJ61">
        <v>-18000</v>
      </c>
      <c r="AK61">
        <v>-342000</v>
      </c>
      <c r="AL61">
        <v>374000</v>
      </c>
      <c r="AM61">
        <v>-80000</v>
      </c>
      <c r="AN61">
        <v>136000</v>
      </c>
      <c r="AO61">
        <v>40000</v>
      </c>
      <c r="AP61">
        <v>-54000</v>
      </c>
      <c r="AQ61">
        <v>127000</v>
      </c>
      <c r="AR61">
        <v>302000</v>
      </c>
      <c r="AS61">
        <v>415000</v>
      </c>
      <c r="AT61">
        <v>752000</v>
      </c>
      <c r="AU61">
        <v>1354000</v>
      </c>
      <c r="AV61">
        <v>1341000</v>
      </c>
    </row>
    <row r="62" spans="1:48">
      <c r="A62">
        <v>1</v>
      </c>
      <c r="B62">
        <v>61</v>
      </c>
      <c r="C62" t="s">
        <v>18</v>
      </c>
      <c r="D62" t="s">
        <v>200</v>
      </c>
      <c r="E62" t="s">
        <v>173</v>
      </c>
      <c r="F62" t="s">
        <v>39</v>
      </c>
      <c r="G62" t="s">
        <v>174</v>
      </c>
      <c r="H62" t="s">
        <v>57</v>
      </c>
      <c r="I62">
        <v>0</v>
      </c>
      <c r="J62" t="s">
        <v>182</v>
      </c>
      <c r="K62">
        <v>0</v>
      </c>
      <c r="L62">
        <v>0</v>
      </c>
      <c r="M62">
        <v>668959</v>
      </c>
      <c r="N62">
        <v>695845</v>
      </c>
      <c r="O62">
        <v>667808</v>
      </c>
      <c r="P62">
        <v>698333</v>
      </c>
      <c r="Q62">
        <v>787765</v>
      </c>
      <c r="R62">
        <v>863210</v>
      </c>
      <c r="S62">
        <v>858710</v>
      </c>
      <c r="T62">
        <v>855649</v>
      </c>
      <c r="U62">
        <v>941235</v>
      </c>
      <c r="V62">
        <v>1047364</v>
      </c>
      <c r="W62">
        <v>1110404</v>
      </c>
      <c r="X62">
        <v>1305660</v>
      </c>
      <c r="Y62">
        <v>1963253</v>
      </c>
      <c r="Z62">
        <v>2383694</v>
      </c>
      <c r="AA62">
        <v>2589227</v>
      </c>
      <c r="AB62">
        <v>2008000</v>
      </c>
      <c r="AC62">
        <v>2028000</v>
      </c>
      <c r="AD62">
        <v>2173000</v>
      </c>
      <c r="AE62">
        <v>2149000</v>
      </c>
      <c r="AF62">
        <v>2199000</v>
      </c>
      <c r="AG62">
        <v>2378000</v>
      </c>
      <c r="AH62">
        <v>2561000</v>
      </c>
      <c r="AI62">
        <v>2817000</v>
      </c>
      <c r="AJ62">
        <v>2948000</v>
      </c>
      <c r="AK62">
        <v>3145000</v>
      </c>
      <c r="AL62">
        <v>3207000</v>
      </c>
      <c r="AM62">
        <v>3347000</v>
      </c>
      <c r="AN62">
        <v>3375000</v>
      </c>
      <c r="AO62">
        <v>3347000</v>
      </c>
      <c r="AP62">
        <v>4070000</v>
      </c>
      <c r="AQ62">
        <v>8421000</v>
      </c>
      <c r="AR62">
        <v>6582000</v>
      </c>
      <c r="AS62">
        <v>4914000</v>
      </c>
      <c r="AT62">
        <v>4500000</v>
      </c>
      <c r="AU62">
        <v>17675000</v>
      </c>
      <c r="AV62">
        <v>40868000</v>
      </c>
    </row>
    <row r="63" spans="1:48">
      <c r="A63">
        <v>1</v>
      </c>
      <c r="B63">
        <v>62</v>
      </c>
      <c r="C63" t="s">
        <v>18</v>
      </c>
      <c r="D63" t="s">
        <v>200</v>
      </c>
      <c r="E63" t="s">
        <v>173</v>
      </c>
      <c r="F63" t="s">
        <v>39</v>
      </c>
      <c r="G63" t="s">
        <v>174</v>
      </c>
      <c r="H63" t="s">
        <v>112</v>
      </c>
      <c r="I63">
        <v>0</v>
      </c>
      <c r="J63" t="s">
        <v>182</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-60000</v>
      </c>
      <c r="AI63">
        <v>-138000</v>
      </c>
      <c r="AJ63">
        <v>-112000</v>
      </c>
      <c r="AK63">
        <v>0</v>
      </c>
      <c r="AL63">
        <v>0</v>
      </c>
      <c r="AM63">
        <v>0</v>
      </c>
      <c r="AN63">
        <v>0</v>
      </c>
      <c r="AO63">
        <v>0</v>
      </c>
      <c r="AP63">
        <v>1000</v>
      </c>
      <c r="AQ63">
        <v>0</v>
      </c>
      <c r="AR63">
        <v>6000</v>
      </c>
      <c r="AS63">
        <v>6000</v>
      </c>
      <c r="AT63">
        <v>8000</v>
      </c>
      <c r="AU63">
        <v>8000</v>
      </c>
      <c r="AV63">
        <v>9000</v>
      </c>
    </row>
    <row r="64" spans="1:48">
      <c r="A64">
        <v>1</v>
      </c>
      <c r="B64">
        <v>63</v>
      </c>
      <c r="C64" t="s">
        <v>18</v>
      </c>
      <c r="D64" t="s">
        <v>200</v>
      </c>
      <c r="E64" t="s">
        <v>173</v>
      </c>
      <c r="F64" t="s">
        <v>38</v>
      </c>
      <c r="G64" t="s">
        <v>57</v>
      </c>
      <c r="H64">
        <v>0</v>
      </c>
      <c r="I64">
        <v>0</v>
      </c>
      <c r="J64" t="s">
        <v>182</v>
      </c>
      <c r="K64">
        <v>0</v>
      </c>
      <c r="L64">
        <v>0</v>
      </c>
      <c r="M64">
        <v>0</v>
      </c>
      <c r="N64">
        <v>0</v>
      </c>
      <c r="O64">
        <v>0</v>
      </c>
      <c r="P64">
        <v>0</v>
      </c>
      <c r="Q64">
        <v>0</v>
      </c>
      <c r="R64">
        <v>0</v>
      </c>
      <c r="S64">
        <v>0</v>
      </c>
      <c r="T64">
        <v>0</v>
      </c>
      <c r="U64">
        <v>0</v>
      </c>
      <c r="V64">
        <v>0</v>
      </c>
      <c r="W64">
        <v>0</v>
      </c>
      <c r="X64">
        <v>0</v>
      </c>
      <c r="Y64">
        <v>0</v>
      </c>
      <c r="Z64">
        <v>161091</v>
      </c>
      <c r="AA64">
        <v>285960</v>
      </c>
      <c r="AB64">
        <v>336000</v>
      </c>
      <c r="AC64">
        <v>304000</v>
      </c>
      <c r="AD64">
        <v>339000</v>
      </c>
      <c r="AE64">
        <v>340000</v>
      </c>
      <c r="AF64">
        <v>148000</v>
      </c>
      <c r="AG64">
        <v>155000</v>
      </c>
      <c r="AH64">
        <v>150000</v>
      </c>
      <c r="AI64">
        <v>124000</v>
      </c>
      <c r="AJ64">
        <v>190000</v>
      </c>
      <c r="AK64">
        <v>127000</v>
      </c>
      <c r="AL64">
        <v>125000</v>
      </c>
      <c r="AM64">
        <v>114000</v>
      </c>
      <c r="AN64">
        <v>49000</v>
      </c>
      <c r="AO64">
        <v>-8000</v>
      </c>
      <c r="AP64">
        <v>55000</v>
      </c>
      <c r="AQ64">
        <v>47000</v>
      </c>
      <c r="AR64">
        <v>3415000</v>
      </c>
      <c r="AS64">
        <v>3500000</v>
      </c>
      <c r="AT64">
        <v>2481000</v>
      </c>
      <c r="AU64">
        <v>921000</v>
      </c>
      <c r="AV64">
        <v>226000</v>
      </c>
    </row>
    <row r="65" spans="1:48">
      <c r="A65">
        <v>1</v>
      </c>
      <c r="B65">
        <v>64</v>
      </c>
      <c r="C65" t="s">
        <v>18</v>
      </c>
      <c r="D65" t="s">
        <v>199</v>
      </c>
      <c r="E65" t="s">
        <v>173</v>
      </c>
      <c r="F65" t="s">
        <v>38</v>
      </c>
      <c r="G65" t="s">
        <v>56</v>
      </c>
      <c r="H65">
        <v>0</v>
      </c>
      <c r="I65">
        <v>0</v>
      </c>
      <c r="J65" t="s">
        <v>182</v>
      </c>
      <c r="K65">
        <v>0</v>
      </c>
      <c r="L65">
        <v>0</v>
      </c>
      <c r="M65">
        <v>1722764</v>
      </c>
      <c r="N65">
        <v>1986303</v>
      </c>
      <c r="O65">
        <v>1371098</v>
      </c>
      <c r="P65">
        <v>1155514</v>
      </c>
      <c r="Q65">
        <v>1680222</v>
      </c>
      <c r="R65">
        <v>1700988</v>
      </c>
      <c r="S65">
        <v>1735600</v>
      </c>
      <c r="T65">
        <v>1932648</v>
      </c>
      <c r="U65">
        <v>2038298</v>
      </c>
      <c r="V65">
        <v>1983894</v>
      </c>
      <c r="W65">
        <v>2681180</v>
      </c>
      <c r="X65">
        <v>3137314</v>
      </c>
      <c r="Y65">
        <v>3479417</v>
      </c>
      <c r="Z65">
        <v>3788048</v>
      </c>
      <c r="AA65">
        <v>4118124</v>
      </c>
      <c r="AB65">
        <v>4400000</v>
      </c>
      <c r="AC65">
        <v>5546000</v>
      </c>
      <c r="AD65">
        <v>3298000</v>
      </c>
      <c r="AE65">
        <v>4470000</v>
      </c>
      <c r="AF65">
        <v>5233000</v>
      </c>
      <c r="AG65">
        <v>5570000</v>
      </c>
      <c r="AH65">
        <v>6020000</v>
      </c>
      <c r="AI65">
        <v>6481000</v>
      </c>
      <c r="AJ65">
        <v>7287000</v>
      </c>
      <c r="AK65">
        <v>7347000</v>
      </c>
      <c r="AL65">
        <v>10663000</v>
      </c>
      <c r="AM65">
        <v>9746000</v>
      </c>
      <c r="AN65">
        <v>10125000</v>
      </c>
      <c r="AO65">
        <v>8955000</v>
      </c>
      <c r="AP65">
        <v>8950000</v>
      </c>
      <c r="AQ65">
        <v>8521000</v>
      </c>
      <c r="AR65">
        <v>8493000</v>
      </c>
      <c r="AS65">
        <v>7863000</v>
      </c>
      <c r="AT65">
        <v>6521000</v>
      </c>
      <c r="AU65">
        <v>6745000</v>
      </c>
      <c r="AV65">
        <v>6910000</v>
      </c>
    </row>
    <row r="66" spans="1:48">
      <c r="A66">
        <v>1</v>
      </c>
      <c r="B66">
        <v>65</v>
      </c>
      <c r="C66" t="s">
        <v>18</v>
      </c>
      <c r="D66" t="s">
        <v>200</v>
      </c>
      <c r="E66" t="s">
        <v>173</v>
      </c>
      <c r="F66" t="s">
        <v>38</v>
      </c>
      <c r="G66" t="s">
        <v>56</v>
      </c>
      <c r="H66">
        <v>0</v>
      </c>
      <c r="I66">
        <v>0</v>
      </c>
      <c r="J66" t="s">
        <v>182</v>
      </c>
      <c r="K66">
        <v>0</v>
      </c>
      <c r="L66">
        <v>0</v>
      </c>
      <c r="M66">
        <v>5001544</v>
      </c>
      <c r="N66">
        <v>5181941</v>
      </c>
      <c r="O66">
        <v>5784954</v>
      </c>
      <c r="P66">
        <v>5490291</v>
      </c>
      <c r="Q66">
        <v>5219565</v>
      </c>
      <c r="R66">
        <v>5769706</v>
      </c>
      <c r="S66">
        <v>6351160</v>
      </c>
      <c r="T66">
        <v>6524578</v>
      </c>
      <c r="U66">
        <v>7811307</v>
      </c>
      <c r="V66">
        <v>8544856</v>
      </c>
      <c r="W66">
        <v>9467745</v>
      </c>
      <c r="X66">
        <v>10040194</v>
      </c>
      <c r="Y66">
        <v>11392331</v>
      </c>
      <c r="Z66">
        <v>12368466</v>
      </c>
      <c r="AA66">
        <v>12776258</v>
      </c>
      <c r="AB66">
        <v>13560000</v>
      </c>
      <c r="AC66">
        <v>13029000</v>
      </c>
      <c r="AD66">
        <v>15402000</v>
      </c>
      <c r="AE66">
        <v>16220000</v>
      </c>
      <c r="AF66">
        <v>17187000</v>
      </c>
      <c r="AG66">
        <v>19262000</v>
      </c>
      <c r="AH66">
        <v>22383000</v>
      </c>
      <c r="AI66">
        <v>26340000</v>
      </c>
      <c r="AJ66">
        <v>29579000</v>
      </c>
      <c r="AK66">
        <v>32598000</v>
      </c>
      <c r="AL66">
        <v>33164000</v>
      </c>
      <c r="AM66">
        <v>35194000</v>
      </c>
      <c r="AN66">
        <v>35558000</v>
      </c>
      <c r="AO66">
        <v>38549000</v>
      </c>
      <c r="AP66">
        <v>40039000</v>
      </c>
      <c r="AQ66">
        <v>48385000</v>
      </c>
      <c r="AR66">
        <v>48197000</v>
      </c>
      <c r="AS66">
        <v>46478000</v>
      </c>
      <c r="AT66">
        <v>45679000</v>
      </c>
      <c r="AU66">
        <v>43501000</v>
      </c>
      <c r="AV66">
        <v>43770000</v>
      </c>
    </row>
    <row r="67" spans="1:48">
      <c r="A67">
        <v>1</v>
      </c>
      <c r="B67">
        <v>66</v>
      </c>
      <c r="C67" t="s">
        <v>18</v>
      </c>
      <c r="D67" t="s">
        <v>199</v>
      </c>
      <c r="E67" t="s">
        <v>181</v>
      </c>
      <c r="F67" t="s">
        <v>33</v>
      </c>
      <c r="G67" t="s">
        <v>92</v>
      </c>
      <c r="H67">
        <v>0</v>
      </c>
      <c r="I67">
        <v>0</v>
      </c>
      <c r="J67" t="s">
        <v>182</v>
      </c>
      <c r="K67">
        <v>0</v>
      </c>
      <c r="L67">
        <v>0</v>
      </c>
      <c r="M67">
        <v>48059</v>
      </c>
      <c r="N67">
        <v>45453</v>
      </c>
      <c r="O67">
        <v>47438</v>
      </c>
      <c r="P67">
        <v>54068</v>
      </c>
      <c r="Q67">
        <v>64094</v>
      </c>
      <c r="R67">
        <v>62047</v>
      </c>
      <c r="S67">
        <v>58902</v>
      </c>
      <c r="T67">
        <v>64517</v>
      </c>
      <c r="U67">
        <v>51142</v>
      </c>
      <c r="V67">
        <v>55415</v>
      </c>
      <c r="W67">
        <v>69630</v>
      </c>
      <c r="X67">
        <v>75211</v>
      </c>
      <c r="Y67">
        <v>70436</v>
      </c>
      <c r="Z67">
        <v>66466</v>
      </c>
      <c r="AA67">
        <v>74389</v>
      </c>
      <c r="AB67">
        <v>76000</v>
      </c>
      <c r="AC67">
        <v>73000</v>
      </c>
      <c r="AD67">
        <v>82000</v>
      </c>
      <c r="AE67">
        <v>83000</v>
      </c>
      <c r="AF67">
        <v>85000</v>
      </c>
      <c r="AG67">
        <v>88000</v>
      </c>
      <c r="AH67">
        <v>96000</v>
      </c>
      <c r="AI67">
        <v>98000</v>
      </c>
      <c r="AJ67">
        <v>110000</v>
      </c>
      <c r="AK67">
        <v>110000</v>
      </c>
      <c r="AL67">
        <v>109000</v>
      </c>
      <c r="AM67">
        <v>109000</v>
      </c>
      <c r="AN67">
        <v>109000</v>
      </c>
      <c r="AO67">
        <v>108000</v>
      </c>
      <c r="AP67">
        <v>113000</v>
      </c>
      <c r="AQ67">
        <v>113000</v>
      </c>
      <c r="AR67">
        <v>124000</v>
      </c>
      <c r="AS67">
        <v>124000</v>
      </c>
      <c r="AT67">
        <v>114000</v>
      </c>
      <c r="AU67">
        <v>120000</v>
      </c>
      <c r="AV67">
        <v>120000</v>
      </c>
    </row>
    <row r="68" spans="1:48">
      <c r="A68">
        <v>1</v>
      </c>
      <c r="B68">
        <v>67</v>
      </c>
      <c r="C68" t="s">
        <v>18</v>
      </c>
      <c r="D68" t="s">
        <v>199</v>
      </c>
      <c r="E68" t="s">
        <v>181</v>
      </c>
      <c r="F68" t="s">
        <v>33</v>
      </c>
      <c r="G68" t="s">
        <v>91</v>
      </c>
      <c r="H68">
        <v>0</v>
      </c>
      <c r="I68">
        <v>0</v>
      </c>
      <c r="J68" t="s">
        <v>182</v>
      </c>
      <c r="K68">
        <v>0</v>
      </c>
      <c r="L68">
        <v>0</v>
      </c>
      <c r="M68">
        <v>30107</v>
      </c>
      <c r="N68">
        <v>29558</v>
      </c>
      <c r="O68">
        <v>29238</v>
      </c>
      <c r="P68">
        <v>29237</v>
      </c>
      <c r="Q68">
        <v>31505</v>
      </c>
      <c r="R68">
        <v>33168</v>
      </c>
      <c r="S68">
        <v>32607</v>
      </c>
      <c r="T68">
        <v>33674</v>
      </c>
      <c r="U68">
        <v>34618</v>
      </c>
      <c r="V68">
        <v>36025</v>
      </c>
      <c r="W68">
        <v>36206</v>
      </c>
      <c r="X68">
        <v>38005</v>
      </c>
      <c r="Y68">
        <v>39321</v>
      </c>
      <c r="Z68">
        <v>36258</v>
      </c>
      <c r="AA68">
        <v>38875</v>
      </c>
      <c r="AB68">
        <v>41000</v>
      </c>
      <c r="AC68">
        <v>41000</v>
      </c>
      <c r="AD68">
        <v>42000</v>
      </c>
      <c r="AE68">
        <v>41000</v>
      </c>
      <c r="AF68">
        <v>44000</v>
      </c>
      <c r="AG68">
        <v>44000</v>
      </c>
      <c r="AH68">
        <v>44000</v>
      </c>
      <c r="AI68">
        <v>39000</v>
      </c>
      <c r="AJ68">
        <v>44000</v>
      </c>
      <c r="AK68">
        <v>43000</v>
      </c>
      <c r="AL68">
        <v>38000</v>
      </c>
      <c r="AM68">
        <v>38000</v>
      </c>
      <c r="AN68">
        <v>44000</v>
      </c>
      <c r="AO68">
        <v>49000</v>
      </c>
      <c r="AP68">
        <v>49000</v>
      </c>
      <c r="AQ68">
        <v>49000</v>
      </c>
      <c r="AR68">
        <v>47000</v>
      </c>
      <c r="AS68">
        <v>47000</v>
      </c>
      <c r="AT68">
        <v>46000</v>
      </c>
      <c r="AU68">
        <v>57000</v>
      </c>
      <c r="AV68">
        <v>52000</v>
      </c>
    </row>
    <row r="69" spans="1:48">
      <c r="A69">
        <v>1</v>
      </c>
      <c r="B69">
        <v>68</v>
      </c>
      <c r="C69" t="s">
        <v>18</v>
      </c>
      <c r="D69" t="s">
        <v>200</v>
      </c>
      <c r="E69" t="s">
        <v>181</v>
      </c>
      <c r="F69" t="s">
        <v>33</v>
      </c>
      <c r="G69" t="s">
        <v>91</v>
      </c>
      <c r="H69">
        <v>0</v>
      </c>
      <c r="I69">
        <v>0</v>
      </c>
      <c r="J69" t="s">
        <v>182</v>
      </c>
      <c r="K69">
        <v>0</v>
      </c>
      <c r="L69">
        <v>0</v>
      </c>
      <c r="M69">
        <v>717821</v>
      </c>
      <c r="N69">
        <v>736935</v>
      </c>
      <c r="O69">
        <v>747735</v>
      </c>
      <c r="P69">
        <v>780363</v>
      </c>
      <c r="Q69">
        <v>822081</v>
      </c>
      <c r="R69">
        <v>881852</v>
      </c>
      <c r="S69">
        <v>870218</v>
      </c>
      <c r="T69">
        <v>901402</v>
      </c>
      <c r="U69">
        <v>977638</v>
      </c>
      <c r="V69">
        <v>1048454</v>
      </c>
      <c r="W69">
        <v>1101564</v>
      </c>
      <c r="X69">
        <v>1229030</v>
      </c>
      <c r="Y69">
        <v>1335881</v>
      </c>
      <c r="Z69">
        <v>1344636</v>
      </c>
      <c r="AA69">
        <v>1385536</v>
      </c>
      <c r="AB69">
        <v>1502000</v>
      </c>
      <c r="AC69">
        <v>1440000</v>
      </c>
      <c r="AD69">
        <v>1422000</v>
      </c>
      <c r="AE69">
        <v>1201000</v>
      </c>
      <c r="AF69">
        <v>1299000</v>
      </c>
      <c r="AG69">
        <v>1167000</v>
      </c>
      <c r="AH69">
        <v>1399000</v>
      </c>
      <c r="AI69">
        <v>1314000</v>
      </c>
      <c r="AJ69">
        <v>1610000</v>
      </c>
      <c r="AK69">
        <v>1469000</v>
      </c>
      <c r="AL69">
        <v>1350000</v>
      </c>
      <c r="AM69">
        <v>1268000</v>
      </c>
      <c r="AN69">
        <v>1684000</v>
      </c>
      <c r="AO69">
        <v>1968000</v>
      </c>
      <c r="AP69">
        <v>3463000</v>
      </c>
      <c r="AQ69">
        <v>3164000</v>
      </c>
      <c r="AR69">
        <v>3008000</v>
      </c>
      <c r="AS69">
        <v>3467000</v>
      </c>
      <c r="AT69">
        <v>3098000</v>
      </c>
      <c r="AU69">
        <v>3651000</v>
      </c>
      <c r="AV69">
        <v>4168000</v>
      </c>
    </row>
    <row r="70" spans="1:48">
      <c r="A70">
        <v>1</v>
      </c>
      <c r="B70">
        <v>69</v>
      </c>
      <c r="C70" t="s">
        <v>18</v>
      </c>
      <c r="D70" t="s">
        <v>200</v>
      </c>
      <c r="E70" t="s">
        <v>179</v>
      </c>
      <c r="F70" t="s">
        <v>53</v>
      </c>
      <c r="G70" t="s">
        <v>19</v>
      </c>
      <c r="H70">
        <v>0</v>
      </c>
      <c r="I70">
        <v>0</v>
      </c>
      <c r="J70" t="s">
        <v>182</v>
      </c>
      <c r="K70">
        <v>0</v>
      </c>
      <c r="L70">
        <v>0</v>
      </c>
      <c r="M70">
        <v>32089580</v>
      </c>
      <c r="N70">
        <v>39148729</v>
      </c>
      <c r="O70">
        <v>46567472</v>
      </c>
      <c r="P70">
        <v>52587740</v>
      </c>
      <c r="Q70">
        <v>57537672</v>
      </c>
      <c r="R70">
        <v>65822367</v>
      </c>
      <c r="S70">
        <v>70163956</v>
      </c>
      <c r="T70">
        <v>75120105</v>
      </c>
      <c r="U70">
        <v>78878475</v>
      </c>
      <c r="V70">
        <v>84964394</v>
      </c>
      <c r="W70">
        <v>98101537</v>
      </c>
      <c r="X70">
        <v>104489292</v>
      </c>
      <c r="Y70">
        <v>119023572</v>
      </c>
      <c r="Z70">
        <v>130551946</v>
      </c>
      <c r="AA70">
        <v>144747722</v>
      </c>
      <c r="AB70">
        <v>159854000</v>
      </c>
      <c r="AC70">
        <v>174226000</v>
      </c>
      <c r="AD70">
        <v>190016000</v>
      </c>
      <c r="AE70">
        <v>192823000</v>
      </c>
      <c r="AF70">
        <v>190447000</v>
      </c>
      <c r="AG70">
        <v>197113000</v>
      </c>
      <c r="AH70">
        <v>217384000</v>
      </c>
      <c r="AI70">
        <v>230855000</v>
      </c>
      <c r="AJ70">
        <v>249433000</v>
      </c>
      <c r="AK70">
        <v>269360000</v>
      </c>
      <c r="AL70">
        <v>298638000</v>
      </c>
      <c r="AM70">
        <v>329838000</v>
      </c>
      <c r="AN70">
        <v>375401000</v>
      </c>
      <c r="AO70">
        <v>390775000</v>
      </c>
      <c r="AP70">
        <v>430095000</v>
      </c>
      <c r="AQ70">
        <v>451629000</v>
      </c>
      <c r="AR70">
        <v>485744000</v>
      </c>
      <c r="AS70">
        <v>472081000</v>
      </c>
      <c r="AT70">
        <v>497740000</v>
      </c>
      <c r="AU70">
        <v>511550000</v>
      </c>
      <c r="AV70">
        <v>546108000</v>
      </c>
    </row>
    <row r="71" spans="1:48">
      <c r="A71">
        <v>1</v>
      </c>
      <c r="B71">
        <v>70</v>
      </c>
      <c r="C71" t="s">
        <v>18</v>
      </c>
      <c r="D71" t="s">
        <v>199</v>
      </c>
      <c r="E71" t="s">
        <v>179</v>
      </c>
      <c r="F71" t="s">
        <v>53</v>
      </c>
      <c r="G71" t="s">
        <v>55</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row>
    <row r="72" spans="1:48">
      <c r="A72">
        <v>1</v>
      </c>
      <c r="B72">
        <v>71</v>
      </c>
      <c r="C72" t="s">
        <v>18</v>
      </c>
      <c r="D72" t="s">
        <v>200</v>
      </c>
      <c r="E72" t="s">
        <v>179</v>
      </c>
      <c r="F72" t="s">
        <v>53</v>
      </c>
      <c r="G72" t="s">
        <v>55</v>
      </c>
      <c r="H72">
        <v>0</v>
      </c>
      <c r="I72">
        <v>0</v>
      </c>
      <c r="J72">
        <v>0</v>
      </c>
      <c r="K72">
        <v>0</v>
      </c>
      <c r="L72">
        <v>0</v>
      </c>
      <c r="M72">
        <v>5083081</v>
      </c>
      <c r="N72">
        <v>5439462</v>
      </c>
      <c r="O72">
        <v>5570663</v>
      </c>
      <c r="P72">
        <v>5581077</v>
      </c>
      <c r="Q72">
        <v>5441411</v>
      </c>
      <c r="R72">
        <v>5616954</v>
      </c>
      <c r="S72">
        <v>5329680</v>
      </c>
      <c r="T72">
        <v>5564665</v>
      </c>
      <c r="U72">
        <v>5294174</v>
      </c>
      <c r="V72">
        <v>5650358</v>
      </c>
      <c r="W72">
        <v>5148327</v>
      </c>
      <c r="X72">
        <v>4945054</v>
      </c>
      <c r="Y72">
        <v>5482621</v>
      </c>
      <c r="Z72">
        <v>4346698</v>
      </c>
      <c r="AA72">
        <v>5720012</v>
      </c>
      <c r="AB72">
        <v>5106000</v>
      </c>
      <c r="AC72">
        <v>5281000</v>
      </c>
      <c r="AD72">
        <v>4752000</v>
      </c>
      <c r="AE72">
        <v>4665000</v>
      </c>
      <c r="AF72">
        <v>1959000</v>
      </c>
      <c r="AG72">
        <v>5298000</v>
      </c>
      <c r="AH72">
        <v>5943000</v>
      </c>
      <c r="AI72">
        <v>5855000</v>
      </c>
      <c r="AJ72">
        <v>7103000</v>
      </c>
      <c r="AK72">
        <v>6588000</v>
      </c>
      <c r="AL72">
        <v>7043000</v>
      </c>
      <c r="AM72">
        <v>4651000</v>
      </c>
      <c r="AN72">
        <v>7943000</v>
      </c>
      <c r="AO72">
        <v>9066000</v>
      </c>
      <c r="AP72">
        <v>8342000</v>
      </c>
      <c r="AQ72">
        <v>6737000</v>
      </c>
      <c r="AR72">
        <v>6913000</v>
      </c>
      <c r="AS72">
        <v>8014000</v>
      </c>
      <c r="AT72">
        <v>7165000</v>
      </c>
      <c r="AU72">
        <v>8889000</v>
      </c>
      <c r="AV72">
        <v>7979000</v>
      </c>
    </row>
    <row r="73" spans="1:48">
      <c r="A73">
        <v>1</v>
      </c>
      <c r="B73">
        <v>72</v>
      </c>
      <c r="C73" t="s">
        <v>18</v>
      </c>
      <c r="D73" t="s">
        <v>200</v>
      </c>
      <c r="E73" t="s">
        <v>41</v>
      </c>
      <c r="F73" t="s">
        <v>42</v>
      </c>
      <c r="G73">
        <v>0</v>
      </c>
      <c r="H73">
        <v>0</v>
      </c>
      <c r="I73">
        <v>0</v>
      </c>
      <c r="J73">
        <v>0</v>
      </c>
      <c r="K73">
        <v>0</v>
      </c>
      <c r="L73">
        <v>0</v>
      </c>
      <c r="M73">
        <v>27291545</v>
      </c>
      <c r="N73">
        <v>32183775</v>
      </c>
      <c r="O73">
        <v>35373841</v>
      </c>
      <c r="P73">
        <v>37623621</v>
      </c>
      <c r="Q73">
        <v>39494300</v>
      </c>
      <c r="R73">
        <v>39912061</v>
      </c>
      <c r="S73">
        <v>42109868</v>
      </c>
      <c r="T73">
        <v>45663822</v>
      </c>
      <c r="U73">
        <v>48765083</v>
      </c>
      <c r="V73">
        <v>49928918</v>
      </c>
      <c r="W73">
        <v>53784454</v>
      </c>
      <c r="X73">
        <v>58578259</v>
      </c>
      <c r="Y73">
        <v>60725666</v>
      </c>
      <c r="Z73">
        <v>63105146</v>
      </c>
      <c r="AA73">
        <v>65940147</v>
      </c>
      <c r="AB73">
        <v>69728000</v>
      </c>
      <c r="AC73">
        <v>72395000</v>
      </c>
      <c r="AD73">
        <v>76359000</v>
      </c>
      <c r="AE73">
        <v>78205000</v>
      </c>
      <c r="AF73">
        <v>80219000</v>
      </c>
      <c r="AG73">
        <v>82209000</v>
      </c>
      <c r="AH73">
        <v>85955000</v>
      </c>
      <c r="AI73">
        <v>88726000</v>
      </c>
      <c r="AJ73">
        <v>94896000</v>
      </c>
      <c r="AK73">
        <v>99772000</v>
      </c>
      <c r="AL73">
        <v>106036000</v>
      </c>
      <c r="AM73">
        <v>111780000</v>
      </c>
      <c r="AN73">
        <v>119412000</v>
      </c>
      <c r="AO73">
        <v>126354000</v>
      </c>
      <c r="AP73">
        <v>136156000</v>
      </c>
      <c r="AQ73">
        <v>137337000</v>
      </c>
      <c r="AR73">
        <v>140749000</v>
      </c>
      <c r="AS73">
        <v>140183000</v>
      </c>
      <c r="AT73">
        <v>149200000</v>
      </c>
      <c r="AU73">
        <v>155525000</v>
      </c>
      <c r="AV73">
        <v>161846000</v>
      </c>
    </row>
    <row r="74" spans="1:48">
      <c r="A74">
        <v>1</v>
      </c>
      <c r="B74">
        <v>73</v>
      </c>
      <c r="C74" t="s">
        <v>0</v>
      </c>
      <c r="D74" t="s">
        <v>200</v>
      </c>
      <c r="E74" t="s">
        <v>224</v>
      </c>
      <c r="F74" t="s">
        <v>6</v>
      </c>
      <c r="G74" t="s">
        <v>232</v>
      </c>
      <c r="H74">
        <v>0</v>
      </c>
      <c r="I74">
        <v>0</v>
      </c>
      <c r="J74">
        <v>0</v>
      </c>
      <c r="K74">
        <v>0</v>
      </c>
      <c r="L74">
        <v>0</v>
      </c>
      <c r="M74">
        <v>0</v>
      </c>
      <c r="N74">
        <v>0</v>
      </c>
      <c r="O74">
        <v>36007</v>
      </c>
      <c r="P74">
        <v>247547</v>
      </c>
      <c r="Q74">
        <v>169468</v>
      </c>
      <c r="R74">
        <v>341645</v>
      </c>
      <c r="S74">
        <v>292044</v>
      </c>
      <c r="T74">
        <v>285237</v>
      </c>
      <c r="U74">
        <v>216070</v>
      </c>
      <c r="V74">
        <v>242887</v>
      </c>
      <c r="W74">
        <v>317219</v>
      </c>
      <c r="X74">
        <v>339013</v>
      </c>
      <c r="Y74">
        <v>744519</v>
      </c>
      <c r="Z74">
        <v>964385</v>
      </c>
      <c r="AA74">
        <v>766040</v>
      </c>
      <c r="AB74">
        <v>660000</v>
      </c>
      <c r="AC74">
        <v>599000</v>
      </c>
      <c r="AD74">
        <v>602000</v>
      </c>
      <c r="AE74">
        <v>508000</v>
      </c>
      <c r="AF74">
        <v>403000</v>
      </c>
      <c r="AG74">
        <v>397000</v>
      </c>
      <c r="AH74">
        <v>432000</v>
      </c>
      <c r="AI74">
        <v>448000</v>
      </c>
      <c r="AJ74">
        <v>626000</v>
      </c>
      <c r="AK74">
        <v>744000</v>
      </c>
      <c r="AL74">
        <v>773000</v>
      </c>
      <c r="AM74">
        <v>828000</v>
      </c>
      <c r="AN74">
        <v>756000</v>
      </c>
      <c r="AO74">
        <v>722000</v>
      </c>
      <c r="AP74">
        <v>1070000</v>
      </c>
      <c r="AQ74">
        <v>1228000</v>
      </c>
      <c r="AR74">
        <v>1409000</v>
      </c>
      <c r="AS74">
        <v>1387000</v>
      </c>
      <c r="AT74">
        <v>1153000</v>
      </c>
      <c r="AU74">
        <v>998000</v>
      </c>
      <c r="AV74">
        <v>775000</v>
      </c>
    </row>
    <row r="75" spans="1:48">
      <c r="A75">
        <v>1</v>
      </c>
      <c r="B75">
        <v>74</v>
      </c>
      <c r="C75" t="s">
        <v>18</v>
      </c>
      <c r="D75" t="s">
        <v>199</v>
      </c>
      <c r="E75" t="s">
        <v>173</v>
      </c>
      <c r="F75" t="s">
        <v>39</v>
      </c>
      <c r="G75" t="s">
        <v>20</v>
      </c>
      <c r="H75">
        <v>0</v>
      </c>
      <c r="I75">
        <v>0</v>
      </c>
      <c r="J75">
        <v>0</v>
      </c>
      <c r="K75">
        <v>0</v>
      </c>
      <c r="L75">
        <v>0</v>
      </c>
      <c r="M75">
        <v>1137941</v>
      </c>
      <c r="N75">
        <v>1315324</v>
      </c>
      <c r="O75">
        <v>1422033</v>
      </c>
      <c r="P75">
        <v>1717549</v>
      </c>
      <c r="Q75">
        <v>1552316</v>
      </c>
      <c r="R75">
        <v>1576043</v>
      </c>
      <c r="S75">
        <v>1569503</v>
      </c>
      <c r="T75">
        <v>1559620</v>
      </c>
      <c r="U75">
        <v>1609657</v>
      </c>
      <c r="V75">
        <v>1713929</v>
      </c>
      <c r="W75">
        <v>1741779</v>
      </c>
      <c r="X75">
        <v>1953863</v>
      </c>
      <c r="Y75">
        <v>2488188</v>
      </c>
      <c r="Z75">
        <v>2535643</v>
      </c>
      <c r="AA75">
        <v>2272671</v>
      </c>
      <c r="AB75">
        <v>2316000</v>
      </c>
      <c r="AC75">
        <v>2298000</v>
      </c>
      <c r="AD75">
        <v>2293000</v>
      </c>
      <c r="AE75">
        <v>2327000</v>
      </c>
      <c r="AF75">
        <v>2496000</v>
      </c>
      <c r="AG75">
        <v>2359000</v>
      </c>
      <c r="AH75">
        <v>2364000</v>
      </c>
      <c r="AI75">
        <v>2802000</v>
      </c>
      <c r="AJ75">
        <v>2624000</v>
      </c>
      <c r="AK75">
        <v>2650000</v>
      </c>
      <c r="AL75">
        <v>3198000</v>
      </c>
      <c r="AM75">
        <v>2668000</v>
      </c>
      <c r="AN75">
        <v>2529000</v>
      </c>
      <c r="AO75">
        <v>2551000</v>
      </c>
      <c r="AP75">
        <v>3917000</v>
      </c>
      <c r="AQ75">
        <v>4823000</v>
      </c>
      <c r="AR75">
        <v>5362000</v>
      </c>
      <c r="AS75">
        <v>2517000</v>
      </c>
      <c r="AT75">
        <v>3730000</v>
      </c>
      <c r="AU75">
        <v>2969000</v>
      </c>
      <c r="AV75">
        <v>1591000</v>
      </c>
    </row>
    <row r="76" spans="1:48">
      <c r="A76">
        <v>1</v>
      </c>
      <c r="B76">
        <v>75</v>
      </c>
      <c r="C76" t="s">
        <v>18</v>
      </c>
      <c r="D76" t="s">
        <v>200</v>
      </c>
      <c r="E76" t="s">
        <v>173</v>
      </c>
      <c r="F76" t="s">
        <v>39</v>
      </c>
      <c r="G76" t="s">
        <v>20</v>
      </c>
      <c r="H76">
        <v>0</v>
      </c>
      <c r="I76">
        <v>0</v>
      </c>
      <c r="J76">
        <v>0</v>
      </c>
      <c r="K76">
        <v>0</v>
      </c>
      <c r="L76">
        <v>0</v>
      </c>
      <c r="M76">
        <v>16913119</v>
      </c>
      <c r="N76">
        <v>18340985</v>
      </c>
      <c r="O76">
        <v>22341745</v>
      </c>
      <c r="P76">
        <v>29993662</v>
      </c>
      <c r="Q76">
        <v>17038028</v>
      </c>
      <c r="R76">
        <v>16240750</v>
      </c>
      <c r="S76">
        <v>16475820</v>
      </c>
      <c r="T76">
        <v>15806021</v>
      </c>
      <c r="U76">
        <v>13876964</v>
      </c>
      <c r="V76">
        <v>14145291</v>
      </c>
      <c r="W76">
        <v>17464552</v>
      </c>
      <c r="X76">
        <v>25469338</v>
      </c>
      <c r="Y76">
        <v>37722499</v>
      </c>
      <c r="Z76">
        <v>36230267</v>
      </c>
      <c r="AA76">
        <v>27222191</v>
      </c>
      <c r="AB76">
        <v>21982000</v>
      </c>
      <c r="AC76">
        <v>23199000</v>
      </c>
      <c r="AD76">
        <v>21197000</v>
      </c>
      <c r="AE76">
        <v>20251000</v>
      </c>
      <c r="AF76">
        <v>21538000</v>
      </c>
      <c r="AG76">
        <v>21050000</v>
      </c>
      <c r="AH76">
        <v>28310000</v>
      </c>
      <c r="AI76">
        <v>50913000</v>
      </c>
      <c r="AJ76">
        <v>55056000</v>
      </c>
      <c r="AK76">
        <v>43088000</v>
      </c>
      <c r="AL76">
        <v>33010000</v>
      </c>
      <c r="AM76">
        <v>31974000</v>
      </c>
      <c r="AN76">
        <v>33334000</v>
      </c>
      <c r="AO76">
        <v>43511000</v>
      </c>
      <c r="AP76">
        <v>119690000</v>
      </c>
      <c r="AQ76">
        <v>156550000</v>
      </c>
      <c r="AR76">
        <v>116603000</v>
      </c>
      <c r="AS76">
        <v>92641000</v>
      </c>
      <c r="AT76">
        <v>68152000</v>
      </c>
      <c r="AU76">
        <v>43746000</v>
      </c>
      <c r="AV76">
        <v>34162000</v>
      </c>
    </row>
    <row r="77" spans="1:48">
      <c r="A77">
        <v>1</v>
      </c>
      <c r="B77">
        <v>76</v>
      </c>
      <c r="C77" t="s">
        <v>18</v>
      </c>
      <c r="D77" t="s">
        <v>199</v>
      </c>
      <c r="E77" t="s">
        <v>173</v>
      </c>
      <c r="F77" t="s">
        <v>39</v>
      </c>
      <c r="G77" t="s">
        <v>174</v>
      </c>
      <c r="H77" t="s">
        <v>111</v>
      </c>
      <c r="I77">
        <v>0</v>
      </c>
      <c r="J77">
        <v>0</v>
      </c>
      <c r="K77">
        <v>0</v>
      </c>
      <c r="L77">
        <v>0</v>
      </c>
      <c r="M77">
        <v>3452878</v>
      </c>
      <c r="N77">
        <v>4058580</v>
      </c>
      <c r="O77">
        <v>4921918</v>
      </c>
      <c r="P77">
        <v>5718110</v>
      </c>
      <c r="Q77">
        <v>5768935</v>
      </c>
      <c r="R77">
        <v>6417011</v>
      </c>
      <c r="S77">
        <v>7442787</v>
      </c>
      <c r="T77">
        <v>7400093</v>
      </c>
      <c r="U77">
        <v>8650829</v>
      </c>
      <c r="V77">
        <v>8553124</v>
      </c>
      <c r="W77">
        <v>9552419</v>
      </c>
      <c r="X77">
        <v>10466473</v>
      </c>
      <c r="Y77">
        <v>12289667</v>
      </c>
      <c r="Z77">
        <v>14125598</v>
      </c>
      <c r="AA77">
        <v>15809694</v>
      </c>
      <c r="AB77">
        <v>18434000</v>
      </c>
      <c r="AC77">
        <v>16789000</v>
      </c>
      <c r="AD77">
        <v>17717000</v>
      </c>
      <c r="AE77">
        <v>19668000</v>
      </c>
      <c r="AF77">
        <v>22830000</v>
      </c>
      <c r="AG77">
        <v>19974000</v>
      </c>
      <c r="AH77">
        <v>21139000</v>
      </c>
      <c r="AI77">
        <v>23661000</v>
      </c>
      <c r="AJ77">
        <v>25975000</v>
      </c>
      <c r="AK77">
        <v>27038000</v>
      </c>
      <c r="AL77">
        <v>30203000</v>
      </c>
      <c r="AM77">
        <v>27957000</v>
      </c>
      <c r="AN77">
        <v>28883000</v>
      </c>
      <c r="AO77">
        <v>29184000</v>
      </c>
      <c r="AP77">
        <v>29965000</v>
      </c>
      <c r="AQ77">
        <v>37505000</v>
      </c>
      <c r="AR77">
        <v>35850000</v>
      </c>
      <c r="AS77">
        <v>29875000</v>
      </c>
      <c r="AT77">
        <v>27941000</v>
      </c>
      <c r="AU77">
        <v>28474000</v>
      </c>
      <c r="AV77">
        <v>28561000</v>
      </c>
    </row>
    <row r="78" spans="1:48">
      <c r="A78">
        <v>1</v>
      </c>
      <c r="B78">
        <v>77</v>
      </c>
      <c r="C78" t="s">
        <v>18</v>
      </c>
      <c r="D78" t="s">
        <v>200</v>
      </c>
      <c r="E78" t="s">
        <v>173</v>
      </c>
      <c r="F78" t="s">
        <v>39</v>
      </c>
      <c r="G78" t="s">
        <v>174</v>
      </c>
      <c r="H78" t="s">
        <v>111</v>
      </c>
      <c r="I78">
        <v>0</v>
      </c>
      <c r="J78">
        <v>0</v>
      </c>
      <c r="K78">
        <v>0</v>
      </c>
      <c r="L78">
        <v>0</v>
      </c>
      <c r="M78">
        <v>2187172</v>
      </c>
      <c r="N78">
        <v>3698515</v>
      </c>
      <c r="O78">
        <v>3819400</v>
      </c>
      <c r="P78">
        <v>4283284</v>
      </c>
      <c r="Q78">
        <v>5504272</v>
      </c>
      <c r="R78">
        <v>18848995</v>
      </c>
      <c r="S78">
        <v>4943041</v>
      </c>
      <c r="T78">
        <v>5258312</v>
      </c>
      <c r="U78">
        <v>5258669</v>
      </c>
      <c r="V78">
        <v>6164042</v>
      </c>
      <c r="W78">
        <v>6354607</v>
      </c>
      <c r="X78">
        <v>6731975</v>
      </c>
      <c r="Y78">
        <v>6654119</v>
      </c>
      <c r="Z78">
        <v>7455953</v>
      </c>
      <c r="AA78">
        <v>8130857</v>
      </c>
      <c r="AB78">
        <v>9156000</v>
      </c>
      <c r="AC78">
        <v>10048000</v>
      </c>
      <c r="AD78">
        <v>10165000</v>
      </c>
      <c r="AE78">
        <v>9163000</v>
      </c>
      <c r="AF78">
        <v>4971000</v>
      </c>
      <c r="AG78">
        <v>8977000</v>
      </c>
      <c r="AH78">
        <v>9112000</v>
      </c>
      <c r="AI78">
        <v>9591000</v>
      </c>
      <c r="AJ78">
        <v>9552000</v>
      </c>
      <c r="AK78">
        <v>9754000</v>
      </c>
      <c r="AL78">
        <v>7698000</v>
      </c>
      <c r="AM78">
        <v>10343000</v>
      </c>
      <c r="AN78">
        <v>10838000</v>
      </c>
      <c r="AO78">
        <v>11378000</v>
      </c>
      <c r="AP78">
        <v>20958000</v>
      </c>
      <c r="AQ78">
        <v>21154000</v>
      </c>
      <c r="AR78">
        <v>19603000</v>
      </c>
      <c r="AS78">
        <v>18101000</v>
      </c>
      <c r="AT78">
        <v>18763000</v>
      </c>
      <c r="AU78">
        <v>19254000</v>
      </c>
      <c r="AV78">
        <v>19280000</v>
      </c>
    </row>
    <row r="79" spans="1:48">
      <c r="A79">
        <v>1</v>
      </c>
      <c r="B79">
        <v>78</v>
      </c>
      <c r="C79" t="s">
        <v>18</v>
      </c>
      <c r="D79" t="s">
        <v>200</v>
      </c>
      <c r="E79" t="s">
        <v>173</v>
      </c>
      <c r="F79" t="s">
        <v>39</v>
      </c>
      <c r="G79" t="s">
        <v>174</v>
      </c>
      <c r="H79" t="s">
        <v>213</v>
      </c>
      <c r="I79">
        <v>0</v>
      </c>
      <c r="J79">
        <v>0</v>
      </c>
      <c r="K79">
        <v>0</v>
      </c>
      <c r="L79">
        <v>0</v>
      </c>
      <c r="M79">
        <v>8942004</v>
      </c>
      <c r="N79">
        <v>11039193</v>
      </c>
      <c r="O79">
        <v>10524444</v>
      </c>
      <c r="P79">
        <v>11478759</v>
      </c>
      <c r="Q79">
        <v>11113932</v>
      </c>
      <c r="R79">
        <v>11108630</v>
      </c>
      <c r="S79">
        <v>10895071</v>
      </c>
      <c r="T79">
        <v>10673718</v>
      </c>
      <c r="U79">
        <v>11394882</v>
      </c>
      <c r="V79">
        <v>11869554</v>
      </c>
      <c r="W79">
        <v>14024265</v>
      </c>
      <c r="X79">
        <v>17528209</v>
      </c>
      <c r="Y79">
        <v>20463697</v>
      </c>
      <c r="Z79">
        <v>22250853</v>
      </c>
      <c r="AA79">
        <v>23076121</v>
      </c>
      <c r="AB79">
        <v>23053000</v>
      </c>
      <c r="AC79">
        <v>22634000</v>
      </c>
      <c r="AD79">
        <v>19982000</v>
      </c>
      <c r="AE79">
        <v>16714000</v>
      </c>
      <c r="AF79">
        <v>15907000</v>
      </c>
      <c r="AG79">
        <v>15063000</v>
      </c>
      <c r="AH79">
        <v>15702000</v>
      </c>
      <c r="AI79">
        <v>18399000</v>
      </c>
      <c r="AJ79">
        <v>21484000</v>
      </c>
      <c r="AK79">
        <v>24742000</v>
      </c>
      <c r="AL79">
        <v>28566000</v>
      </c>
      <c r="AM79">
        <v>30372000</v>
      </c>
      <c r="AN79">
        <v>30641000</v>
      </c>
      <c r="AO79">
        <v>34743000</v>
      </c>
      <c r="AP79">
        <v>50311000</v>
      </c>
      <c r="AQ79">
        <v>65116000</v>
      </c>
      <c r="AR79">
        <v>72025000</v>
      </c>
      <c r="AS79">
        <v>73775000</v>
      </c>
      <c r="AT79">
        <v>76689000</v>
      </c>
      <c r="AU79">
        <v>70640000</v>
      </c>
      <c r="AV79">
        <v>71262000</v>
      </c>
    </row>
    <row r="80" spans="1:48">
      <c r="A80">
        <v>1</v>
      </c>
      <c r="B80">
        <v>79</v>
      </c>
      <c r="C80" t="s">
        <v>18</v>
      </c>
      <c r="D80" t="s">
        <v>199</v>
      </c>
      <c r="E80" t="s">
        <v>173</v>
      </c>
      <c r="F80" t="s">
        <v>39</v>
      </c>
      <c r="G80" t="s">
        <v>174</v>
      </c>
      <c r="H80" t="s">
        <v>213</v>
      </c>
      <c r="I80">
        <v>0</v>
      </c>
      <c r="J80">
        <v>0</v>
      </c>
      <c r="K80">
        <v>0</v>
      </c>
      <c r="L80">
        <v>0</v>
      </c>
      <c r="M80">
        <v>5074426</v>
      </c>
      <c r="N80">
        <v>5165345</v>
      </c>
      <c r="O80">
        <v>5056337</v>
      </c>
      <c r="P80">
        <v>6479980</v>
      </c>
      <c r="Q80">
        <v>6989341</v>
      </c>
      <c r="R80">
        <v>7480966</v>
      </c>
      <c r="S80">
        <v>7756486</v>
      </c>
      <c r="T80">
        <v>8313019</v>
      </c>
      <c r="U80">
        <v>8737037</v>
      </c>
      <c r="V80">
        <v>9483712</v>
      </c>
      <c r="W80">
        <v>10106692</v>
      </c>
      <c r="X80">
        <v>11121269</v>
      </c>
      <c r="Y80">
        <v>12323499</v>
      </c>
      <c r="Z80">
        <v>13060699</v>
      </c>
      <c r="AA80">
        <v>13816315</v>
      </c>
      <c r="AB80">
        <v>14541000</v>
      </c>
      <c r="AC80">
        <v>15299000</v>
      </c>
      <c r="AD80">
        <v>16079000</v>
      </c>
      <c r="AE80">
        <v>16871000</v>
      </c>
      <c r="AF80">
        <v>17240000</v>
      </c>
      <c r="AG80">
        <v>17420000</v>
      </c>
      <c r="AH80">
        <v>18351000</v>
      </c>
      <c r="AI80">
        <v>19751000</v>
      </c>
      <c r="AJ80">
        <v>21042000</v>
      </c>
      <c r="AK80">
        <v>21270000</v>
      </c>
      <c r="AL80">
        <v>22267000</v>
      </c>
      <c r="AM80">
        <v>23556000</v>
      </c>
      <c r="AN80">
        <v>23817000</v>
      </c>
      <c r="AO80">
        <v>25930000</v>
      </c>
      <c r="AP80">
        <v>28769000</v>
      </c>
      <c r="AQ80">
        <v>29994000</v>
      </c>
      <c r="AR80">
        <v>31174000</v>
      </c>
      <c r="AS80">
        <v>33096000</v>
      </c>
      <c r="AT80">
        <v>33017000</v>
      </c>
      <c r="AU80">
        <v>32296000</v>
      </c>
      <c r="AV80">
        <v>33535000</v>
      </c>
    </row>
    <row r="81" spans="1:48">
      <c r="A81">
        <v>1</v>
      </c>
      <c r="B81">
        <v>80</v>
      </c>
      <c r="C81" t="s">
        <v>18</v>
      </c>
      <c r="D81" t="s">
        <v>199</v>
      </c>
      <c r="E81" t="s">
        <v>173</v>
      </c>
      <c r="F81" t="s">
        <v>39</v>
      </c>
      <c r="G81" t="s">
        <v>174</v>
      </c>
      <c r="H81" t="s">
        <v>175</v>
      </c>
      <c r="I81">
        <v>0</v>
      </c>
      <c r="J81">
        <v>0</v>
      </c>
      <c r="K81">
        <v>0</v>
      </c>
      <c r="L81">
        <v>0</v>
      </c>
      <c r="M81">
        <v>1179617</v>
      </c>
      <c r="N81">
        <v>1653394</v>
      </c>
      <c r="O81">
        <v>1684740</v>
      </c>
      <c r="P81">
        <v>1990907</v>
      </c>
      <c r="Q81">
        <v>2023678</v>
      </c>
      <c r="R81">
        <v>2139340</v>
      </c>
      <c r="S81">
        <v>2051701</v>
      </c>
      <c r="T81">
        <v>1831706</v>
      </c>
      <c r="U81">
        <v>1595147</v>
      </c>
      <c r="V81">
        <v>1396823</v>
      </c>
      <c r="W81">
        <v>1318182</v>
      </c>
      <c r="X81">
        <v>1742075</v>
      </c>
      <c r="Y81">
        <v>1142000</v>
      </c>
      <c r="Z81">
        <v>1067469</v>
      </c>
      <c r="AA81">
        <v>2125424</v>
      </c>
      <c r="AB81">
        <v>1419000</v>
      </c>
      <c r="AC81">
        <v>1067000</v>
      </c>
      <c r="AD81">
        <v>1221000</v>
      </c>
      <c r="AE81">
        <v>1132000</v>
      </c>
      <c r="AF81">
        <v>1176000</v>
      </c>
      <c r="AG81">
        <v>1495000</v>
      </c>
      <c r="AH81">
        <v>2161000</v>
      </c>
      <c r="AI81">
        <v>1773000</v>
      </c>
      <c r="AJ81">
        <v>2030000</v>
      </c>
      <c r="AK81">
        <v>1891000</v>
      </c>
      <c r="AL81">
        <v>2095000</v>
      </c>
      <c r="AM81">
        <v>2637000</v>
      </c>
      <c r="AN81">
        <v>2498000</v>
      </c>
      <c r="AO81">
        <v>2663000</v>
      </c>
      <c r="AP81">
        <v>4533000</v>
      </c>
      <c r="AQ81">
        <v>4598000</v>
      </c>
      <c r="AR81">
        <v>4419000</v>
      </c>
      <c r="AS81">
        <v>3817000</v>
      </c>
      <c r="AT81">
        <v>3532000</v>
      </c>
      <c r="AU81">
        <v>3537000</v>
      </c>
      <c r="AV81">
        <v>3437000</v>
      </c>
    </row>
    <row r="82" spans="1:48">
      <c r="A82">
        <v>1</v>
      </c>
      <c r="B82">
        <v>81</v>
      </c>
      <c r="C82" t="s">
        <v>18</v>
      </c>
      <c r="D82" t="s">
        <v>199</v>
      </c>
      <c r="E82" t="s">
        <v>173</v>
      </c>
      <c r="F82" t="s">
        <v>39</v>
      </c>
      <c r="G82" t="s">
        <v>189</v>
      </c>
      <c r="H82" t="s">
        <v>105</v>
      </c>
      <c r="I82">
        <v>0</v>
      </c>
      <c r="J82">
        <v>0</v>
      </c>
      <c r="K82">
        <v>0</v>
      </c>
      <c r="L82">
        <v>0</v>
      </c>
      <c r="M82">
        <v>338227</v>
      </c>
      <c r="N82">
        <v>640805</v>
      </c>
      <c r="O82">
        <v>877729</v>
      </c>
      <c r="P82">
        <v>504139</v>
      </c>
      <c r="Q82">
        <v>585477</v>
      </c>
      <c r="R82">
        <v>420057</v>
      </c>
      <c r="S82">
        <v>422197</v>
      </c>
      <c r="T82">
        <v>373808</v>
      </c>
      <c r="U82">
        <v>311787</v>
      </c>
      <c r="V82">
        <v>370255</v>
      </c>
      <c r="W82">
        <v>391089</v>
      </c>
      <c r="X82">
        <v>228336</v>
      </c>
      <c r="Y82">
        <v>304098</v>
      </c>
      <c r="Z82">
        <v>326585</v>
      </c>
      <c r="AA82">
        <v>332552</v>
      </c>
      <c r="AB82">
        <v>346000</v>
      </c>
      <c r="AC82">
        <v>319000</v>
      </c>
      <c r="AD82">
        <v>277000</v>
      </c>
      <c r="AE82">
        <v>294000</v>
      </c>
      <c r="AF82">
        <v>236000</v>
      </c>
      <c r="AG82">
        <v>280000</v>
      </c>
      <c r="AH82">
        <v>345000</v>
      </c>
      <c r="AI82">
        <v>362000</v>
      </c>
      <c r="AJ82">
        <v>352000</v>
      </c>
      <c r="AK82">
        <v>425000</v>
      </c>
      <c r="AL82">
        <v>419000</v>
      </c>
      <c r="AM82">
        <v>425000</v>
      </c>
      <c r="AN82">
        <v>389000</v>
      </c>
      <c r="AO82">
        <v>471000</v>
      </c>
      <c r="AP82">
        <v>544000</v>
      </c>
      <c r="AQ82">
        <v>571000</v>
      </c>
      <c r="AR82">
        <v>632000</v>
      </c>
      <c r="AS82">
        <v>633000</v>
      </c>
      <c r="AT82">
        <v>288000</v>
      </c>
      <c r="AU82">
        <v>672000</v>
      </c>
      <c r="AV82">
        <v>812000</v>
      </c>
    </row>
    <row r="83" spans="1:48">
      <c r="A83">
        <v>1</v>
      </c>
      <c r="B83">
        <v>82</v>
      </c>
      <c r="C83" t="s">
        <v>18</v>
      </c>
      <c r="D83" t="s">
        <v>200</v>
      </c>
      <c r="E83" t="s">
        <v>173</v>
      </c>
      <c r="F83" t="s">
        <v>39</v>
      </c>
      <c r="G83" t="s">
        <v>174</v>
      </c>
      <c r="H83" t="s">
        <v>110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2000</v>
      </c>
      <c r="AF83">
        <v>3000</v>
      </c>
      <c r="AG83">
        <v>5000</v>
      </c>
      <c r="AH83">
        <v>12000</v>
      </c>
      <c r="AI83">
        <v>14000</v>
      </c>
      <c r="AJ83">
        <v>14000</v>
      </c>
      <c r="AK83">
        <v>7000</v>
      </c>
      <c r="AL83">
        <v>7000</v>
      </c>
      <c r="AM83">
        <v>7000</v>
      </c>
      <c r="AN83">
        <v>7000</v>
      </c>
      <c r="AO83">
        <v>6000</v>
      </c>
      <c r="AP83">
        <v>7000</v>
      </c>
      <c r="AQ83">
        <v>7000</v>
      </c>
      <c r="AR83">
        <v>9000</v>
      </c>
      <c r="AS83">
        <v>9000</v>
      </c>
      <c r="AT83">
        <v>9000</v>
      </c>
      <c r="AU83">
        <v>9000</v>
      </c>
      <c r="AV83">
        <v>12000</v>
      </c>
    </row>
    <row r="84" spans="1:48">
      <c r="A84">
        <v>1</v>
      </c>
      <c r="B84">
        <v>83</v>
      </c>
      <c r="C84" t="s">
        <v>18</v>
      </c>
      <c r="D84" t="s">
        <v>199</v>
      </c>
      <c r="E84" t="s">
        <v>173</v>
      </c>
      <c r="F84" t="s">
        <v>39</v>
      </c>
      <c r="G84" t="s">
        <v>174</v>
      </c>
      <c r="H84" t="s">
        <v>110</v>
      </c>
      <c r="I84">
        <v>0</v>
      </c>
      <c r="J84">
        <v>0</v>
      </c>
      <c r="K84">
        <v>0</v>
      </c>
      <c r="L84">
        <v>0</v>
      </c>
      <c r="M84">
        <v>0</v>
      </c>
      <c r="N84">
        <v>0</v>
      </c>
      <c r="O84">
        <v>0</v>
      </c>
      <c r="P84">
        <v>0</v>
      </c>
      <c r="Q84">
        <v>0</v>
      </c>
      <c r="R84">
        <v>0</v>
      </c>
      <c r="S84">
        <v>0</v>
      </c>
      <c r="T84">
        <v>0</v>
      </c>
      <c r="U84">
        <v>0</v>
      </c>
      <c r="V84">
        <v>0</v>
      </c>
      <c r="W84">
        <v>0</v>
      </c>
      <c r="X84">
        <v>0</v>
      </c>
      <c r="Y84">
        <v>0</v>
      </c>
      <c r="Z84">
        <v>410841</v>
      </c>
      <c r="AA84">
        <v>786421</v>
      </c>
      <c r="AB84">
        <v>933000</v>
      </c>
      <c r="AC84">
        <v>933000</v>
      </c>
      <c r="AD84">
        <v>2307000</v>
      </c>
      <c r="AE84">
        <v>3120000</v>
      </c>
      <c r="AF84">
        <v>3283000</v>
      </c>
      <c r="AG84">
        <v>3302000</v>
      </c>
      <c r="AH84">
        <v>3705000</v>
      </c>
      <c r="AI84">
        <v>4525000</v>
      </c>
      <c r="AJ84">
        <v>5189000</v>
      </c>
      <c r="AK84">
        <v>4826000</v>
      </c>
      <c r="AL84">
        <v>4894000</v>
      </c>
      <c r="AM84">
        <v>5245000</v>
      </c>
      <c r="AN84">
        <v>5122000</v>
      </c>
      <c r="AO84">
        <v>4977000</v>
      </c>
      <c r="AP84">
        <v>5298000</v>
      </c>
      <c r="AQ84">
        <v>5852000</v>
      </c>
      <c r="AR84">
        <v>6075000</v>
      </c>
      <c r="AS84">
        <v>5019000</v>
      </c>
      <c r="AT84">
        <v>5040000</v>
      </c>
      <c r="AU84">
        <v>5055000</v>
      </c>
      <c r="AV84">
        <v>5122000</v>
      </c>
    </row>
    <row r="85" spans="1:48">
      <c r="A85">
        <v>1</v>
      </c>
      <c r="B85">
        <v>84</v>
      </c>
      <c r="C85" t="s">
        <v>18</v>
      </c>
      <c r="D85" t="s">
        <v>200</v>
      </c>
      <c r="E85" t="s">
        <v>173</v>
      </c>
      <c r="F85" t="s">
        <v>39</v>
      </c>
      <c r="G85" t="s">
        <v>189</v>
      </c>
      <c r="H85" t="s">
        <v>104</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2000</v>
      </c>
      <c r="AR85">
        <v>0</v>
      </c>
      <c r="AS85">
        <v>0</v>
      </c>
      <c r="AT85">
        <v>0</v>
      </c>
      <c r="AU85">
        <v>0</v>
      </c>
      <c r="AV85">
        <v>2000</v>
      </c>
    </row>
    <row r="86" spans="1:48">
      <c r="A86">
        <v>1</v>
      </c>
      <c r="B86">
        <v>85</v>
      </c>
      <c r="C86" t="s">
        <v>18</v>
      </c>
      <c r="D86" t="s">
        <v>199</v>
      </c>
      <c r="E86" t="s">
        <v>173</v>
      </c>
      <c r="F86" t="s">
        <v>39</v>
      </c>
      <c r="G86" t="s">
        <v>189</v>
      </c>
      <c r="H86" t="s">
        <v>104</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9726000</v>
      </c>
      <c r="AE86">
        <v>13286000</v>
      </c>
      <c r="AF86">
        <v>14161000</v>
      </c>
      <c r="AG86">
        <v>15464000</v>
      </c>
      <c r="AH86">
        <v>18583000</v>
      </c>
      <c r="AI86">
        <v>18749000</v>
      </c>
      <c r="AJ86">
        <v>19352000</v>
      </c>
      <c r="AK86">
        <v>17725000</v>
      </c>
      <c r="AL86">
        <v>17400000</v>
      </c>
      <c r="AM86">
        <v>16974000</v>
      </c>
      <c r="AN86">
        <v>16932000</v>
      </c>
      <c r="AO86">
        <v>17880000</v>
      </c>
      <c r="AP86">
        <v>18933000</v>
      </c>
      <c r="AQ86">
        <v>20418000</v>
      </c>
      <c r="AR86">
        <v>19072000</v>
      </c>
      <c r="AS86">
        <v>16814000</v>
      </c>
      <c r="AT86">
        <v>17806000</v>
      </c>
      <c r="AU86">
        <v>16887000</v>
      </c>
      <c r="AV86">
        <v>16670000</v>
      </c>
    </row>
    <row r="87" spans="1:48">
      <c r="A87">
        <v>1</v>
      </c>
      <c r="B87">
        <v>86</v>
      </c>
      <c r="C87" t="s">
        <v>18</v>
      </c>
      <c r="D87" t="s">
        <v>200</v>
      </c>
      <c r="E87" t="s">
        <v>181</v>
      </c>
      <c r="F87" t="s">
        <v>34</v>
      </c>
      <c r="G87">
        <v>0</v>
      </c>
      <c r="H87">
        <v>0</v>
      </c>
      <c r="I87">
        <v>0</v>
      </c>
      <c r="J87">
        <v>0</v>
      </c>
      <c r="K87">
        <v>0</v>
      </c>
      <c r="L87">
        <v>0</v>
      </c>
      <c r="M87">
        <v>332249</v>
      </c>
      <c r="N87">
        <v>389363</v>
      </c>
      <c r="O87">
        <v>317077</v>
      </c>
      <c r="P87">
        <v>390801</v>
      </c>
      <c r="Q87">
        <v>420634</v>
      </c>
      <c r="R87">
        <v>370437</v>
      </c>
      <c r="S87">
        <v>384665</v>
      </c>
      <c r="T87">
        <v>492702</v>
      </c>
      <c r="U87">
        <v>511058</v>
      </c>
      <c r="V87">
        <v>578211</v>
      </c>
      <c r="W87">
        <v>608120</v>
      </c>
      <c r="X87">
        <v>662300</v>
      </c>
      <c r="Y87">
        <v>601714</v>
      </c>
      <c r="Z87">
        <v>589165</v>
      </c>
      <c r="AA87">
        <v>660178</v>
      </c>
      <c r="AB87">
        <v>718000</v>
      </c>
      <c r="AC87">
        <v>732000</v>
      </c>
      <c r="AD87">
        <v>514000</v>
      </c>
      <c r="AE87">
        <v>-77000</v>
      </c>
      <c r="AF87">
        <v>-31000</v>
      </c>
      <c r="AG87">
        <v>78000</v>
      </c>
      <c r="AH87">
        <v>-251000</v>
      </c>
      <c r="AI87">
        <v>-107000</v>
      </c>
      <c r="AJ87">
        <v>23000</v>
      </c>
      <c r="AK87">
        <v>74000</v>
      </c>
      <c r="AL87">
        <v>-13000</v>
      </c>
      <c r="AM87">
        <v>144000</v>
      </c>
      <c r="AN87">
        <v>270000</v>
      </c>
      <c r="AO87">
        <v>220000</v>
      </c>
      <c r="AP87">
        <v>246000</v>
      </c>
      <c r="AQ87">
        <v>595000</v>
      </c>
      <c r="AR87">
        <v>631000</v>
      </c>
      <c r="AS87">
        <v>548000</v>
      </c>
      <c r="AT87">
        <v>485000</v>
      </c>
      <c r="AU87">
        <v>616000</v>
      </c>
      <c r="AV87">
        <v>581000</v>
      </c>
    </row>
    <row r="88" spans="1:48">
      <c r="A88">
        <v>1</v>
      </c>
      <c r="B88">
        <v>87</v>
      </c>
      <c r="C88" t="s">
        <v>18</v>
      </c>
      <c r="D88" t="s">
        <v>199</v>
      </c>
      <c r="E88" t="s">
        <v>181</v>
      </c>
      <c r="F88" t="s">
        <v>34</v>
      </c>
      <c r="G88">
        <v>0</v>
      </c>
      <c r="H88">
        <v>0</v>
      </c>
      <c r="I88">
        <v>0</v>
      </c>
      <c r="J88">
        <v>0</v>
      </c>
      <c r="K88">
        <v>0</v>
      </c>
      <c r="L88">
        <v>0</v>
      </c>
      <c r="M88">
        <v>13087060</v>
      </c>
      <c r="N88">
        <v>14625185</v>
      </c>
      <c r="O88">
        <v>13598580</v>
      </c>
      <c r="P88">
        <v>14114632</v>
      </c>
      <c r="Q88">
        <v>15595614</v>
      </c>
      <c r="R88">
        <v>15560181</v>
      </c>
      <c r="S88">
        <v>16718591</v>
      </c>
      <c r="T88">
        <v>17420891</v>
      </c>
      <c r="U88">
        <v>18242320</v>
      </c>
      <c r="V88">
        <v>19938495</v>
      </c>
      <c r="W88">
        <v>21358154</v>
      </c>
      <c r="X88">
        <v>24379447</v>
      </c>
      <c r="Y88">
        <v>26715740</v>
      </c>
      <c r="Z88">
        <v>27393067</v>
      </c>
      <c r="AA88">
        <v>29872214</v>
      </c>
      <c r="AB88">
        <v>31289000</v>
      </c>
      <c r="AC88">
        <v>30695000</v>
      </c>
      <c r="AD88">
        <v>20329000</v>
      </c>
      <c r="AE88">
        <v>17611000</v>
      </c>
      <c r="AF88">
        <v>18831000</v>
      </c>
      <c r="AG88">
        <v>19996000</v>
      </c>
      <c r="AH88">
        <v>21907000</v>
      </c>
      <c r="AI88">
        <v>23695000</v>
      </c>
      <c r="AJ88">
        <v>24398000</v>
      </c>
      <c r="AK88">
        <v>24874000</v>
      </c>
      <c r="AL88">
        <v>25524000</v>
      </c>
      <c r="AM88">
        <v>25684000</v>
      </c>
      <c r="AN88">
        <v>26302000</v>
      </c>
      <c r="AO88">
        <v>26652000</v>
      </c>
      <c r="AP88">
        <v>27047000</v>
      </c>
      <c r="AQ88">
        <v>29228000</v>
      </c>
      <c r="AR88">
        <v>28453000</v>
      </c>
      <c r="AS88">
        <v>27387000</v>
      </c>
      <c r="AT88">
        <v>27618000</v>
      </c>
      <c r="AU88">
        <v>26968000</v>
      </c>
      <c r="AV88">
        <v>28418000</v>
      </c>
    </row>
    <row r="89" spans="1:48">
      <c r="A89">
        <v>1</v>
      </c>
      <c r="B89">
        <v>88</v>
      </c>
      <c r="C89" t="s">
        <v>18</v>
      </c>
      <c r="D89" t="s">
        <v>200</v>
      </c>
      <c r="E89" t="s">
        <v>181</v>
      </c>
      <c r="F89" t="s">
        <v>33</v>
      </c>
      <c r="G89" t="s">
        <v>92</v>
      </c>
      <c r="H89">
        <v>0</v>
      </c>
      <c r="I89">
        <v>0</v>
      </c>
      <c r="J89">
        <v>0</v>
      </c>
      <c r="K89">
        <v>0</v>
      </c>
      <c r="L89">
        <v>0</v>
      </c>
      <c r="M89">
        <v>728937</v>
      </c>
      <c r="N89">
        <v>790984</v>
      </c>
      <c r="O89">
        <v>774212</v>
      </c>
      <c r="P89">
        <v>785102</v>
      </c>
      <c r="Q89">
        <v>809924</v>
      </c>
      <c r="R89">
        <v>844408</v>
      </c>
      <c r="S89">
        <v>831242</v>
      </c>
      <c r="T89">
        <v>826326</v>
      </c>
      <c r="U89">
        <v>916897</v>
      </c>
      <c r="V89">
        <v>957746</v>
      </c>
      <c r="W89">
        <v>1013700</v>
      </c>
      <c r="X89">
        <v>948268</v>
      </c>
      <c r="Y89">
        <v>1074924</v>
      </c>
      <c r="Z89">
        <v>1075993</v>
      </c>
      <c r="AA89">
        <v>1102305</v>
      </c>
      <c r="AB89">
        <v>1107000</v>
      </c>
      <c r="AC89">
        <v>1060000</v>
      </c>
      <c r="AD89">
        <v>1144000</v>
      </c>
      <c r="AE89">
        <v>1190000</v>
      </c>
      <c r="AF89">
        <v>1240000</v>
      </c>
      <c r="AG89">
        <v>1359000</v>
      </c>
      <c r="AH89">
        <v>1471000</v>
      </c>
      <c r="AI89">
        <v>1609000</v>
      </c>
      <c r="AJ89">
        <v>1678000</v>
      </c>
      <c r="AK89">
        <v>1754000</v>
      </c>
      <c r="AL89">
        <v>1811000</v>
      </c>
      <c r="AM89">
        <v>1843000</v>
      </c>
      <c r="AN89">
        <v>1846000</v>
      </c>
      <c r="AO89">
        <v>1904000</v>
      </c>
      <c r="AP89">
        <v>1915000</v>
      </c>
      <c r="AQ89">
        <v>2040000</v>
      </c>
      <c r="AR89">
        <v>2164000</v>
      </c>
      <c r="AS89">
        <v>2162000</v>
      </c>
      <c r="AT89">
        <v>2184000</v>
      </c>
      <c r="AU89">
        <v>2114000</v>
      </c>
      <c r="AV89">
        <v>2115000</v>
      </c>
    </row>
    <row r="90" spans="1:48">
      <c r="A90">
        <v>1</v>
      </c>
      <c r="B90">
        <v>89</v>
      </c>
      <c r="C90" t="s">
        <v>18</v>
      </c>
      <c r="D90" t="s">
        <v>200</v>
      </c>
      <c r="E90" t="s">
        <v>173</v>
      </c>
      <c r="F90" t="s">
        <v>39</v>
      </c>
      <c r="G90" t="s">
        <v>189</v>
      </c>
      <c r="H90" t="s">
        <v>105</v>
      </c>
      <c r="I90">
        <v>0</v>
      </c>
      <c r="J90">
        <v>0</v>
      </c>
      <c r="K90">
        <v>0</v>
      </c>
      <c r="L90">
        <v>0</v>
      </c>
      <c r="M90">
        <v>29553</v>
      </c>
      <c r="N90">
        <v>85174</v>
      </c>
      <c r="O90">
        <v>133517</v>
      </c>
      <c r="P90">
        <v>19777</v>
      </c>
      <c r="Q90">
        <v>16057</v>
      </c>
      <c r="R90">
        <v>21748</v>
      </c>
      <c r="S90">
        <v>12799</v>
      </c>
      <c r="T90">
        <v>13250</v>
      </c>
      <c r="U90">
        <v>8774</v>
      </c>
      <c r="V90">
        <v>18735</v>
      </c>
      <c r="W90">
        <v>49687</v>
      </c>
      <c r="X90">
        <v>40924</v>
      </c>
      <c r="Y90">
        <v>76725</v>
      </c>
      <c r="Z90">
        <v>33781</v>
      </c>
      <c r="AA90">
        <v>44919</v>
      </c>
      <c r="AB90">
        <v>47000</v>
      </c>
      <c r="AC90">
        <v>42000</v>
      </c>
      <c r="AD90">
        <v>46000</v>
      </c>
      <c r="AE90">
        <v>31000</v>
      </c>
      <c r="AF90">
        <v>96000</v>
      </c>
      <c r="AG90">
        <v>103000</v>
      </c>
      <c r="AH90">
        <v>111000</v>
      </c>
      <c r="AI90">
        <v>118000</v>
      </c>
      <c r="AJ90">
        <v>100000</v>
      </c>
      <c r="AK90">
        <v>86000</v>
      </c>
      <c r="AL90">
        <v>85000</v>
      </c>
      <c r="AM90">
        <v>85000</v>
      </c>
      <c r="AN90">
        <v>120000</v>
      </c>
      <c r="AO90">
        <v>121000</v>
      </c>
      <c r="AP90">
        <v>131000</v>
      </c>
      <c r="AQ90">
        <v>178000</v>
      </c>
      <c r="AR90">
        <v>121000</v>
      </c>
      <c r="AS90">
        <v>169000</v>
      </c>
      <c r="AT90">
        <v>709000</v>
      </c>
      <c r="AU90">
        <v>606000</v>
      </c>
      <c r="AV90">
        <v>458000</v>
      </c>
    </row>
    <row r="91" spans="1:48">
      <c r="A91">
        <v>1</v>
      </c>
      <c r="B91">
        <v>90</v>
      </c>
      <c r="C91" t="s">
        <v>18</v>
      </c>
      <c r="D91" t="s">
        <v>200</v>
      </c>
      <c r="E91" t="s">
        <v>173</v>
      </c>
      <c r="F91" t="s">
        <v>39</v>
      </c>
      <c r="G91" t="s">
        <v>174</v>
      </c>
      <c r="H91" t="s">
        <v>175</v>
      </c>
      <c r="I91">
        <v>0</v>
      </c>
      <c r="J91">
        <v>0</v>
      </c>
      <c r="K91">
        <v>0</v>
      </c>
      <c r="L91">
        <v>0</v>
      </c>
      <c r="M91">
        <v>620412</v>
      </c>
      <c r="N91">
        <v>329282</v>
      </c>
      <c r="O91">
        <v>210027</v>
      </c>
      <c r="P91">
        <v>252457</v>
      </c>
      <c r="Q91">
        <v>256287</v>
      </c>
      <c r="R91">
        <v>203314</v>
      </c>
      <c r="S91">
        <v>241015</v>
      </c>
      <c r="T91">
        <v>185330</v>
      </c>
      <c r="U91">
        <v>176242</v>
      </c>
      <c r="V91">
        <v>197810</v>
      </c>
      <c r="W91">
        <v>218305</v>
      </c>
      <c r="X91">
        <v>142811</v>
      </c>
      <c r="Y91">
        <v>152409</v>
      </c>
      <c r="Z91">
        <v>211658</v>
      </c>
      <c r="AA91">
        <v>210693</v>
      </c>
      <c r="AB91">
        <v>70000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row>
    <row r="92" spans="1:48">
      <c r="A92">
        <v>1</v>
      </c>
      <c r="B92">
        <v>91</v>
      </c>
      <c r="C92" t="s">
        <v>18</v>
      </c>
      <c r="D92" t="s">
        <v>199</v>
      </c>
      <c r="E92" t="s">
        <v>173</v>
      </c>
      <c r="F92" t="s">
        <v>39</v>
      </c>
      <c r="G92" t="s">
        <v>189</v>
      </c>
      <c r="H92" t="s">
        <v>175</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1413000</v>
      </c>
      <c r="AP92">
        <v>0</v>
      </c>
      <c r="AQ92">
        <v>0</v>
      </c>
      <c r="AR92">
        <v>0</v>
      </c>
      <c r="AS92">
        <v>0</v>
      </c>
      <c r="AT92">
        <v>0</v>
      </c>
      <c r="AU92">
        <v>0</v>
      </c>
      <c r="AV92">
        <v>0</v>
      </c>
    </row>
    <row r="93" spans="1:48">
      <c r="A93">
        <v>1</v>
      </c>
      <c r="B93">
        <v>92</v>
      </c>
      <c r="C93" t="s">
        <v>18</v>
      </c>
      <c r="D93" t="s">
        <v>200</v>
      </c>
      <c r="E93" t="s">
        <v>173</v>
      </c>
      <c r="F93" t="s">
        <v>39</v>
      </c>
      <c r="G93" t="s">
        <v>189</v>
      </c>
      <c r="H93" t="s">
        <v>108</v>
      </c>
      <c r="I93">
        <v>0</v>
      </c>
      <c r="J93">
        <v>0</v>
      </c>
      <c r="K93">
        <v>0</v>
      </c>
      <c r="L93">
        <v>0</v>
      </c>
      <c r="M93">
        <v>1275231</v>
      </c>
      <c r="N93">
        <v>1317980</v>
      </c>
      <c r="O93">
        <v>1201494</v>
      </c>
      <c r="P93">
        <v>1213292</v>
      </c>
      <c r="Q93">
        <v>1192901</v>
      </c>
      <c r="R93">
        <v>1099776</v>
      </c>
      <c r="S93">
        <v>1414990</v>
      </c>
      <c r="T93">
        <v>1409932</v>
      </c>
      <c r="U93">
        <v>2697587</v>
      </c>
      <c r="V93">
        <v>4002029</v>
      </c>
      <c r="W93">
        <v>4354072</v>
      </c>
      <c r="X93">
        <v>4884669</v>
      </c>
      <c r="Y93">
        <v>7344885</v>
      </c>
      <c r="Z93">
        <v>8780787</v>
      </c>
      <c r="AA93">
        <v>10949827</v>
      </c>
      <c r="AB93">
        <v>15244000</v>
      </c>
      <c r="AC93">
        <v>19159000</v>
      </c>
      <c r="AD93">
        <v>21856000</v>
      </c>
      <c r="AE93">
        <v>23239000</v>
      </c>
      <c r="AF93">
        <v>25632000</v>
      </c>
      <c r="AG93">
        <v>26099000</v>
      </c>
      <c r="AH93">
        <v>26123000</v>
      </c>
      <c r="AI93">
        <v>27826000</v>
      </c>
      <c r="AJ93">
        <v>31961000</v>
      </c>
      <c r="AK93">
        <v>33134000</v>
      </c>
      <c r="AL93">
        <v>34559000</v>
      </c>
      <c r="AM93">
        <v>36166000</v>
      </c>
      <c r="AN93">
        <v>38274000</v>
      </c>
      <c r="AO93">
        <v>40600000</v>
      </c>
      <c r="AP93">
        <v>42418000</v>
      </c>
      <c r="AQ93">
        <v>54712000</v>
      </c>
      <c r="AR93">
        <v>55652000</v>
      </c>
      <c r="AS93">
        <v>54890000</v>
      </c>
      <c r="AT93">
        <v>57513000</v>
      </c>
      <c r="AU93">
        <v>60087000</v>
      </c>
      <c r="AV93">
        <v>60084000</v>
      </c>
    </row>
    <row r="94" spans="1:48">
      <c r="A94">
        <v>1</v>
      </c>
      <c r="B94">
        <v>93</v>
      </c>
      <c r="C94" t="s">
        <v>18</v>
      </c>
      <c r="D94" t="s">
        <v>200</v>
      </c>
      <c r="E94" t="s">
        <v>173</v>
      </c>
      <c r="F94" t="s">
        <v>39</v>
      </c>
      <c r="G94" t="s">
        <v>189</v>
      </c>
      <c r="H94" t="s">
        <v>107</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445000</v>
      </c>
      <c r="AG94">
        <v>809000</v>
      </c>
      <c r="AH94">
        <v>982000</v>
      </c>
      <c r="AI94">
        <v>5060000</v>
      </c>
      <c r="AJ94">
        <v>6435000</v>
      </c>
      <c r="AK94">
        <v>8857000</v>
      </c>
      <c r="AL94">
        <v>14624000</v>
      </c>
      <c r="AM94">
        <v>15473000</v>
      </c>
      <c r="AN94">
        <v>16159000</v>
      </c>
      <c r="AO94">
        <v>34019000</v>
      </c>
      <c r="AP94">
        <v>24284000</v>
      </c>
      <c r="AQ94">
        <v>22659000</v>
      </c>
      <c r="AR94">
        <v>22691000</v>
      </c>
      <c r="AS94">
        <v>22106000</v>
      </c>
      <c r="AT94">
        <v>21608000</v>
      </c>
      <c r="AU94">
        <v>21490000</v>
      </c>
      <c r="AV94">
        <v>20592000</v>
      </c>
    </row>
    <row r="95" spans="1:48">
      <c r="A95">
        <v>1</v>
      </c>
      <c r="B95">
        <v>94</v>
      </c>
      <c r="C95" t="s">
        <v>18</v>
      </c>
      <c r="D95" t="s">
        <v>200</v>
      </c>
      <c r="E95" t="s">
        <v>173</v>
      </c>
      <c r="F95" t="s">
        <v>39</v>
      </c>
      <c r="G95" t="s">
        <v>189</v>
      </c>
      <c r="H95" t="s">
        <v>175</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13868000</v>
      </c>
      <c r="AP95">
        <v>2687000</v>
      </c>
      <c r="AQ95">
        <v>13775000</v>
      </c>
      <c r="AR95">
        <v>13636000</v>
      </c>
      <c r="AS95">
        <v>253000</v>
      </c>
      <c r="AT95">
        <v>-11000</v>
      </c>
      <c r="AU95">
        <v>0</v>
      </c>
      <c r="AV95">
        <v>0</v>
      </c>
    </row>
    <row r="96" spans="1:48">
      <c r="A96">
        <v>1</v>
      </c>
      <c r="B96">
        <v>95</v>
      </c>
      <c r="C96" t="s">
        <v>18</v>
      </c>
      <c r="D96" t="s">
        <v>200</v>
      </c>
      <c r="E96" t="s">
        <v>173</v>
      </c>
      <c r="F96" t="s">
        <v>39</v>
      </c>
      <c r="G96" t="s">
        <v>63</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711000</v>
      </c>
      <c r="AQ96">
        <v>1080000</v>
      </c>
      <c r="AR96">
        <v>1178000</v>
      </c>
      <c r="AS96">
        <v>981000</v>
      </c>
      <c r="AT96">
        <v>312000</v>
      </c>
      <c r="AU96">
        <v>125000</v>
      </c>
      <c r="AV96">
        <v>23000</v>
      </c>
    </row>
    <row r="97" spans="1:48">
      <c r="A97">
        <v>1</v>
      </c>
      <c r="B97">
        <v>96</v>
      </c>
      <c r="C97" t="s">
        <v>18</v>
      </c>
      <c r="D97" t="s">
        <v>199</v>
      </c>
      <c r="E97" t="s">
        <v>173</v>
      </c>
      <c r="F97" t="s">
        <v>39</v>
      </c>
      <c r="G97" t="s">
        <v>189</v>
      </c>
      <c r="H97" t="s">
        <v>103</v>
      </c>
      <c r="I97">
        <v>0</v>
      </c>
      <c r="J97">
        <v>0</v>
      </c>
      <c r="K97">
        <v>0</v>
      </c>
      <c r="L97">
        <v>0</v>
      </c>
      <c r="M97">
        <v>39312</v>
      </c>
      <c r="N97">
        <v>45000</v>
      </c>
      <c r="O97">
        <v>19782</v>
      </c>
      <c r="P97">
        <v>12683</v>
      </c>
      <c r="Q97">
        <v>7502</v>
      </c>
      <c r="R97">
        <v>0</v>
      </c>
      <c r="S97">
        <v>0</v>
      </c>
      <c r="T97">
        <v>0</v>
      </c>
      <c r="U97">
        <v>0</v>
      </c>
      <c r="V97">
        <v>0</v>
      </c>
      <c r="W97">
        <v>0</v>
      </c>
      <c r="X97">
        <v>0</v>
      </c>
      <c r="Y97">
        <v>0</v>
      </c>
      <c r="Z97">
        <v>0</v>
      </c>
      <c r="AA97">
        <v>0</v>
      </c>
      <c r="AB97">
        <v>0</v>
      </c>
      <c r="AC97">
        <v>0</v>
      </c>
      <c r="AD97">
        <v>0</v>
      </c>
      <c r="AE97">
        <v>0</v>
      </c>
      <c r="AF97">
        <v>0</v>
      </c>
      <c r="AG97">
        <v>0</v>
      </c>
      <c r="AH97">
        <v>0</v>
      </c>
      <c r="AI97">
        <v>0</v>
      </c>
      <c r="AJ97">
        <v>0</v>
      </c>
      <c r="AK97">
        <v>3000</v>
      </c>
      <c r="AL97">
        <v>0</v>
      </c>
      <c r="AM97">
        <v>0</v>
      </c>
      <c r="AN97">
        <v>0</v>
      </c>
      <c r="AO97">
        <v>0</v>
      </c>
      <c r="AP97">
        <v>0</v>
      </c>
      <c r="AQ97">
        <v>0</v>
      </c>
      <c r="AR97">
        <v>0</v>
      </c>
      <c r="AS97">
        <v>0</v>
      </c>
      <c r="AT97">
        <v>0</v>
      </c>
      <c r="AU97">
        <v>0</v>
      </c>
      <c r="AV97">
        <v>0</v>
      </c>
    </row>
    <row r="98" spans="1:48">
      <c r="A98">
        <v>1</v>
      </c>
      <c r="B98">
        <v>97</v>
      </c>
      <c r="C98" t="s">
        <v>18</v>
      </c>
      <c r="D98" t="s">
        <v>200</v>
      </c>
      <c r="E98" t="s">
        <v>173</v>
      </c>
      <c r="F98" t="s">
        <v>39</v>
      </c>
      <c r="G98" t="s">
        <v>189</v>
      </c>
      <c r="H98" t="s">
        <v>103</v>
      </c>
      <c r="I98">
        <v>0</v>
      </c>
      <c r="J98">
        <v>0</v>
      </c>
      <c r="K98">
        <v>0</v>
      </c>
      <c r="L98">
        <v>0</v>
      </c>
      <c r="M98">
        <v>6372174</v>
      </c>
      <c r="N98">
        <v>7146506</v>
      </c>
      <c r="O98">
        <v>7656868</v>
      </c>
      <c r="P98">
        <v>8710884</v>
      </c>
      <c r="Q98">
        <v>8490127</v>
      </c>
      <c r="R98">
        <v>9606378</v>
      </c>
      <c r="S98">
        <v>10344721</v>
      </c>
      <c r="T98">
        <v>10909274</v>
      </c>
      <c r="U98">
        <v>12344977</v>
      </c>
      <c r="V98">
        <v>12554727</v>
      </c>
      <c r="W98">
        <v>12568426</v>
      </c>
      <c r="X98">
        <v>15925823</v>
      </c>
      <c r="Y98">
        <v>18777024</v>
      </c>
      <c r="Z98">
        <v>21906839</v>
      </c>
      <c r="AA98">
        <v>25480386</v>
      </c>
      <c r="AB98">
        <v>25561000</v>
      </c>
      <c r="AC98">
        <v>24892000</v>
      </c>
      <c r="AD98">
        <v>27430000</v>
      </c>
      <c r="AE98">
        <v>28396000</v>
      </c>
      <c r="AF98">
        <v>29197000</v>
      </c>
      <c r="AG98">
        <v>31865000</v>
      </c>
      <c r="AH98">
        <v>28298000</v>
      </c>
      <c r="AI98">
        <v>31836000</v>
      </c>
      <c r="AJ98">
        <v>33045000</v>
      </c>
      <c r="AK98">
        <v>33914000</v>
      </c>
      <c r="AL98">
        <v>38010000</v>
      </c>
      <c r="AM98">
        <v>37185000</v>
      </c>
      <c r="AN98">
        <v>35601000</v>
      </c>
      <c r="AO98">
        <v>40762000</v>
      </c>
      <c r="AP98">
        <v>44565000</v>
      </c>
      <c r="AQ98">
        <v>47423000</v>
      </c>
      <c r="AR98">
        <v>53373000</v>
      </c>
      <c r="AS98">
        <v>47846000</v>
      </c>
      <c r="AT98">
        <v>53834000</v>
      </c>
      <c r="AU98">
        <v>55234000</v>
      </c>
      <c r="AV98">
        <v>56366000</v>
      </c>
    </row>
    <row r="99" spans="1:48">
      <c r="A99">
        <v>1</v>
      </c>
      <c r="B99">
        <v>98</v>
      </c>
      <c r="C99" t="s">
        <v>18</v>
      </c>
      <c r="D99" t="s">
        <v>200</v>
      </c>
      <c r="E99" t="s">
        <v>179</v>
      </c>
      <c r="F99" t="s">
        <v>53</v>
      </c>
      <c r="G99" t="s">
        <v>54</v>
      </c>
      <c r="H99" t="s">
        <v>214</v>
      </c>
      <c r="I99">
        <v>0</v>
      </c>
      <c r="J99">
        <v>0</v>
      </c>
      <c r="K99">
        <v>0</v>
      </c>
      <c r="L99">
        <v>0</v>
      </c>
      <c r="M99">
        <v>102669877</v>
      </c>
      <c r="N99">
        <v>121764112</v>
      </c>
      <c r="O99">
        <v>137253355</v>
      </c>
      <c r="P99">
        <v>135209189</v>
      </c>
      <c r="Q99">
        <v>153323671</v>
      </c>
      <c r="R99">
        <v>164252414</v>
      </c>
      <c r="S99">
        <v>171556101</v>
      </c>
      <c r="T99">
        <v>180676586</v>
      </c>
      <c r="U99">
        <v>191559286</v>
      </c>
      <c r="V99">
        <v>203332152</v>
      </c>
      <c r="W99">
        <v>219087132</v>
      </c>
      <c r="X99">
        <v>235403689</v>
      </c>
      <c r="Y99">
        <v>250339747</v>
      </c>
      <c r="Z99">
        <v>263988277</v>
      </c>
      <c r="AA99">
        <v>276207426</v>
      </c>
      <c r="AB99">
        <v>289331000</v>
      </c>
      <c r="AC99">
        <v>299560000</v>
      </c>
      <c r="AD99">
        <v>312083000</v>
      </c>
      <c r="AE99">
        <v>321149000</v>
      </c>
      <c r="AF99">
        <v>327718000</v>
      </c>
      <c r="AG99">
        <v>340918000</v>
      </c>
      <c r="AH99">
        <v>361229000</v>
      </c>
      <c r="AI99">
        <v>376540000</v>
      </c>
      <c r="AJ99">
        <v>390330000</v>
      </c>
      <c r="AK99">
        <v>404005000</v>
      </c>
      <c r="AL99">
        <v>421467000</v>
      </c>
      <c r="AM99">
        <v>440413000</v>
      </c>
      <c r="AN99">
        <v>468456000</v>
      </c>
      <c r="AO99">
        <v>493467000</v>
      </c>
      <c r="AP99">
        <v>532671000</v>
      </c>
      <c r="AQ99">
        <v>558820000</v>
      </c>
      <c r="AR99">
        <v>510613000</v>
      </c>
      <c r="AS99">
        <v>511071000</v>
      </c>
      <c r="AT99">
        <v>620374000</v>
      </c>
      <c r="AU99">
        <v>681134000</v>
      </c>
      <c r="AV99">
        <v>711607000</v>
      </c>
    </row>
    <row r="100" spans="1:48">
      <c r="A100">
        <v>1</v>
      </c>
      <c r="B100">
        <v>99</v>
      </c>
      <c r="C100" t="s">
        <v>18</v>
      </c>
      <c r="D100" t="s">
        <v>199</v>
      </c>
      <c r="E100" t="s">
        <v>179</v>
      </c>
      <c r="F100" t="s">
        <v>53</v>
      </c>
      <c r="G100" t="s">
        <v>54</v>
      </c>
      <c r="H100" t="s">
        <v>215</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6000</v>
      </c>
      <c r="AH100">
        <v>0</v>
      </c>
      <c r="AI100">
        <v>1000</v>
      </c>
      <c r="AJ100">
        <v>2000</v>
      </c>
      <c r="AK100">
        <v>7000</v>
      </c>
      <c r="AL100">
        <v>2000</v>
      </c>
      <c r="AM100">
        <v>9000</v>
      </c>
      <c r="AN100">
        <v>16000</v>
      </c>
      <c r="AO100">
        <v>23000</v>
      </c>
      <c r="AP100">
        <v>45000</v>
      </c>
      <c r="AQ100">
        <v>28000</v>
      </c>
      <c r="AR100">
        <v>27000</v>
      </c>
      <c r="AS100">
        <v>29000</v>
      </c>
      <c r="AT100">
        <v>22000</v>
      </c>
      <c r="AU100">
        <v>16000</v>
      </c>
      <c r="AV100">
        <v>15000</v>
      </c>
    </row>
    <row r="101" spans="1:48">
      <c r="A101">
        <v>1</v>
      </c>
      <c r="B101">
        <v>100</v>
      </c>
      <c r="C101" t="s">
        <v>18</v>
      </c>
      <c r="D101" t="s">
        <v>200</v>
      </c>
      <c r="E101" t="s">
        <v>179</v>
      </c>
      <c r="F101" t="s">
        <v>53</v>
      </c>
      <c r="G101" t="s">
        <v>54</v>
      </c>
      <c r="H101" t="s">
        <v>215</v>
      </c>
      <c r="I101">
        <v>0</v>
      </c>
      <c r="J101">
        <v>0</v>
      </c>
      <c r="K101">
        <v>0</v>
      </c>
      <c r="L101">
        <v>0</v>
      </c>
      <c r="M101">
        <v>15201844</v>
      </c>
      <c r="N101">
        <v>17149860</v>
      </c>
      <c r="O101">
        <v>17867070</v>
      </c>
      <c r="P101">
        <v>15412330</v>
      </c>
      <c r="Q101">
        <v>17082978</v>
      </c>
      <c r="R101">
        <v>18390511</v>
      </c>
      <c r="S101">
        <v>18611831</v>
      </c>
      <c r="T101">
        <v>21060196</v>
      </c>
      <c r="U101">
        <v>22013695</v>
      </c>
      <c r="V101">
        <v>23055898</v>
      </c>
      <c r="W101">
        <v>24828217</v>
      </c>
      <c r="X101">
        <v>27639512</v>
      </c>
      <c r="Y101">
        <v>31078594</v>
      </c>
      <c r="Z101">
        <v>34360665</v>
      </c>
      <c r="AA101">
        <v>37673832</v>
      </c>
      <c r="AB101">
        <v>41039000</v>
      </c>
      <c r="AC101">
        <v>43977000</v>
      </c>
      <c r="AD101">
        <v>46289000</v>
      </c>
      <c r="AE101">
        <v>48920000</v>
      </c>
      <c r="AF101">
        <v>51495000</v>
      </c>
      <c r="AG101">
        <v>55245000</v>
      </c>
      <c r="AH101">
        <v>59198000</v>
      </c>
      <c r="AI101">
        <v>65423000</v>
      </c>
      <c r="AJ101">
        <v>70991000</v>
      </c>
      <c r="AK101">
        <v>77415000</v>
      </c>
      <c r="AL101">
        <v>85249000</v>
      </c>
      <c r="AM101">
        <v>91757000</v>
      </c>
      <c r="AN101">
        <v>98295000</v>
      </c>
      <c r="AO101">
        <v>105754000</v>
      </c>
      <c r="AP101">
        <v>116151000</v>
      </c>
      <c r="AQ101">
        <v>124567000</v>
      </c>
      <c r="AR101">
        <v>118097000</v>
      </c>
      <c r="AS101">
        <v>121805000</v>
      </c>
      <c r="AT101">
        <v>137076000</v>
      </c>
      <c r="AU101">
        <v>143490000</v>
      </c>
      <c r="AV101">
        <v>145141000</v>
      </c>
    </row>
    <row r="102" spans="1:48">
      <c r="A102">
        <v>1</v>
      </c>
      <c r="B102">
        <v>101</v>
      </c>
      <c r="C102" t="s">
        <v>18</v>
      </c>
      <c r="D102" t="s">
        <v>200</v>
      </c>
      <c r="E102" t="s">
        <v>179</v>
      </c>
      <c r="F102" t="s">
        <v>53</v>
      </c>
      <c r="G102" t="s">
        <v>54</v>
      </c>
      <c r="H102" t="s">
        <v>216</v>
      </c>
      <c r="I102">
        <v>0</v>
      </c>
      <c r="J102">
        <v>0</v>
      </c>
      <c r="K102">
        <v>0</v>
      </c>
      <c r="L102">
        <v>0</v>
      </c>
      <c r="M102">
        <v>675080</v>
      </c>
      <c r="N102">
        <v>670456</v>
      </c>
      <c r="O102">
        <v>843515</v>
      </c>
      <c r="P102">
        <v>20102020</v>
      </c>
      <c r="Q102">
        <v>7816167</v>
      </c>
      <c r="R102">
        <v>5980157</v>
      </c>
      <c r="S102">
        <v>8588434</v>
      </c>
      <c r="T102">
        <v>5615194</v>
      </c>
      <c r="U102">
        <v>5767600</v>
      </c>
      <c r="V102">
        <v>6154027</v>
      </c>
      <c r="W102">
        <v>4707249</v>
      </c>
      <c r="X102">
        <v>5971127</v>
      </c>
      <c r="Y102">
        <v>6166046</v>
      </c>
      <c r="Z102">
        <v>6235801</v>
      </c>
      <c r="AA102">
        <v>5683451</v>
      </c>
      <c r="AB102">
        <v>5476000</v>
      </c>
      <c r="AC102">
        <v>6134000</v>
      </c>
      <c r="AD102">
        <v>6879000</v>
      </c>
      <c r="AE102">
        <v>9146000</v>
      </c>
      <c r="AF102">
        <v>10824000</v>
      </c>
      <c r="AG102">
        <v>13254000</v>
      </c>
      <c r="AH102">
        <v>12531000</v>
      </c>
      <c r="AI102">
        <v>14016000</v>
      </c>
      <c r="AJ102">
        <v>13357000</v>
      </c>
      <c r="AK102">
        <v>14121000</v>
      </c>
      <c r="AL102">
        <v>16587000</v>
      </c>
      <c r="AM102">
        <v>16370000</v>
      </c>
      <c r="AN102">
        <v>19386000</v>
      </c>
      <c r="AO102">
        <v>17783000</v>
      </c>
      <c r="AP102">
        <v>34096000</v>
      </c>
      <c r="AQ102">
        <v>23322000</v>
      </c>
      <c r="AR102">
        <v>102074000</v>
      </c>
      <c r="AS102">
        <v>140385000</v>
      </c>
      <c r="AT102">
        <v>56079000</v>
      </c>
      <c r="AU102">
        <v>25893000</v>
      </c>
      <c r="AV102">
        <v>30990000</v>
      </c>
    </row>
    <row r="103" spans="1:48">
      <c r="A103">
        <v>1</v>
      </c>
      <c r="B103">
        <v>102</v>
      </c>
      <c r="C103" t="s">
        <v>18</v>
      </c>
      <c r="D103" t="s">
        <v>200</v>
      </c>
      <c r="E103" t="s">
        <v>190</v>
      </c>
      <c r="F103" t="s">
        <v>23</v>
      </c>
      <c r="G103" t="s">
        <v>25</v>
      </c>
      <c r="H103" t="s">
        <v>217</v>
      </c>
      <c r="I103">
        <v>0</v>
      </c>
      <c r="J103">
        <v>0</v>
      </c>
      <c r="K103">
        <v>0</v>
      </c>
      <c r="L103">
        <v>0</v>
      </c>
      <c r="M103">
        <v>11700182</v>
      </c>
      <c r="N103">
        <v>12921119</v>
      </c>
      <c r="O103">
        <v>13722931</v>
      </c>
      <c r="P103">
        <v>14263302</v>
      </c>
      <c r="Q103">
        <v>14412051</v>
      </c>
      <c r="R103">
        <v>14728405</v>
      </c>
      <c r="S103">
        <v>15047209</v>
      </c>
      <c r="T103">
        <v>14978316</v>
      </c>
      <c r="U103">
        <v>15979720</v>
      </c>
      <c r="V103">
        <v>16561994</v>
      </c>
      <c r="W103">
        <v>15260684</v>
      </c>
      <c r="X103">
        <v>16980707</v>
      </c>
      <c r="Y103">
        <v>17317559</v>
      </c>
      <c r="Z103">
        <v>17780614</v>
      </c>
      <c r="AA103">
        <v>19638210</v>
      </c>
      <c r="AB103">
        <v>18993000</v>
      </c>
      <c r="AC103">
        <v>18228000</v>
      </c>
      <c r="AD103">
        <v>20435000</v>
      </c>
      <c r="AE103">
        <v>21350000</v>
      </c>
      <c r="AF103">
        <v>22184000</v>
      </c>
      <c r="AG103">
        <v>24907000</v>
      </c>
      <c r="AH103">
        <v>22498000</v>
      </c>
      <c r="AI103">
        <v>26720000</v>
      </c>
      <c r="AJ103">
        <v>29091000</v>
      </c>
      <c r="AK103">
        <v>30849000</v>
      </c>
      <c r="AL103">
        <v>35767000</v>
      </c>
      <c r="AM103">
        <v>35771000</v>
      </c>
      <c r="AN103">
        <v>35684000</v>
      </c>
      <c r="AO103">
        <v>41338000</v>
      </c>
      <c r="AP103">
        <v>45952000</v>
      </c>
      <c r="AQ103">
        <v>49163000</v>
      </c>
      <c r="AR103">
        <v>58747000</v>
      </c>
      <c r="AS103">
        <v>55899000</v>
      </c>
      <c r="AT103">
        <v>65890000</v>
      </c>
      <c r="AU103">
        <v>70906000</v>
      </c>
      <c r="AV103">
        <v>76360000</v>
      </c>
    </row>
    <row r="104" spans="1:48">
      <c r="A104">
        <v>1</v>
      </c>
      <c r="B104">
        <v>103</v>
      </c>
      <c r="C104" t="s">
        <v>18</v>
      </c>
      <c r="D104" t="s">
        <v>200</v>
      </c>
      <c r="E104" t="s">
        <v>190</v>
      </c>
      <c r="F104" t="s">
        <v>23</v>
      </c>
      <c r="G104" t="s">
        <v>25</v>
      </c>
      <c r="H104" t="s">
        <v>85</v>
      </c>
      <c r="I104">
        <v>0</v>
      </c>
      <c r="J104">
        <v>0</v>
      </c>
      <c r="K104">
        <v>0</v>
      </c>
      <c r="L104">
        <v>0</v>
      </c>
      <c r="M104">
        <v>2309735</v>
      </c>
      <c r="N104">
        <v>2225844</v>
      </c>
      <c r="O104">
        <v>1916709</v>
      </c>
      <c r="P104">
        <v>1598064</v>
      </c>
      <c r="Q104">
        <v>1332936</v>
      </c>
      <c r="R104">
        <v>1028616</v>
      </c>
      <c r="S104">
        <v>496098</v>
      </c>
      <c r="T104">
        <v>423961</v>
      </c>
      <c r="U104">
        <v>424241</v>
      </c>
      <c r="V104">
        <v>426383</v>
      </c>
      <c r="W104">
        <v>245029</v>
      </c>
      <c r="X104">
        <v>392764</v>
      </c>
      <c r="Y104">
        <v>745879</v>
      </c>
      <c r="Z104">
        <v>788334</v>
      </c>
      <c r="AA104">
        <v>1075369</v>
      </c>
      <c r="AB104">
        <v>1082000</v>
      </c>
      <c r="AC104">
        <v>1073000</v>
      </c>
      <c r="AD104">
        <v>1113000</v>
      </c>
      <c r="AE104">
        <v>1058000</v>
      </c>
      <c r="AF104">
        <v>1222000</v>
      </c>
      <c r="AG104">
        <v>1285000</v>
      </c>
      <c r="AH104">
        <v>1193000</v>
      </c>
      <c r="AI104">
        <v>1726000</v>
      </c>
      <c r="AJ104">
        <v>2106000</v>
      </c>
      <c r="AK104">
        <v>2562000</v>
      </c>
      <c r="AL104">
        <v>2790000</v>
      </c>
      <c r="AM104">
        <v>2638000</v>
      </c>
      <c r="AN104">
        <v>2713000</v>
      </c>
      <c r="AO104">
        <v>2730000</v>
      </c>
      <c r="AP104">
        <v>3495000</v>
      </c>
      <c r="AQ104">
        <v>8089000</v>
      </c>
      <c r="AR104">
        <v>10683000</v>
      </c>
      <c r="AS104">
        <v>10402000</v>
      </c>
      <c r="AT104">
        <v>12893000</v>
      </c>
      <c r="AU104">
        <v>13506000</v>
      </c>
      <c r="AV104">
        <v>13383000</v>
      </c>
    </row>
    <row r="105" spans="1:48">
      <c r="A105">
        <v>1</v>
      </c>
      <c r="B105">
        <v>104</v>
      </c>
      <c r="C105" t="s">
        <v>18</v>
      </c>
      <c r="D105" t="s">
        <v>200</v>
      </c>
      <c r="E105" t="s">
        <v>190</v>
      </c>
      <c r="F105" t="s">
        <v>23</v>
      </c>
      <c r="G105" t="s">
        <v>25</v>
      </c>
      <c r="H105" t="s">
        <v>83</v>
      </c>
      <c r="I105">
        <v>0</v>
      </c>
      <c r="J105" t="s">
        <v>182</v>
      </c>
      <c r="K105">
        <v>0</v>
      </c>
      <c r="L105">
        <v>0</v>
      </c>
      <c r="M105">
        <v>6423098</v>
      </c>
      <c r="N105">
        <v>6890772</v>
      </c>
      <c r="O105">
        <v>7454720</v>
      </c>
      <c r="P105">
        <v>8207541</v>
      </c>
      <c r="Q105">
        <v>8795347</v>
      </c>
      <c r="R105">
        <v>9455720</v>
      </c>
      <c r="S105">
        <v>9784349</v>
      </c>
      <c r="T105">
        <v>10171825</v>
      </c>
      <c r="U105">
        <v>10735386</v>
      </c>
      <c r="V105">
        <v>11217949</v>
      </c>
      <c r="W105">
        <v>12002648</v>
      </c>
      <c r="X105">
        <v>12750674</v>
      </c>
      <c r="Y105">
        <v>13936184</v>
      </c>
      <c r="Z105">
        <v>14626950</v>
      </c>
      <c r="AA105">
        <v>15479397</v>
      </c>
      <c r="AB105">
        <v>16178000</v>
      </c>
      <c r="AC105">
        <v>16322000</v>
      </c>
      <c r="AD105">
        <v>16822000</v>
      </c>
      <c r="AE105">
        <v>17260000</v>
      </c>
      <c r="AF105">
        <v>17855000</v>
      </c>
      <c r="AG105">
        <v>19094000</v>
      </c>
      <c r="AH105">
        <v>20571000</v>
      </c>
      <c r="AI105">
        <v>21930000</v>
      </c>
      <c r="AJ105">
        <v>23679000</v>
      </c>
      <c r="AK105">
        <v>26405000</v>
      </c>
      <c r="AL105">
        <v>28223000</v>
      </c>
      <c r="AM105">
        <v>29300000</v>
      </c>
      <c r="AN105">
        <v>31681000</v>
      </c>
      <c r="AO105">
        <v>36310000</v>
      </c>
      <c r="AP105">
        <v>41103000</v>
      </c>
      <c r="AQ105">
        <v>44914000</v>
      </c>
      <c r="AR105">
        <v>49116000</v>
      </c>
      <c r="AS105">
        <v>49535000</v>
      </c>
      <c r="AT105">
        <v>51512000</v>
      </c>
      <c r="AU105">
        <v>55043000</v>
      </c>
      <c r="AV105">
        <v>60131000</v>
      </c>
    </row>
    <row r="106" spans="1:48">
      <c r="A106">
        <v>1</v>
      </c>
      <c r="B106">
        <v>105</v>
      </c>
      <c r="C106" t="s">
        <v>18</v>
      </c>
      <c r="D106" t="s">
        <v>199</v>
      </c>
      <c r="E106" t="s">
        <v>190</v>
      </c>
      <c r="F106" t="s">
        <v>23</v>
      </c>
      <c r="G106" t="s">
        <v>25</v>
      </c>
      <c r="H106" t="s">
        <v>83</v>
      </c>
      <c r="I106">
        <v>0</v>
      </c>
      <c r="J106" t="s">
        <v>182</v>
      </c>
      <c r="K106">
        <v>0</v>
      </c>
      <c r="L106">
        <v>0</v>
      </c>
      <c r="M106">
        <v>90144</v>
      </c>
      <c r="N106">
        <v>73391</v>
      </c>
      <c r="O106">
        <v>61965</v>
      </c>
      <c r="P106">
        <v>64393</v>
      </c>
      <c r="Q106">
        <v>65120</v>
      </c>
      <c r="R106">
        <v>90566</v>
      </c>
      <c r="S106">
        <v>86638</v>
      </c>
      <c r="T106">
        <v>93719</v>
      </c>
      <c r="U106">
        <v>105980</v>
      </c>
      <c r="V106">
        <v>124531</v>
      </c>
      <c r="W106">
        <v>130597</v>
      </c>
      <c r="X106">
        <v>138264</v>
      </c>
      <c r="Y106">
        <v>154549</v>
      </c>
      <c r="Z106">
        <v>184600</v>
      </c>
      <c r="AA106">
        <v>197461</v>
      </c>
      <c r="AB106">
        <v>250000</v>
      </c>
      <c r="AC106">
        <v>264000</v>
      </c>
      <c r="AD106">
        <v>271000</v>
      </c>
      <c r="AE106">
        <v>285000</v>
      </c>
      <c r="AF106">
        <v>313000</v>
      </c>
      <c r="AG106">
        <v>422000</v>
      </c>
      <c r="AH106">
        <v>388000</v>
      </c>
      <c r="AI106">
        <v>360000</v>
      </c>
      <c r="AJ106">
        <v>403000</v>
      </c>
      <c r="AK106">
        <v>454000</v>
      </c>
      <c r="AL106">
        <v>531000</v>
      </c>
      <c r="AM106">
        <v>588000</v>
      </c>
      <c r="AN106">
        <v>613000</v>
      </c>
      <c r="AO106">
        <v>664000</v>
      </c>
      <c r="AP106">
        <v>779000</v>
      </c>
      <c r="AQ106">
        <v>800000</v>
      </c>
      <c r="AR106">
        <v>946000</v>
      </c>
      <c r="AS106">
        <v>1053000</v>
      </c>
      <c r="AT106">
        <v>1032000</v>
      </c>
      <c r="AU106">
        <v>1183000</v>
      </c>
      <c r="AV106">
        <v>1777000</v>
      </c>
    </row>
    <row r="107" spans="1:48">
      <c r="A107">
        <v>1</v>
      </c>
      <c r="B107">
        <v>106</v>
      </c>
      <c r="C107" t="s">
        <v>18</v>
      </c>
      <c r="D107" t="s">
        <v>200</v>
      </c>
      <c r="E107" t="s">
        <v>190</v>
      </c>
      <c r="F107" t="s">
        <v>23</v>
      </c>
      <c r="G107" t="s">
        <v>25</v>
      </c>
      <c r="H107" t="s">
        <v>84</v>
      </c>
      <c r="I107">
        <v>0</v>
      </c>
      <c r="J107">
        <v>0</v>
      </c>
      <c r="K107">
        <v>0</v>
      </c>
      <c r="L107">
        <v>0</v>
      </c>
      <c r="M107">
        <v>-3835</v>
      </c>
      <c r="N107">
        <v>216723</v>
      </c>
      <c r="O107">
        <v>119681</v>
      </c>
      <c r="P107">
        <v>16876</v>
      </c>
      <c r="Q107">
        <v>257267</v>
      </c>
      <c r="R107">
        <v>229652</v>
      </c>
      <c r="S107">
        <v>128141</v>
      </c>
      <c r="T107">
        <v>344474</v>
      </c>
      <c r="U107">
        <v>1305185</v>
      </c>
      <c r="V107">
        <v>891942</v>
      </c>
      <c r="W107">
        <v>530044</v>
      </c>
      <c r="X107">
        <v>99815</v>
      </c>
      <c r="Y107">
        <v>917139</v>
      </c>
      <c r="Z107">
        <v>1313879</v>
      </c>
      <c r="AA107">
        <v>211502</v>
      </c>
      <c r="AB107">
        <v>344000</v>
      </c>
      <c r="AC107">
        <v>80000</v>
      </c>
      <c r="AD107">
        <v>-327000</v>
      </c>
      <c r="AE107">
        <v>853000</v>
      </c>
      <c r="AF107">
        <v>580000</v>
      </c>
      <c r="AG107">
        <v>364000</v>
      </c>
      <c r="AH107">
        <v>-904000</v>
      </c>
      <c r="AI107">
        <v>-1006000</v>
      </c>
      <c r="AJ107">
        <v>505000</v>
      </c>
      <c r="AK107">
        <v>-1982000</v>
      </c>
      <c r="AL107">
        <v>860000</v>
      </c>
      <c r="AM107">
        <v>-1242000</v>
      </c>
      <c r="AN107">
        <v>-868000</v>
      </c>
      <c r="AO107">
        <v>-419000</v>
      </c>
      <c r="AP107">
        <v>-578000</v>
      </c>
      <c r="AQ107">
        <v>540000</v>
      </c>
      <c r="AR107">
        <v>1262000</v>
      </c>
      <c r="AS107">
        <v>1413000</v>
      </c>
      <c r="AT107">
        <v>1328000</v>
      </c>
      <c r="AU107">
        <v>2143000</v>
      </c>
      <c r="AV107">
        <v>743000</v>
      </c>
    </row>
    <row r="108" spans="1:48">
      <c r="A108">
        <v>1</v>
      </c>
      <c r="B108">
        <v>107</v>
      </c>
      <c r="C108" t="s">
        <v>18</v>
      </c>
      <c r="D108" t="s">
        <v>199</v>
      </c>
      <c r="E108" t="s">
        <v>190</v>
      </c>
      <c r="F108" t="s">
        <v>23</v>
      </c>
      <c r="G108" t="s">
        <v>25</v>
      </c>
      <c r="H108" t="s">
        <v>87</v>
      </c>
      <c r="I108">
        <v>0</v>
      </c>
      <c r="J108">
        <v>0</v>
      </c>
      <c r="K108">
        <v>0</v>
      </c>
      <c r="L108">
        <v>0</v>
      </c>
      <c r="M108">
        <v>234</v>
      </c>
      <c r="N108">
        <v>674</v>
      </c>
      <c r="O108">
        <v>861</v>
      </c>
      <c r="P108">
        <v>1593</v>
      </c>
      <c r="Q108">
        <v>849</v>
      </c>
      <c r="R108">
        <v>534</v>
      </c>
      <c r="S108">
        <v>3710</v>
      </c>
      <c r="T108">
        <v>1185</v>
      </c>
      <c r="U108">
        <v>370</v>
      </c>
      <c r="V108">
        <v>2413</v>
      </c>
      <c r="W108">
        <v>3021</v>
      </c>
      <c r="X108">
        <v>2656</v>
      </c>
      <c r="Y108">
        <v>9315</v>
      </c>
      <c r="Z108">
        <v>4803</v>
      </c>
      <c r="AA108">
        <v>1673</v>
      </c>
      <c r="AB108">
        <v>3000</v>
      </c>
      <c r="AC108">
        <v>2000</v>
      </c>
      <c r="AD108">
        <v>6000</v>
      </c>
      <c r="AE108">
        <v>3000</v>
      </c>
      <c r="AF108">
        <v>4000</v>
      </c>
      <c r="AG108">
        <v>12000</v>
      </c>
      <c r="AH108">
        <v>17000</v>
      </c>
      <c r="AI108">
        <v>28000</v>
      </c>
      <c r="AJ108">
        <v>25000</v>
      </c>
      <c r="AK108">
        <v>39000</v>
      </c>
      <c r="AL108">
        <v>21000</v>
      </c>
      <c r="AM108">
        <v>37000</v>
      </c>
      <c r="AN108">
        <v>26000</v>
      </c>
      <c r="AO108">
        <v>31000</v>
      </c>
      <c r="AP108">
        <v>30000</v>
      </c>
      <c r="AQ108">
        <v>36000</v>
      </c>
      <c r="AR108">
        <v>50000</v>
      </c>
      <c r="AS108">
        <v>28000</v>
      </c>
      <c r="AT108">
        <v>55000</v>
      </c>
      <c r="AU108">
        <v>40000</v>
      </c>
      <c r="AV108">
        <v>44000</v>
      </c>
    </row>
    <row r="109" spans="1:48">
      <c r="A109">
        <v>1</v>
      </c>
      <c r="B109">
        <v>108</v>
      </c>
      <c r="C109" t="s">
        <v>18</v>
      </c>
      <c r="D109" t="s">
        <v>200</v>
      </c>
      <c r="E109" t="s">
        <v>190</v>
      </c>
      <c r="F109" t="s">
        <v>23</v>
      </c>
      <c r="G109" t="s">
        <v>25</v>
      </c>
      <c r="H109" t="s">
        <v>87</v>
      </c>
      <c r="I109">
        <v>0</v>
      </c>
      <c r="J109">
        <v>0</v>
      </c>
      <c r="K109">
        <v>0</v>
      </c>
      <c r="L109">
        <v>0</v>
      </c>
      <c r="M109">
        <v>649119</v>
      </c>
      <c r="N109">
        <v>644008</v>
      </c>
      <c r="O109">
        <v>661495</v>
      </c>
      <c r="P109">
        <v>671816</v>
      </c>
      <c r="Q109">
        <v>711446</v>
      </c>
      <c r="R109">
        <v>717465</v>
      </c>
      <c r="S109">
        <v>768352</v>
      </c>
      <c r="T109">
        <v>715328</v>
      </c>
      <c r="U109">
        <v>816088</v>
      </c>
      <c r="V109">
        <v>777594</v>
      </c>
      <c r="W109">
        <v>861593</v>
      </c>
      <c r="X109">
        <v>910137</v>
      </c>
      <c r="Y109">
        <v>956734</v>
      </c>
      <c r="Z109">
        <v>942413</v>
      </c>
      <c r="AA109">
        <v>955577</v>
      </c>
      <c r="AB109">
        <v>1012000</v>
      </c>
      <c r="AC109">
        <v>987000</v>
      </c>
      <c r="AD109">
        <v>963000</v>
      </c>
      <c r="AE109">
        <v>932000</v>
      </c>
      <c r="AF109">
        <v>997000</v>
      </c>
      <c r="AG109">
        <v>905000</v>
      </c>
      <c r="AH109">
        <v>1211000</v>
      </c>
      <c r="AI109">
        <v>1171000</v>
      </c>
      <c r="AJ109">
        <v>1175000</v>
      </c>
      <c r="AK109">
        <v>1419000</v>
      </c>
      <c r="AL109">
        <v>1928000</v>
      </c>
      <c r="AM109">
        <v>2719000</v>
      </c>
      <c r="AN109">
        <v>2969000</v>
      </c>
      <c r="AO109">
        <v>3999000</v>
      </c>
      <c r="AP109">
        <v>4648000</v>
      </c>
      <c r="AQ109">
        <v>4842000</v>
      </c>
      <c r="AR109">
        <v>6385000</v>
      </c>
      <c r="AS109">
        <v>6265000</v>
      </c>
      <c r="AT109">
        <v>6228000</v>
      </c>
      <c r="AU109">
        <v>6795000</v>
      </c>
      <c r="AV109">
        <v>7300000</v>
      </c>
    </row>
    <row r="110" spans="1:48">
      <c r="A110">
        <v>1</v>
      </c>
      <c r="B110">
        <v>109</v>
      </c>
      <c r="C110" t="s">
        <v>18</v>
      </c>
      <c r="D110" t="s">
        <v>199</v>
      </c>
      <c r="E110" t="s">
        <v>181</v>
      </c>
      <c r="F110" t="s">
        <v>28</v>
      </c>
      <c r="G110" t="s">
        <v>30</v>
      </c>
      <c r="H110">
        <v>0</v>
      </c>
      <c r="I110">
        <v>0</v>
      </c>
      <c r="J110">
        <v>0</v>
      </c>
      <c r="K110">
        <v>0</v>
      </c>
      <c r="L110">
        <v>0</v>
      </c>
      <c r="M110">
        <v>0</v>
      </c>
      <c r="N110">
        <v>0</v>
      </c>
      <c r="O110">
        <v>0</v>
      </c>
      <c r="P110">
        <v>0</v>
      </c>
      <c r="Q110">
        <v>0</v>
      </c>
      <c r="R110">
        <v>0</v>
      </c>
      <c r="S110">
        <v>17128</v>
      </c>
      <c r="T110">
        <v>47463</v>
      </c>
      <c r="U110">
        <v>79969</v>
      </c>
      <c r="V110">
        <v>163461</v>
      </c>
      <c r="W110">
        <v>186995</v>
      </c>
      <c r="X110">
        <v>280261</v>
      </c>
      <c r="Y110">
        <v>210747</v>
      </c>
      <c r="Z110">
        <v>204035</v>
      </c>
      <c r="AA110">
        <v>223673</v>
      </c>
      <c r="AB110">
        <v>236000</v>
      </c>
      <c r="AC110">
        <v>163000</v>
      </c>
      <c r="AD110">
        <v>169000</v>
      </c>
      <c r="AE110">
        <v>185000</v>
      </c>
      <c r="AF110">
        <v>305000</v>
      </c>
      <c r="AG110">
        <v>294000</v>
      </c>
      <c r="AH110">
        <v>207000</v>
      </c>
      <c r="AI110">
        <v>227000</v>
      </c>
      <c r="AJ110">
        <v>242000</v>
      </c>
      <c r="AK110">
        <v>269000</v>
      </c>
      <c r="AL110">
        <v>331000</v>
      </c>
      <c r="AM110">
        <v>363000</v>
      </c>
      <c r="AN110">
        <v>430000</v>
      </c>
      <c r="AO110">
        <v>478000</v>
      </c>
      <c r="AP110">
        <v>431000</v>
      </c>
      <c r="AQ110">
        <v>479000</v>
      </c>
      <c r="AR110">
        <v>552000</v>
      </c>
      <c r="AS110">
        <v>546000</v>
      </c>
      <c r="AT110">
        <v>675000</v>
      </c>
      <c r="AU110">
        <v>515000</v>
      </c>
      <c r="AV110">
        <v>648000</v>
      </c>
    </row>
    <row r="111" spans="1:48">
      <c r="A111">
        <v>1</v>
      </c>
      <c r="B111">
        <v>110</v>
      </c>
      <c r="C111" t="s">
        <v>18</v>
      </c>
      <c r="D111" t="s">
        <v>200</v>
      </c>
      <c r="E111" t="s">
        <v>181</v>
      </c>
      <c r="F111" t="s">
        <v>28</v>
      </c>
      <c r="G111" t="s">
        <v>29</v>
      </c>
      <c r="H111" t="s">
        <v>499</v>
      </c>
      <c r="I111">
        <v>0</v>
      </c>
      <c r="J111">
        <v>0</v>
      </c>
      <c r="K111">
        <v>0</v>
      </c>
      <c r="L111">
        <v>0</v>
      </c>
      <c r="M111">
        <v>343496</v>
      </c>
      <c r="N111">
        <v>363142</v>
      </c>
      <c r="O111">
        <v>366551</v>
      </c>
      <c r="P111">
        <v>420207</v>
      </c>
      <c r="Q111">
        <v>501758</v>
      </c>
      <c r="R111">
        <v>542117</v>
      </c>
      <c r="S111">
        <v>620692</v>
      </c>
      <c r="T111">
        <v>720701</v>
      </c>
      <c r="U111">
        <v>938180</v>
      </c>
      <c r="V111">
        <v>1051459</v>
      </c>
      <c r="W111">
        <v>1297031</v>
      </c>
      <c r="X111">
        <v>1606856</v>
      </c>
      <c r="Y111">
        <v>2122268</v>
      </c>
      <c r="Z111">
        <v>2134915</v>
      </c>
      <c r="AA111">
        <v>2323437</v>
      </c>
      <c r="AB111">
        <v>2749000</v>
      </c>
      <c r="AC111">
        <v>3013000</v>
      </c>
      <c r="AD111">
        <v>2939000</v>
      </c>
      <c r="AE111">
        <v>2682000</v>
      </c>
      <c r="AF111">
        <v>3204000</v>
      </c>
      <c r="AG111">
        <v>3707000</v>
      </c>
      <c r="AH111">
        <v>4206000</v>
      </c>
      <c r="AI111">
        <v>4746000</v>
      </c>
      <c r="AJ111">
        <v>4580000</v>
      </c>
      <c r="AK111">
        <v>4750000</v>
      </c>
      <c r="AL111">
        <v>4845000</v>
      </c>
      <c r="AM111">
        <v>5052000</v>
      </c>
      <c r="AN111">
        <v>5172000</v>
      </c>
      <c r="AO111">
        <v>5655000</v>
      </c>
      <c r="AP111">
        <v>6009000</v>
      </c>
      <c r="AQ111">
        <v>6327000</v>
      </c>
      <c r="AR111">
        <v>6546000</v>
      </c>
      <c r="AS111">
        <v>6753000</v>
      </c>
      <c r="AT111">
        <v>6761000</v>
      </c>
      <c r="AU111">
        <v>6751000</v>
      </c>
      <c r="AV111">
        <v>7049000</v>
      </c>
    </row>
    <row r="112" spans="1:48">
      <c r="A112">
        <v>1</v>
      </c>
      <c r="B112">
        <v>111</v>
      </c>
      <c r="C112" t="s">
        <v>18</v>
      </c>
      <c r="D112" t="s">
        <v>199</v>
      </c>
      <c r="E112" t="s">
        <v>181</v>
      </c>
      <c r="F112" t="s">
        <v>28</v>
      </c>
      <c r="G112" t="s">
        <v>29</v>
      </c>
      <c r="H112" t="s">
        <v>499</v>
      </c>
      <c r="I112">
        <v>0</v>
      </c>
      <c r="J112">
        <v>0</v>
      </c>
      <c r="K112">
        <v>0</v>
      </c>
      <c r="L112">
        <v>0</v>
      </c>
      <c r="M112">
        <v>8668</v>
      </c>
      <c r="N112">
        <v>8439</v>
      </c>
      <c r="O112">
        <v>8620</v>
      </c>
      <c r="P112">
        <v>9492</v>
      </c>
      <c r="Q112">
        <v>3367</v>
      </c>
      <c r="R112">
        <v>5538</v>
      </c>
      <c r="S112">
        <v>7088</v>
      </c>
      <c r="T112">
        <v>3225</v>
      </c>
      <c r="U112">
        <v>2649</v>
      </c>
      <c r="V112">
        <v>2510</v>
      </c>
      <c r="W112">
        <v>3133</v>
      </c>
      <c r="X112">
        <v>2958</v>
      </c>
      <c r="Y112">
        <v>2700</v>
      </c>
      <c r="Z112">
        <v>1107</v>
      </c>
      <c r="AA112">
        <v>3200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row>
    <row r="113" spans="1:48">
      <c r="A113">
        <v>1</v>
      </c>
      <c r="B113">
        <v>112</v>
      </c>
      <c r="C113" t="s">
        <v>18</v>
      </c>
      <c r="D113" t="s">
        <v>200</v>
      </c>
      <c r="E113" t="s">
        <v>181</v>
      </c>
      <c r="F113" t="s">
        <v>28</v>
      </c>
      <c r="G113" t="s">
        <v>29</v>
      </c>
      <c r="H113" t="s">
        <v>498</v>
      </c>
      <c r="I113">
        <v>0</v>
      </c>
      <c r="J113">
        <v>0</v>
      </c>
      <c r="K113">
        <v>0</v>
      </c>
      <c r="L113">
        <v>0</v>
      </c>
      <c r="M113">
        <v>1606225</v>
      </c>
      <c r="N113">
        <v>1761160</v>
      </c>
      <c r="O113">
        <v>1764314</v>
      </c>
      <c r="P113">
        <v>1964136</v>
      </c>
      <c r="Q113">
        <v>2207029</v>
      </c>
      <c r="R113">
        <v>2427198</v>
      </c>
      <c r="S113">
        <v>2421346</v>
      </c>
      <c r="T113">
        <v>2564075</v>
      </c>
      <c r="U113">
        <v>2966384</v>
      </c>
      <c r="V113">
        <v>3289739</v>
      </c>
      <c r="W113">
        <v>3561389</v>
      </c>
      <c r="X113">
        <v>4124863</v>
      </c>
      <c r="Y113">
        <v>4751538</v>
      </c>
      <c r="Z113">
        <v>4930167</v>
      </c>
      <c r="AA113">
        <v>4998596</v>
      </c>
      <c r="AB113">
        <v>4993000</v>
      </c>
      <c r="AC113">
        <v>5455000</v>
      </c>
      <c r="AD113">
        <v>6368000</v>
      </c>
      <c r="AE113">
        <v>7141000</v>
      </c>
      <c r="AF113">
        <v>7664000</v>
      </c>
      <c r="AG113">
        <v>8164000</v>
      </c>
      <c r="AH113">
        <v>7328000</v>
      </c>
      <c r="AI113">
        <v>9951000</v>
      </c>
      <c r="AJ113">
        <v>10978000</v>
      </c>
      <c r="AK113">
        <v>18703000</v>
      </c>
      <c r="AL113">
        <v>13094000</v>
      </c>
      <c r="AM113">
        <v>12537000</v>
      </c>
      <c r="AN113">
        <v>12213000</v>
      </c>
      <c r="AO113">
        <v>14404000</v>
      </c>
      <c r="AP113">
        <v>13488000</v>
      </c>
      <c r="AQ113">
        <v>14552000</v>
      </c>
      <c r="AR113">
        <v>15484000</v>
      </c>
      <c r="AS113">
        <v>14611000</v>
      </c>
      <c r="AT113">
        <v>13340000</v>
      </c>
      <c r="AU113">
        <v>12316000</v>
      </c>
      <c r="AV113">
        <v>13272000</v>
      </c>
    </row>
    <row r="114" spans="1:48">
      <c r="A114">
        <v>1</v>
      </c>
      <c r="B114">
        <v>113</v>
      </c>
      <c r="C114" t="s">
        <v>18</v>
      </c>
      <c r="D114" t="s">
        <v>199</v>
      </c>
      <c r="E114" t="s">
        <v>181</v>
      </c>
      <c r="F114" t="s">
        <v>28</v>
      </c>
      <c r="G114" t="s">
        <v>29</v>
      </c>
      <c r="H114" t="s">
        <v>498</v>
      </c>
      <c r="I114">
        <v>0</v>
      </c>
      <c r="J114">
        <v>0</v>
      </c>
      <c r="K114">
        <v>0</v>
      </c>
      <c r="L114">
        <v>0</v>
      </c>
      <c r="M114">
        <v>520500</v>
      </c>
      <c r="N114">
        <v>323522</v>
      </c>
      <c r="O114">
        <v>178449</v>
      </c>
      <c r="P114">
        <v>91835</v>
      </c>
      <c r="Q114">
        <v>65140</v>
      </c>
      <c r="R114">
        <v>89240</v>
      </c>
      <c r="S114">
        <v>130937</v>
      </c>
      <c r="T114">
        <v>236821</v>
      </c>
      <c r="U114">
        <v>344122</v>
      </c>
      <c r="V114">
        <v>353980</v>
      </c>
      <c r="W114">
        <v>383477</v>
      </c>
      <c r="X114">
        <v>656336</v>
      </c>
      <c r="Y114">
        <v>773973</v>
      </c>
      <c r="Z114">
        <v>781896</v>
      </c>
      <c r="AA114">
        <v>765061</v>
      </c>
      <c r="AB114">
        <v>986000</v>
      </c>
      <c r="AC114">
        <v>1384000</v>
      </c>
      <c r="AD114">
        <v>2676000</v>
      </c>
      <c r="AE114">
        <v>3473000</v>
      </c>
      <c r="AF114">
        <v>4618000</v>
      </c>
      <c r="AG114">
        <v>4969000</v>
      </c>
      <c r="AH114">
        <v>6405000</v>
      </c>
      <c r="AI114">
        <v>5509000</v>
      </c>
      <c r="AJ114">
        <v>4256000</v>
      </c>
      <c r="AK114">
        <v>4815000</v>
      </c>
      <c r="AL114">
        <v>4453000</v>
      </c>
      <c r="AM114">
        <v>4598000</v>
      </c>
      <c r="AN114">
        <v>4173000</v>
      </c>
      <c r="AO114">
        <v>3723000</v>
      </c>
      <c r="AP114">
        <v>4379000</v>
      </c>
      <c r="AQ114">
        <v>4607000</v>
      </c>
      <c r="AR114">
        <v>4324000</v>
      </c>
      <c r="AS114">
        <v>4144000</v>
      </c>
      <c r="AT114">
        <v>3875000</v>
      </c>
      <c r="AU114">
        <v>3747000</v>
      </c>
      <c r="AV114">
        <v>3016000</v>
      </c>
    </row>
    <row r="115" spans="1:48">
      <c r="A115">
        <v>1</v>
      </c>
      <c r="B115">
        <v>114</v>
      </c>
      <c r="C115" t="s">
        <v>18</v>
      </c>
      <c r="D115" t="s">
        <v>200</v>
      </c>
      <c r="E115" t="s">
        <v>181</v>
      </c>
      <c r="F115" t="s">
        <v>28</v>
      </c>
      <c r="G115" t="s">
        <v>30</v>
      </c>
      <c r="H115">
        <v>0</v>
      </c>
      <c r="I115">
        <v>0</v>
      </c>
      <c r="J115">
        <v>0</v>
      </c>
      <c r="K115">
        <v>0</v>
      </c>
      <c r="L115">
        <v>0</v>
      </c>
      <c r="M115">
        <v>1346920</v>
      </c>
      <c r="N115">
        <v>1491332</v>
      </c>
      <c r="O115">
        <v>1516922</v>
      </c>
      <c r="P115">
        <v>1627393</v>
      </c>
      <c r="Q115">
        <v>1824786</v>
      </c>
      <c r="R115">
        <v>2064475</v>
      </c>
      <c r="S115">
        <v>2158502</v>
      </c>
      <c r="T115">
        <v>2434204</v>
      </c>
      <c r="U115">
        <v>2799575</v>
      </c>
      <c r="V115">
        <v>3091863</v>
      </c>
      <c r="W115">
        <v>3389904</v>
      </c>
      <c r="X115">
        <v>4072217</v>
      </c>
      <c r="Y115">
        <v>4842839</v>
      </c>
      <c r="Z115">
        <v>5131516</v>
      </c>
      <c r="AA115">
        <v>5245441</v>
      </c>
      <c r="AB115">
        <v>5879000</v>
      </c>
      <c r="AC115">
        <v>5904000</v>
      </c>
      <c r="AD115">
        <v>6148000</v>
      </c>
      <c r="AE115">
        <v>6497000</v>
      </c>
      <c r="AF115">
        <v>7122000</v>
      </c>
      <c r="AG115">
        <v>7468000</v>
      </c>
      <c r="AH115">
        <v>8091000</v>
      </c>
      <c r="AI115">
        <v>8912000</v>
      </c>
      <c r="AJ115">
        <v>9647000</v>
      </c>
      <c r="AK115">
        <v>10175000</v>
      </c>
      <c r="AL115">
        <v>10327000</v>
      </c>
      <c r="AM115">
        <v>10825000</v>
      </c>
      <c r="AN115">
        <v>11711000</v>
      </c>
      <c r="AO115">
        <v>12567000</v>
      </c>
      <c r="AP115">
        <v>12975000</v>
      </c>
      <c r="AQ115">
        <v>14051000</v>
      </c>
      <c r="AR115">
        <v>14562000</v>
      </c>
      <c r="AS115">
        <v>15703000</v>
      </c>
      <c r="AT115">
        <v>14126000</v>
      </c>
      <c r="AU115">
        <v>13746000</v>
      </c>
      <c r="AV115">
        <v>14110000</v>
      </c>
    </row>
    <row r="116" spans="1:48">
      <c r="A116">
        <v>1</v>
      </c>
      <c r="B116">
        <v>115</v>
      </c>
      <c r="C116" t="s">
        <v>18</v>
      </c>
      <c r="D116" t="s">
        <v>200</v>
      </c>
      <c r="E116" t="s">
        <v>179</v>
      </c>
      <c r="F116" t="s">
        <v>53</v>
      </c>
      <c r="G116" t="s">
        <v>52</v>
      </c>
      <c r="H116" t="s">
        <v>116</v>
      </c>
      <c r="I116">
        <v>0</v>
      </c>
      <c r="J116">
        <v>0</v>
      </c>
      <c r="K116">
        <v>0</v>
      </c>
      <c r="L116" t="s">
        <v>218</v>
      </c>
      <c r="M116">
        <v>2160851</v>
      </c>
      <c r="N116">
        <v>2008442</v>
      </c>
      <c r="O116">
        <v>1837666</v>
      </c>
      <c r="P116">
        <v>1382342</v>
      </c>
      <c r="Q116">
        <v>706212</v>
      </c>
      <c r="R116">
        <v>-1222485</v>
      </c>
      <c r="S116">
        <v>-2591356</v>
      </c>
      <c r="T116">
        <v>-1249851</v>
      </c>
      <c r="U116">
        <v>1204145</v>
      </c>
      <c r="V116">
        <v>1655584</v>
      </c>
      <c r="W116">
        <v>873051</v>
      </c>
      <c r="X116">
        <v>2131121</v>
      </c>
      <c r="Y116">
        <v>2335045</v>
      </c>
      <c r="Z116">
        <v>443692</v>
      </c>
      <c r="AA116">
        <v>-1598760</v>
      </c>
      <c r="AB116">
        <v>-2605000</v>
      </c>
      <c r="AC116">
        <v>-5759000</v>
      </c>
      <c r="AD116">
        <v>-4468000</v>
      </c>
      <c r="AE116">
        <v>329000</v>
      </c>
      <c r="AF116">
        <v>1841000</v>
      </c>
      <c r="AG116">
        <v>-2677000</v>
      </c>
      <c r="AH116">
        <v>-653000</v>
      </c>
      <c r="AI116">
        <v>-6255000</v>
      </c>
      <c r="AJ116">
        <v>-2005000</v>
      </c>
      <c r="AK116">
        <v>2141000</v>
      </c>
      <c r="AL116">
        <v>-865000</v>
      </c>
      <c r="AM116">
        <v>-783000</v>
      </c>
      <c r="AN116">
        <v>-5171000</v>
      </c>
      <c r="AO116">
        <v>-521000</v>
      </c>
      <c r="AP116">
        <v>12928000</v>
      </c>
      <c r="AQ116">
        <v>4004000</v>
      </c>
      <c r="AR116">
        <v>875000</v>
      </c>
      <c r="AS116">
        <v>-1308000</v>
      </c>
      <c r="AT116">
        <v>7777000</v>
      </c>
      <c r="AU116">
        <v>-10662000</v>
      </c>
      <c r="AV116">
        <v>-14152000</v>
      </c>
    </row>
    <row r="117" spans="1:48">
      <c r="A117">
        <v>1</v>
      </c>
      <c r="B117">
        <v>116</v>
      </c>
      <c r="C117" t="s">
        <v>18</v>
      </c>
      <c r="D117" t="s">
        <v>200</v>
      </c>
      <c r="E117" t="s">
        <v>190</v>
      </c>
      <c r="F117" t="s">
        <v>27</v>
      </c>
      <c r="G117">
        <v>0</v>
      </c>
      <c r="H117">
        <v>0</v>
      </c>
      <c r="I117">
        <v>0</v>
      </c>
      <c r="J117" t="s">
        <v>27</v>
      </c>
      <c r="K117">
        <v>0</v>
      </c>
      <c r="L117">
        <v>0</v>
      </c>
      <c r="M117">
        <v>876553</v>
      </c>
      <c r="N117">
        <v>959995</v>
      </c>
      <c r="O117">
        <v>1007536</v>
      </c>
      <c r="P117">
        <v>1132504</v>
      </c>
      <c r="Q117">
        <v>1208786</v>
      </c>
      <c r="R117">
        <v>1297626</v>
      </c>
      <c r="S117">
        <v>1378830</v>
      </c>
      <c r="T117">
        <v>1708406</v>
      </c>
      <c r="U117">
        <v>2265790</v>
      </c>
      <c r="V117">
        <v>1690742</v>
      </c>
      <c r="W117">
        <v>1362933</v>
      </c>
      <c r="X117">
        <v>1742967</v>
      </c>
      <c r="Y117">
        <v>1946267</v>
      </c>
      <c r="Z117">
        <v>2009525</v>
      </c>
      <c r="AA117">
        <v>1956440</v>
      </c>
      <c r="AB117">
        <v>1665000</v>
      </c>
      <c r="AC117">
        <v>1979000</v>
      </c>
      <c r="AD117">
        <v>2317000</v>
      </c>
      <c r="AE117">
        <v>3381000</v>
      </c>
      <c r="AF117">
        <v>3622000</v>
      </c>
      <c r="AG117">
        <v>3897000</v>
      </c>
      <c r="AH117">
        <v>3960000</v>
      </c>
      <c r="AI117">
        <v>5722000</v>
      </c>
      <c r="AJ117">
        <v>5643000</v>
      </c>
      <c r="AK117">
        <v>6874000</v>
      </c>
      <c r="AL117">
        <v>6973000</v>
      </c>
      <c r="AM117">
        <v>7644000</v>
      </c>
      <c r="AN117">
        <v>8664000</v>
      </c>
      <c r="AO117">
        <v>11270000</v>
      </c>
      <c r="AP117">
        <v>15299000</v>
      </c>
      <c r="AQ117">
        <v>14427000</v>
      </c>
      <c r="AR117">
        <v>14588000</v>
      </c>
      <c r="AS117">
        <v>14520000</v>
      </c>
      <c r="AT117">
        <v>13824000</v>
      </c>
      <c r="AU117">
        <v>13382000</v>
      </c>
      <c r="AV117">
        <v>13853000</v>
      </c>
    </row>
    <row r="118" spans="1:48">
      <c r="A118">
        <v>1</v>
      </c>
      <c r="B118">
        <v>117</v>
      </c>
      <c r="C118" t="s">
        <v>18</v>
      </c>
      <c r="D118" t="s">
        <v>199</v>
      </c>
      <c r="E118" t="s">
        <v>190</v>
      </c>
      <c r="F118" t="s">
        <v>27</v>
      </c>
      <c r="G118">
        <v>0</v>
      </c>
      <c r="H118">
        <v>0</v>
      </c>
      <c r="I118">
        <v>0</v>
      </c>
      <c r="J118" t="s">
        <v>27</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110000</v>
      </c>
      <c r="AF118">
        <v>97000</v>
      </c>
      <c r="AG118">
        <v>90000</v>
      </c>
      <c r="AH118">
        <v>90000</v>
      </c>
      <c r="AI118">
        <v>91000</v>
      </c>
      <c r="AJ118">
        <v>88000</v>
      </c>
      <c r="AK118">
        <v>79000</v>
      </c>
      <c r="AL118">
        <v>89000</v>
      </c>
      <c r="AM118">
        <v>101000</v>
      </c>
      <c r="AN118">
        <v>92000</v>
      </c>
      <c r="AO118">
        <v>84000</v>
      </c>
      <c r="AP118">
        <v>92000</v>
      </c>
      <c r="AQ118">
        <v>77000</v>
      </c>
      <c r="AR118">
        <v>88000</v>
      </c>
      <c r="AS118">
        <v>121000</v>
      </c>
      <c r="AT118">
        <v>85000</v>
      </c>
      <c r="AU118">
        <v>98000</v>
      </c>
      <c r="AV118">
        <v>243000</v>
      </c>
    </row>
    <row r="119" spans="1:48">
      <c r="A119">
        <v>1</v>
      </c>
      <c r="B119">
        <v>118</v>
      </c>
      <c r="C119" t="s">
        <v>18</v>
      </c>
      <c r="D119" t="s">
        <v>199</v>
      </c>
      <c r="E119" t="s">
        <v>40</v>
      </c>
      <c r="F119" t="s">
        <v>219</v>
      </c>
      <c r="G119">
        <v>0</v>
      </c>
      <c r="H119">
        <v>0</v>
      </c>
      <c r="I119">
        <v>0</v>
      </c>
      <c r="J119">
        <v>0</v>
      </c>
      <c r="K119">
        <v>0</v>
      </c>
      <c r="L119">
        <v>0</v>
      </c>
      <c r="M119">
        <v>8212106</v>
      </c>
      <c r="N119">
        <v>6356809</v>
      </c>
      <c r="O119">
        <v>6035625</v>
      </c>
      <c r="P119">
        <v>5955058</v>
      </c>
      <c r="Q119">
        <v>6247122</v>
      </c>
      <c r="R119">
        <v>6267314</v>
      </c>
      <c r="S119">
        <v>6704588</v>
      </c>
      <c r="T119">
        <v>1613822</v>
      </c>
      <c r="U119">
        <v>1563401</v>
      </c>
      <c r="V119">
        <v>1700470</v>
      </c>
      <c r="W119">
        <v>1841314</v>
      </c>
      <c r="X119">
        <v>1797422</v>
      </c>
      <c r="Y119">
        <v>1806929</v>
      </c>
      <c r="Z119">
        <v>1776018</v>
      </c>
      <c r="AA119">
        <v>1644214</v>
      </c>
      <c r="AB119">
        <v>1935000</v>
      </c>
      <c r="AC119">
        <v>1769000</v>
      </c>
      <c r="AD119">
        <v>1917000</v>
      </c>
      <c r="AE119">
        <v>1817000</v>
      </c>
      <c r="AF119">
        <v>1492000</v>
      </c>
      <c r="AG119">
        <v>1534000</v>
      </c>
      <c r="AH119">
        <v>1761000</v>
      </c>
      <c r="AI119">
        <v>1837000</v>
      </c>
      <c r="AJ119">
        <v>6919000</v>
      </c>
      <c r="AK119">
        <v>7119000</v>
      </c>
      <c r="AL119">
        <v>2656000</v>
      </c>
      <c r="AM119">
        <v>3183000</v>
      </c>
      <c r="AN119">
        <v>2861000</v>
      </c>
      <c r="AO119">
        <v>3483000</v>
      </c>
      <c r="AP119">
        <v>3309000</v>
      </c>
      <c r="AQ119">
        <v>4414000</v>
      </c>
      <c r="AR119">
        <v>6694000</v>
      </c>
      <c r="AS119">
        <v>3195000</v>
      </c>
      <c r="AT119">
        <v>3140000</v>
      </c>
      <c r="AU119">
        <v>3259000</v>
      </c>
      <c r="AV119">
        <v>2850000</v>
      </c>
    </row>
    <row r="120" spans="1:48">
      <c r="A120">
        <v>1</v>
      </c>
      <c r="B120">
        <v>119</v>
      </c>
      <c r="C120" t="s">
        <v>18</v>
      </c>
      <c r="D120" t="s">
        <v>200</v>
      </c>
      <c r="E120" t="s">
        <v>40</v>
      </c>
      <c r="F120" t="s">
        <v>219</v>
      </c>
      <c r="G120">
        <v>0</v>
      </c>
      <c r="H120">
        <v>0</v>
      </c>
      <c r="I120">
        <v>0</v>
      </c>
      <c r="J120">
        <v>0</v>
      </c>
      <c r="K120">
        <v>0</v>
      </c>
      <c r="L120">
        <v>0</v>
      </c>
      <c r="M120">
        <v>104180</v>
      </c>
      <c r="N120">
        <v>143424</v>
      </c>
      <c r="O120">
        <v>43252</v>
      </c>
      <c r="P120">
        <v>121680</v>
      </c>
      <c r="Q120">
        <v>90670</v>
      </c>
      <c r="R120">
        <v>-303070</v>
      </c>
      <c r="S120">
        <v>-556956</v>
      </c>
      <c r="T120">
        <v>-289023</v>
      </c>
      <c r="U120">
        <v>-29092</v>
      </c>
      <c r="V120">
        <v>-27426</v>
      </c>
      <c r="W120">
        <v>-30607</v>
      </c>
      <c r="X120">
        <v>-33679</v>
      </c>
      <c r="Y120">
        <v>-302351</v>
      </c>
      <c r="Z120">
        <v>-135471</v>
      </c>
      <c r="AA120">
        <v>-10001</v>
      </c>
      <c r="AB120">
        <v>-4000</v>
      </c>
      <c r="AC120">
        <v>-12000</v>
      </c>
      <c r="AD120">
        <v>-14000</v>
      </c>
      <c r="AE120">
        <v>-49000</v>
      </c>
      <c r="AF120">
        <v>26000</v>
      </c>
      <c r="AG120">
        <v>16000</v>
      </c>
      <c r="AH120">
        <v>21000</v>
      </c>
      <c r="AI120">
        <v>1000</v>
      </c>
      <c r="AJ120">
        <v>8000</v>
      </c>
      <c r="AK120">
        <v>26000</v>
      </c>
      <c r="AL120">
        <v>24000</v>
      </c>
      <c r="AM120">
        <v>25000</v>
      </c>
      <c r="AN120">
        <v>17000</v>
      </c>
      <c r="AO120">
        <v>20000</v>
      </c>
      <c r="AP120">
        <v>74000</v>
      </c>
      <c r="AQ120">
        <v>32000</v>
      </c>
      <c r="AR120">
        <v>33000</v>
      </c>
      <c r="AS120">
        <v>3782000</v>
      </c>
      <c r="AT120">
        <v>3936000</v>
      </c>
      <c r="AU120">
        <v>3638000</v>
      </c>
      <c r="AV120">
        <v>3531000</v>
      </c>
    </row>
    <row r="121" spans="1:48">
      <c r="A121">
        <v>1</v>
      </c>
      <c r="B121">
        <v>120</v>
      </c>
      <c r="C121" t="s">
        <v>18</v>
      </c>
      <c r="D121" t="s">
        <v>199</v>
      </c>
      <c r="E121" t="s">
        <v>40</v>
      </c>
      <c r="F121" t="s">
        <v>220</v>
      </c>
      <c r="G121">
        <v>0</v>
      </c>
      <c r="H121">
        <v>0</v>
      </c>
      <c r="I121">
        <v>0</v>
      </c>
      <c r="J121">
        <v>0</v>
      </c>
      <c r="K121">
        <v>0</v>
      </c>
      <c r="L121">
        <v>0</v>
      </c>
      <c r="M121">
        <v>385132</v>
      </c>
      <c r="N121">
        <v>543435</v>
      </c>
      <c r="O121">
        <v>556583</v>
      </c>
      <c r="P121">
        <v>570650</v>
      </c>
      <c r="Q121">
        <v>601431</v>
      </c>
      <c r="R121">
        <v>570704</v>
      </c>
      <c r="S121">
        <v>454038</v>
      </c>
      <c r="T121">
        <v>386167</v>
      </c>
      <c r="U121">
        <v>386489</v>
      </c>
      <c r="V121">
        <v>503167</v>
      </c>
      <c r="W121">
        <v>467563</v>
      </c>
      <c r="X121">
        <v>426988</v>
      </c>
      <c r="Y121">
        <v>463985</v>
      </c>
      <c r="Z121">
        <v>346692</v>
      </c>
      <c r="AA121">
        <v>401809</v>
      </c>
      <c r="AB121">
        <v>372000</v>
      </c>
      <c r="AC121">
        <v>367000</v>
      </c>
      <c r="AD121">
        <v>359000</v>
      </c>
      <c r="AE121">
        <v>382000</v>
      </c>
      <c r="AF121">
        <v>422000</v>
      </c>
      <c r="AG121">
        <v>520000</v>
      </c>
      <c r="AH121">
        <v>527000</v>
      </c>
      <c r="AI121">
        <v>561000</v>
      </c>
      <c r="AJ121">
        <v>530000</v>
      </c>
      <c r="AK121">
        <v>524000</v>
      </c>
      <c r="AL121">
        <v>643000</v>
      </c>
      <c r="AM121">
        <v>578000</v>
      </c>
      <c r="AN121">
        <v>661000</v>
      </c>
      <c r="AO121">
        <v>572000</v>
      </c>
      <c r="AP121">
        <v>705000</v>
      </c>
      <c r="AQ121">
        <v>635000</v>
      </c>
      <c r="AR121">
        <v>736000</v>
      </c>
      <c r="AS121">
        <v>765000</v>
      </c>
      <c r="AT121">
        <v>780000</v>
      </c>
      <c r="AU121">
        <v>734000</v>
      </c>
      <c r="AV121">
        <v>734000</v>
      </c>
    </row>
    <row r="122" spans="1:48">
      <c r="A122">
        <v>1</v>
      </c>
      <c r="B122">
        <v>121</v>
      </c>
      <c r="C122" t="s">
        <v>18</v>
      </c>
      <c r="D122" t="s">
        <v>200</v>
      </c>
      <c r="E122" t="s">
        <v>40</v>
      </c>
      <c r="F122" t="s">
        <v>220</v>
      </c>
      <c r="G122">
        <v>0</v>
      </c>
      <c r="H122">
        <v>0</v>
      </c>
      <c r="I122">
        <v>0</v>
      </c>
      <c r="J122">
        <v>0</v>
      </c>
      <c r="K122">
        <v>0</v>
      </c>
      <c r="L122">
        <v>0</v>
      </c>
      <c r="M122">
        <v>14794</v>
      </c>
      <c r="N122">
        <v>6183</v>
      </c>
      <c r="O122">
        <v>4800</v>
      </c>
      <c r="P122">
        <v>4731</v>
      </c>
      <c r="Q122">
        <v>3088</v>
      </c>
      <c r="R122">
        <v>3776</v>
      </c>
      <c r="S122">
        <v>12439</v>
      </c>
      <c r="T122">
        <v>298897</v>
      </c>
      <c r="U122">
        <v>167888</v>
      </c>
      <c r="V122">
        <v>153949</v>
      </c>
      <c r="W122">
        <v>180743</v>
      </c>
      <c r="X122">
        <v>180986</v>
      </c>
      <c r="Y122">
        <v>166114</v>
      </c>
      <c r="Z122">
        <v>168104</v>
      </c>
      <c r="AA122">
        <v>141501</v>
      </c>
      <c r="AB122">
        <v>328000</v>
      </c>
      <c r="AC122">
        <v>173000</v>
      </c>
      <c r="AD122">
        <v>182000</v>
      </c>
      <c r="AE122">
        <v>152000</v>
      </c>
      <c r="AF122">
        <v>143000</v>
      </c>
      <c r="AG122">
        <v>162000</v>
      </c>
      <c r="AH122">
        <v>159000</v>
      </c>
      <c r="AI122">
        <v>196000</v>
      </c>
      <c r="AJ122">
        <v>191000</v>
      </c>
      <c r="AK122">
        <v>148000</v>
      </c>
      <c r="AL122">
        <v>203000</v>
      </c>
      <c r="AM122">
        <v>167000</v>
      </c>
      <c r="AN122">
        <v>216000</v>
      </c>
      <c r="AO122">
        <v>188000</v>
      </c>
      <c r="AP122">
        <v>201000</v>
      </c>
      <c r="AQ122">
        <v>195000</v>
      </c>
      <c r="AR122">
        <v>212000</v>
      </c>
      <c r="AS122">
        <v>223000</v>
      </c>
      <c r="AT122">
        <v>199000</v>
      </c>
      <c r="AU122">
        <v>183000</v>
      </c>
      <c r="AV122">
        <v>223000</v>
      </c>
    </row>
    <row r="123" spans="1:48">
      <c r="A123">
        <v>1</v>
      </c>
      <c r="B123">
        <v>122</v>
      </c>
      <c r="C123" t="s">
        <v>18</v>
      </c>
      <c r="D123" t="s">
        <v>199</v>
      </c>
      <c r="E123" t="s">
        <v>40</v>
      </c>
      <c r="F123" t="s">
        <v>40</v>
      </c>
      <c r="G123">
        <v>0</v>
      </c>
      <c r="H123">
        <v>0</v>
      </c>
      <c r="I123">
        <v>0</v>
      </c>
      <c r="J123">
        <v>0</v>
      </c>
      <c r="K123" t="s">
        <v>323</v>
      </c>
      <c r="L123">
        <v>0</v>
      </c>
      <c r="M123">
        <v>18876</v>
      </c>
      <c r="N123">
        <v>18157</v>
      </c>
      <c r="O123">
        <v>7019</v>
      </c>
      <c r="P123">
        <v>15310</v>
      </c>
      <c r="Q123">
        <v>-52</v>
      </c>
      <c r="R123">
        <v>0</v>
      </c>
      <c r="S123">
        <v>0</v>
      </c>
      <c r="T123">
        <v>0</v>
      </c>
      <c r="U123">
        <v>0</v>
      </c>
      <c r="V123">
        <v>0</v>
      </c>
      <c r="W123">
        <v>0</v>
      </c>
      <c r="X123">
        <v>0</v>
      </c>
      <c r="Y123">
        <v>2802</v>
      </c>
      <c r="Z123">
        <v>8208</v>
      </c>
      <c r="AA123">
        <v>89102</v>
      </c>
      <c r="AB123">
        <v>28000</v>
      </c>
      <c r="AC123">
        <v>6000</v>
      </c>
      <c r="AD123">
        <v>0</v>
      </c>
      <c r="AE123">
        <v>0</v>
      </c>
      <c r="AF123">
        <v>0</v>
      </c>
      <c r="AG123">
        <v>0</v>
      </c>
      <c r="AH123">
        <v>10000</v>
      </c>
      <c r="AI123">
        <v>0</v>
      </c>
      <c r="AJ123">
        <v>0</v>
      </c>
      <c r="AK123">
        <v>1286000</v>
      </c>
      <c r="AL123">
        <v>982000</v>
      </c>
      <c r="AM123">
        <v>61000</v>
      </c>
      <c r="AN123">
        <v>3000</v>
      </c>
      <c r="AO123">
        <v>6000</v>
      </c>
      <c r="AP123">
        <v>85000</v>
      </c>
      <c r="AQ123">
        <v>92000</v>
      </c>
      <c r="AR123">
        <v>95000</v>
      </c>
      <c r="AS123">
        <v>6000</v>
      </c>
      <c r="AT123">
        <v>7000</v>
      </c>
      <c r="AU123">
        <v>8000</v>
      </c>
      <c r="AV123">
        <v>1000</v>
      </c>
    </row>
    <row r="124" spans="1:48">
      <c r="A124">
        <v>1</v>
      </c>
      <c r="B124">
        <v>123</v>
      </c>
      <c r="C124" t="s">
        <v>18</v>
      </c>
      <c r="D124" t="s">
        <v>200</v>
      </c>
      <c r="E124" t="s">
        <v>190</v>
      </c>
      <c r="F124" t="s">
        <v>26</v>
      </c>
      <c r="G124" t="s">
        <v>88</v>
      </c>
      <c r="H124">
        <v>0</v>
      </c>
      <c r="I124">
        <v>0</v>
      </c>
      <c r="J124">
        <v>0</v>
      </c>
      <c r="K124">
        <v>0</v>
      </c>
      <c r="L124" t="s">
        <v>221</v>
      </c>
      <c r="M124">
        <v>3625760</v>
      </c>
      <c r="N124">
        <v>4130841</v>
      </c>
      <c r="O124">
        <v>3772481</v>
      </c>
      <c r="P124">
        <v>3955152</v>
      </c>
      <c r="Q124">
        <v>4478229</v>
      </c>
      <c r="R124">
        <v>5408412</v>
      </c>
      <c r="S124">
        <v>4966772</v>
      </c>
      <c r="T124">
        <v>4319164</v>
      </c>
      <c r="U124">
        <v>4703138</v>
      </c>
      <c r="V124">
        <v>4836033</v>
      </c>
      <c r="W124">
        <v>5497574</v>
      </c>
      <c r="X124">
        <v>5140663</v>
      </c>
      <c r="Y124">
        <v>6131674</v>
      </c>
      <c r="Z124">
        <v>5824988</v>
      </c>
      <c r="AA124">
        <v>7047935</v>
      </c>
      <c r="AB124">
        <v>7598000</v>
      </c>
      <c r="AC124">
        <v>6160000</v>
      </c>
      <c r="AD124">
        <v>6003000</v>
      </c>
      <c r="AE124">
        <v>5395000</v>
      </c>
      <c r="AF124">
        <v>5653000</v>
      </c>
      <c r="AG124">
        <v>6516000</v>
      </c>
      <c r="AH124">
        <v>7185000</v>
      </c>
      <c r="AI124">
        <v>7811000</v>
      </c>
      <c r="AJ124">
        <v>10324000</v>
      </c>
      <c r="AK124">
        <v>13807000</v>
      </c>
      <c r="AL124">
        <v>17696000</v>
      </c>
      <c r="AM124">
        <v>16693000</v>
      </c>
      <c r="AN124">
        <v>15524000</v>
      </c>
      <c r="AO124">
        <v>14074000</v>
      </c>
      <c r="AP124">
        <v>22095000</v>
      </c>
      <c r="AQ124">
        <v>19014000</v>
      </c>
      <c r="AR124">
        <v>21255000</v>
      </c>
      <c r="AS124">
        <v>21882000</v>
      </c>
      <c r="AT124">
        <v>22551000</v>
      </c>
      <c r="AU124">
        <v>23534000</v>
      </c>
      <c r="AV124">
        <v>24087000</v>
      </c>
    </row>
    <row r="125" spans="1:48">
      <c r="A125">
        <v>1</v>
      </c>
      <c r="B125">
        <v>124</v>
      </c>
      <c r="C125" t="s">
        <v>18</v>
      </c>
      <c r="D125" t="s">
        <v>200</v>
      </c>
      <c r="E125" t="s">
        <v>190</v>
      </c>
      <c r="F125" t="s">
        <v>26</v>
      </c>
      <c r="G125" t="s">
        <v>90</v>
      </c>
      <c r="H125">
        <v>0</v>
      </c>
      <c r="I125">
        <v>0</v>
      </c>
      <c r="J125">
        <v>0</v>
      </c>
      <c r="K125">
        <v>0</v>
      </c>
      <c r="L125" t="s">
        <v>222</v>
      </c>
      <c r="M125">
        <v>4325080</v>
      </c>
      <c r="N125">
        <v>3878215</v>
      </c>
      <c r="O125">
        <v>3111216</v>
      </c>
      <c r="P125">
        <v>1279600</v>
      </c>
      <c r="Q125">
        <v>3466772</v>
      </c>
      <c r="R125">
        <v>1370199</v>
      </c>
      <c r="S125">
        <v>-1320104</v>
      </c>
      <c r="T125">
        <v>219377</v>
      </c>
      <c r="U125">
        <v>1262738</v>
      </c>
      <c r="V125">
        <v>3280381</v>
      </c>
      <c r="W125">
        <v>-391293</v>
      </c>
      <c r="X125">
        <v>882485</v>
      </c>
      <c r="Y125">
        <v>2468013</v>
      </c>
      <c r="Z125">
        <v>3753896</v>
      </c>
      <c r="AA125">
        <v>3377173</v>
      </c>
      <c r="AB125">
        <v>3579000</v>
      </c>
      <c r="AC125">
        <v>2762000</v>
      </c>
      <c r="AD125">
        <v>4538000</v>
      </c>
      <c r="AE125">
        <v>2517000</v>
      </c>
      <c r="AF125">
        <v>4020000</v>
      </c>
      <c r="AG125">
        <v>4319000</v>
      </c>
      <c r="AH125">
        <v>2718000</v>
      </c>
      <c r="AI125">
        <v>6582000</v>
      </c>
      <c r="AJ125">
        <v>2229000</v>
      </c>
      <c r="AK125">
        <v>4732000</v>
      </c>
      <c r="AL125">
        <v>8987000</v>
      </c>
      <c r="AM125">
        <v>5009000</v>
      </c>
      <c r="AN125">
        <v>4964000</v>
      </c>
      <c r="AO125">
        <v>5301000</v>
      </c>
      <c r="AP125">
        <v>9190000</v>
      </c>
      <c r="AQ125">
        <v>14833000</v>
      </c>
      <c r="AR125">
        <v>12371000</v>
      </c>
      <c r="AS125">
        <v>13822000</v>
      </c>
      <c r="AT125">
        <v>13703000</v>
      </c>
      <c r="AU125">
        <v>11817000</v>
      </c>
      <c r="AV125">
        <v>11509000</v>
      </c>
    </row>
    <row r="126" spans="1:48">
      <c r="A126">
        <v>1</v>
      </c>
      <c r="B126">
        <v>125</v>
      </c>
      <c r="C126" t="s">
        <v>18</v>
      </c>
      <c r="D126" t="s">
        <v>200</v>
      </c>
      <c r="E126" t="s">
        <v>40</v>
      </c>
      <c r="F126" t="s">
        <v>40</v>
      </c>
      <c r="G126">
        <v>0</v>
      </c>
      <c r="H126">
        <v>0</v>
      </c>
      <c r="I126">
        <v>0</v>
      </c>
      <c r="J126">
        <v>0</v>
      </c>
      <c r="K126">
        <v>0</v>
      </c>
      <c r="L126">
        <v>0</v>
      </c>
      <c r="M126">
        <v>4345702</v>
      </c>
      <c r="N126">
        <v>4438410</v>
      </c>
      <c r="O126">
        <v>4372892</v>
      </c>
      <c r="P126">
        <v>4668180</v>
      </c>
      <c r="Q126">
        <v>5035426</v>
      </c>
      <c r="R126">
        <v>5275052</v>
      </c>
      <c r="S126">
        <v>6161186</v>
      </c>
      <c r="T126">
        <v>5956757</v>
      </c>
      <c r="U126">
        <v>7525672</v>
      </c>
      <c r="V126">
        <v>6707291</v>
      </c>
      <c r="W126">
        <v>7967338</v>
      </c>
      <c r="X126">
        <v>9198100</v>
      </c>
      <c r="Y126">
        <v>10745334</v>
      </c>
      <c r="Z126">
        <v>10780915</v>
      </c>
      <c r="AA126">
        <v>8894141</v>
      </c>
      <c r="AB126">
        <v>11141000</v>
      </c>
      <c r="AC126">
        <v>9454000</v>
      </c>
      <c r="AD126">
        <v>10105000</v>
      </c>
      <c r="AE126">
        <v>10070000</v>
      </c>
      <c r="AF126">
        <v>12092000</v>
      </c>
      <c r="AG126">
        <v>10650000</v>
      </c>
      <c r="AH126">
        <v>11785000</v>
      </c>
      <c r="AI126">
        <v>14237000</v>
      </c>
      <c r="AJ126">
        <v>14163000</v>
      </c>
      <c r="AK126">
        <v>14173000</v>
      </c>
      <c r="AL126">
        <v>13218000</v>
      </c>
      <c r="AM126">
        <v>14479000</v>
      </c>
      <c r="AN126">
        <v>14097000</v>
      </c>
      <c r="AO126">
        <v>16684000</v>
      </c>
      <c r="AP126">
        <v>18112000</v>
      </c>
      <c r="AQ126">
        <v>18201000</v>
      </c>
      <c r="AR126">
        <v>19965000</v>
      </c>
      <c r="AS126">
        <v>20047000</v>
      </c>
      <c r="AT126">
        <v>19980000</v>
      </c>
      <c r="AU126">
        <v>18919000</v>
      </c>
      <c r="AV126">
        <v>13794000</v>
      </c>
    </row>
    <row r="127" spans="1:48">
      <c r="A127">
        <v>1</v>
      </c>
      <c r="B127">
        <v>126</v>
      </c>
      <c r="C127" t="s">
        <v>18</v>
      </c>
      <c r="D127" t="s">
        <v>200</v>
      </c>
      <c r="E127" t="s">
        <v>41</v>
      </c>
      <c r="F127" t="s">
        <v>43</v>
      </c>
      <c r="G127">
        <v>0</v>
      </c>
      <c r="H127">
        <v>0</v>
      </c>
      <c r="I127">
        <v>0</v>
      </c>
      <c r="J127">
        <v>0</v>
      </c>
      <c r="K127">
        <v>0</v>
      </c>
      <c r="L127">
        <v>0</v>
      </c>
      <c r="M127">
        <v>52533141</v>
      </c>
      <c r="N127">
        <v>68766127</v>
      </c>
      <c r="O127">
        <v>85031703</v>
      </c>
      <c r="P127">
        <v>89807817</v>
      </c>
      <c r="Q127">
        <v>111101687</v>
      </c>
      <c r="R127">
        <v>129477699</v>
      </c>
      <c r="S127">
        <v>136016873</v>
      </c>
      <c r="T127">
        <v>138611326</v>
      </c>
      <c r="U127">
        <v>151802967</v>
      </c>
      <c r="V127">
        <v>168981139</v>
      </c>
      <c r="W127">
        <v>184346828</v>
      </c>
      <c r="X127">
        <v>194448171</v>
      </c>
      <c r="Y127">
        <v>199344146</v>
      </c>
      <c r="Z127">
        <v>198713203</v>
      </c>
      <c r="AA127">
        <v>202932241</v>
      </c>
      <c r="AB127">
        <v>232134000</v>
      </c>
      <c r="AC127">
        <v>241053000</v>
      </c>
      <c r="AD127">
        <v>243984000</v>
      </c>
      <c r="AE127">
        <v>241118000</v>
      </c>
      <c r="AF127">
        <v>229755000</v>
      </c>
      <c r="AG127">
        <v>222949000</v>
      </c>
      <c r="AH127">
        <v>206167000</v>
      </c>
      <c r="AI127">
        <v>170949000</v>
      </c>
      <c r="AJ127">
        <v>153073000</v>
      </c>
      <c r="AK127">
        <v>160245000</v>
      </c>
      <c r="AL127">
        <v>183986000</v>
      </c>
      <c r="AM127">
        <v>226603000</v>
      </c>
      <c r="AN127">
        <v>237109000</v>
      </c>
      <c r="AO127">
        <v>252757000</v>
      </c>
      <c r="AP127">
        <v>186902000</v>
      </c>
      <c r="AQ127">
        <v>196194000</v>
      </c>
      <c r="AR127">
        <v>229962000</v>
      </c>
      <c r="AS127">
        <v>220408000</v>
      </c>
      <c r="AT127">
        <v>220885000</v>
      </c>
      <c r="AU127">
        <v>228956000</v>
      </c>
      <c r="AV127">
        <v>223181000</v>
      </c>
    </row>
    <row r="128" spans="1:48">
      <c r="A128">
        <v>1</v>
      </c>
      <c r="B128">
        <v>127</v>
      </c>
      <c r="C128" t="s">
        <v>18</v>
      </c>
      <c r="D128" t="s">
        <v>200</v>
      </c>
      <c r="E128" t="s">
        <v>223</v>
      </c>
      <c r="F128" t="s">
        <v>223</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row>
    <row r="129" spans="1:48">
      <c r="A129">
        <v>1</v>
      </c>
      <c r="B129">
        <v>128</v>
      </c>
      <c r="C129" t="s">
        <v>0</v>
      </c>
      <c r="D129" t="s">
        <v>200</v>
      </c>
      <c r="E129" t="s">
        <v>224</v>
      </c>
      <c r="F129" t="s">
        <v>6</v>
      </c>
      <c r="G129" t="s">
        <v>225</v>
      </c>
      <c r="H129">
        <v>0</v>
      </c>
      <c r="I129">
        <v>0</v>
      </c>
      <c r="J129">
        <v>0</v>
      </c>
      <c r="K129">
        <v>0</v>
      </c>
      <c r="L129">
        <v>0</v>
      </c>
      <c r="M129">
        <v>249000</v>
      </c>
      <c r="N129">
        <v>332000</v>
      </c>
      <c r="O129">
        <v>397000</v>
      </c>
      <c r="P129">
        <v>1054000</v>
      </c>
      <c r="Q129">
        <v>1306000</v>
      </c>
      <c r="R129">
        <v>1449000</v>
      </c>
      <c r="S129">
        <v>1604000</v>
      </c>
      <c r="T129">
        <v>1700000</v>
      </c>
      <c r="U129">
        <v>1804000</v>
      </c>
      <c r="V129">
        <v>1921000</v>
      </c>
      <c r="W129">
        <v>2046000</v>
      </c>
      <c r="X129">
        <v>2116000</v>
      </c>
      <c r="Y129">
        <v>2238000</v>
      </c>
      <c r="Z129">
        <v>2294000</v>
      </c>
      <c r="AA129">
        <v>2359700</v>
      </c>
      <c r="AB129">
        <v>2388000</v>
      </c>
      <c r="AC129">
        <v>2309000</v>
      </c>
      <c r="AD129">
        <v>2395000</v>
      </c>
      <c r="AE129">
        <v>2432000</v>
      </c>
      <c r="AF129">
        <v>2505000</v>
      </c>
      <c r="AG129">
        <v>2628000</v>
      </c>
      <c r="AH129">
        <v>2702000</v>
      </c>
      <c r="AI129">
        <v>2913000</v>
      </c>
      <c r="AJ129">
        <v>3049000</v>
      </c>
      <c r="AK129">
        <v>3250000</v>
      </c>
      <c r="AL129">
        <v>3302000</v>
      </c>
      <c r="AM129">
        <v>3404000</v>
      </c>
      <c r="AN129">
        <v>3538000</v>
      </c>
      <c r="AO129">
        <v>3710000</v>
      </c>
      <c r="AP129">
        <v>3935000</v>
      </c>
      <c r="AQ129">
        <v>4042000</v>
      </c>
      <c r="AR129">
        <v>4025000</v>
      </c>
      <c r="AS129">
        <v>4093000</v>
      </c>
      <c r="AT129">
        <v>4178000</v>
      </c>
      <c r="AU129">
        <v>4052000</v>
      </c>
      <c r="AV129">
        <v>4073000</v>
      </c>
    </row>
    <row r="130" spans="1:48">
      <c r="A130">
        <v>1</v>
      </c>
      <c r="B130">
        <v>129</v>
      </c>
      <c r="C130" t="s">
        <v>0</v>
      </c>
      <c r="D130" t="s">
        <v>200</v>
      </c>
      <c r="E130" t="s">
        <v>224</v>
      </c>
      <c r="F130" t="s">
        <v>6</v>
      </c>
      <c r="G130" t="s">
        <v>226</v>
      </c>
      <c r="H130" t="s">
        <v>72</v>
      </c>
      <c r="I130">
        <v>0</v>
      </c>
      <c r="J130">
        <v>0</v>
      </c>
      <c r="K130">
        <v>0</v>
      </c>
      <c r="L130">
        <v>0</v>
      </c>
      <c r="M130">
        <v>1027000</v>
      </c>
      <c r="N130">
        <v>1259000</v>
      </c>
      <c r="O130">
        <v>1406000</v>
      </c>
      <c r="P130">
        <v>1534000</v>
      </c>
      <c r="Q130">
        <v>1852000</v>
      </c>
      <c r="R130">
        <v>2288000</v>
      </c>
      <c r="S130">
        <v>2608000</v>
      </c>
      <c r="T130">
        <v>3011000</v>
      </c>
      <c r="U130">
        <v>3716000</v>
      </c>
      <c r="V130">
        <v>4127000</v>
      </c>
      <c r="W130">
        <v>4587000</v>
      </c>
      <c r="X130">
        <v>4886000</v>
      </c>
      <c r="Y130">
        <v>5181000</v>
      </c>
      <c r="Z130">
        <v>5489000</v>
      </c>
      <c r="AA130">
        <v>5483100</v>
      </c>
      <c r="AB130">
        <v>5209000</v>
      </c>
      <c r="AC130">
        <v>5063000</v>
      </c>
      <c r="AD130">
        <v>5315000</v>
      </c>
      <c r="AE130">
        <v>5843000</v>
      </c>
      <c r="AF130">
        <v>6146000</v>
      </c>
      <c r="AG130">
        <v>6535000</v>
      </c>
      <c r="AH130">
        <v>6754000</v>
      </c>
      <c r="AI130">
        <v>7591000</v>
      </c>
      <c r="AJ130">
        <v>8207000</v>
      </c>
      <c r="AK130">
        <v>9061000</v>
      </c>
      <c r="AL130">
        <v>9352000</v>
      </c>
      <c r="AM130">
        <v>9937000</v>
      </c>
      <c r="AN130">
        <v>10514000</v>
      </c>
      <c r="AO130">
        <v>11231000</v>
      </c>
      <c r="AP130">
        <v>12161000</v>
      </c>
      <c r="AQ130">
        <v>12765000</v>
      </c>
      <c r="AR130">
        <v>12908000</v>
      </c>
      <c r="AS130">
        <v>13331000</v>
      </c>
      <c r="AT130">
        <v>13820000</v>
      </c>
      <c r="AU130">
        <v>13452000</v>
      </c>
      <c r="AV130">
        <v>13684000</v>
      </c>
    </row>
    <row r="131" spans="1:48">
      <c r="A131">
        <v>1</v>
      </c>
      <c r="B131">
        <v>130</v>
      </c>
      <c r="C131" t="s">
        <v>0</v>
      </c>
      <c r="D131" t="s">
        <v>200</v>
      </c>
      <c r="E131" t="s">
        <v>224</v>
      </c>
      <c r="F131" t="s">
        <v>6</v>
      </c>
      <c r="G131" t="s">
        <v>226</v>
      </c>
      <c r="H131" t="s">
        <v>73</v>
      </c>
      <c r="I131">
        <v>0</v>
      </c>
      <c r="J131">
        <v>0</v>
      </c>
      <c r="K131">
        <v>0</v>
      </c>
      <c r="L131">
        <v>0</v>
      </c>
      <c r="M131">
        <v>177000</v>
      </c>
      <c r="N131">
        <v>171000</v>
      </c>
      <c r="O131">
        <v>240000</v>
      </c>
      <c r="P131">
        <v>244000</v>
      </c>
      <c r="Q131">
        <v>192000</v>
      </c>
      <c r="R131">
        <v>221000</v>
      </c>
      <c r="S131">
        <v>249000</v>
      </c>
      <c r="T131">
        <v>289000</v>
      </c>
      <c r="U131">
        <v>355000</v>
      </c>
      <c r="V131">
        <v>396000</v>
      </c>
      <c r="W131">
        <v>480000</v>
      </c>
      <c r="X131">
        <v>525000</v>
      </c>
      <c r="Y131">
        <v>558000</v>
      </c>
      <c r="Z131">
        <v>587000</v>
      </c>
      <c r="AA131">
        <v>589400</v>
      </c>
      <c r="AB131">
        <v>931000</v>
      </c>
      <c r="AC131">
        <v>905000</v>
      </c>
      <c r="AD131">
        <v>868000</v>
      </c>
      <c r="AE131">
        <v>927000</v>
      </c>
      <c r="AF131">
        <v>975000</v>
      </c>
      <c r="AG131">
        <v>1093000</v>
      </c>
      <c r="AH131">
        <v>1147000</v>
      </c>
      <c r="AI131">
        <v>1287000</v>
      </c>
      <c r="AJ131">
        <v>1395000</v>
      </c>
      <c r="AK131">
        <v>1540000</v>
      </c>
      <c r="AL131">
        <v>1589000</v>
      </c>
      <c r="AM131">
        <v>1688000</v>
      </c>
      <c r="AN131">
        <v>1785000</v>
      </c>
      <c r="AO131">
        <v>1906000</v>
      </c>
      <c r="AP131">
        <v>2065000</v>
      </c>
      <c r="AQ131">
        <v>2171000</v>
      </c>
      <c r="AR131">
        <v>2191000</v>
      </c>
      <c r="AS131">
        <v>2261000</v>
      </c>
      <c r="AT131">
        <v>2348000</v>
      </c>
      <c r="AU131">
        <v>2285000</v>
      </c>
      <c r="AV131">
        <v>2324000</v>
      </c>
    </row>
    <row r="132" spans="1:48">
      <c r="A132">
        <v>1</v>
      </c>
      <c r="B132">
        <v>131</v>
      </c>
      <c r="C132" t="s">
        <v>18</v>
      </c>
      <c r="D132" t="s">
        <v>200</v>
      </c>
      <c r="E132" t="s">
        <v>41</v>
      </c>
      <c r="F132" t="s">
        <v>227</v>
      </c>
      <c r="G132">
        <v>0</v>
      </c>
      <c r="H132">
        <v>0</v>
      </c>
      <c r="I132">
        <v>0</v>
      </c>
      <c r="J132">
        <v>0</v>
      </c>
      <c r="K132">
        <v>0</v>
      </c>
      <c r="L132">
        <v>0</v>
      </c>
      <c r="M132">
        <v>-14388585</v>
      </c>
      <c r="N132">
        <v>-16141176</v>
      </c>
      <c r="O132">
        <v>-17806303</v>
      </c>
      <c r="P132">
        <v>-20652280</v>
      </c>
      <c r="Q132">
        <v>-21913457</v>
      </c>
      <c r="R132">
        <v>-23198583</v>
      </c>
      <c r="S132">
        <v>-23830209</v>
      </c>
      <c r="T132">
        <v>-25559200</v>
      </c>
      <c r="U132">
        <v>-27543842</v>
      </c>
      <c r="V132">
        <v>-27838466</v>
      </c>
      <c r="W132">
        <v>-26498406</v>
      </c>
      <c r="X132">
        <v>-28679189</v>
      </c>
      <c r="Y132">
        <v>-28804719</v>
      </c>
      <c r="Z132">
        <v>-26231465</v>
      </c>
      <c r="AA132">
        <v>-26337981</v>
      </c>
      <c r="AB132">
        <v>-25865000</v>
      </c>
      <c r="AC132">
        <v>-25260000</v>
      </c>
      <c r="AD132">
        <v>-25678000</v>
      </c>
      <c r="AE132">
        <v>-25670000</v>
      </c>
      <c r="AF132">
        <v>-25968000</v>
      </c>
      <c r="AG132">
        <v>-27595000</v>
      </c>
      <c r="AH132">
        <v>-28190000</v>
      </c>
      <c r="AI132">
        <v>-30576000</v>
      </c>
      <c r="AJ132">
        <v>-36702000</v>
      </c>
      <c r="AK132">
        <v>-39580000</v>
      </c>
      <c r="AL132">
        <v>-44675000</v>
      </c>
      <c r="AM132">
        <v>-45827000</v>
      </c>
      <c r="AN132">
        <v>-54296000</v>
      </c>
      <c r="AO132">
        <v>-54931000</v>
      </c>
      <c r="AP132">
        <v>-53896000</v>
      </c>
      <c r="AQ132">
        <v>-63558000</v>
      </c>
      <c r="AR132">
        <v>-60556000</v>
      </c>
      <c r="AS132">
        <v>-64254000</v>
      </c>
      <c r="AT132">
        <v>-60977000</v>
      </c>
      <c r="AU132">
        <v>-59560000</v>
      </c>
      <c r="AV132">
        <v>-61039000</v>
      </c>
    </row>
    <row r="133" spans="1:48">
      <c r="A133">
        <v>1</v>
      </c>
      <c r="B133">
        <v>132</v>
      </c>
      <c r="C133" t="s">
        <v>0</v>
      </c>
      <c r="D133" t="s">
        <v>200</v>
      </c>
      <c r="E133" t="s">
        <v>228</v>
      </c>
      <c r="F133" t="s">
        <v>13</v>
      </c>
      <c r="G133" t="s">
        <v>229</v>
      </c>
      <c r="H133">
        <v>0</v>
      </c>
      <c r="I133">
        <v>0</v>
      </c>
      <c r="J133">
        <v>0</v>
      </c>
      <c r="K133">
        <v>0</v>
      </c>
      <c r="L133">
        <v>0</v>
      </c>
      <c r="M133">
        <v>4100870</v>
      </c>
      <c r="N133">
        <v>10137986</v>
      </c>
      <c r="O133">
        <v>6249621</v>
      </c>
      <c r="P133">
        <v>10491496</v>
      </c>
      <c r="Q133">
        <v>6693547</v>
      </c>
      <c r="R133">
        <v>5541880</v>
      </c>
      <c r="S133">
        <v>4715974</v>
      </c>
      <c r="T133">
        <v>4021478</v>
      </c>
      <c r="U133">
        <v>3547691</v>
      </c>
      <c r="V133">
        <v>2929212</v>
      </c>
      <c r="W133">
        <v>3004086</v>
      </c>
      <c r="X133">
        <v>3150243</v>
      </c>
      <c r="Y133">
        <v>2498255</v>
      </c>
      <c r="Z133">
        <v>2784562</v>
      </c>
      <c r="AA133">
        <v>3001438</v>
      </c>
      <c r="AB133">
        <v>2418000</v>
      </c>
      <c r="AC133">
        <v>3741000</v>
      </c>
      <c r="AD133">
        <v>4711000</v>
      </c>
      <c r="AE133">
        <v>4522000</v>
      </c>
      <c r="AF133">
        <v>3098000</v>
      </c>
      <c r="AG133">
        <v>4580000</v>
      </c>
      <c r="AH133">
        <v>7194000</v>
      </c>
      <c r="AI133">
        <v>5024000</v>
      </c>
      <c r="AJ133">
        <v>5029000</v>
      </c>
      <c r="AK133">
        <v>5106000</v>
      </c>
      <c r="AL133">
        <v>6146000</v>
      </c>
      <c r="AM133">
        <v>7283000</v>
      </c>
      <c r="AN133">
        <v>6763000</v>
      </c>
      <c r="AO133">
        <v>18285000</v>
      </c>
      <c r="AP133">
        <v>5292000</v>
      </c>
      <c r="AQ133">
        <v>4883000</v>
      </c>
      <c r="AR133">
        <v>6383000</v>
      </c>
      <c r="AS133">
        <v>6605000</v>
      </c>
      <c r="AT133">
        <v>8874000</v>
      </c>
      <c r="AU133">
        <v>7474000</v>
      </c>
      <c r="AV133">
        <v>4555000</v>
      </c>
    </row>
    <row r="134" spans="1:48">
      <c r="A134">
        <v>1</v>
      </c>
      <c r="B134">
        <v>133</v>
      </c>
      <c r="C134" t="s">
        <v>0</v>
      </c>
      <c r="D134" t="s">
        <v>200</v>
      </c>
      <c r="E134" t="s">
        <v>228</v>
      </c>
      <c r="F134" t="s">
        <v>13</v>
      </c>
      <c r="G134" t="s">
        <v>81</v>
      </c>
      <c r="H134">
        <v>0</v>
      </c>
      <c r="I134">
        <v>0</v>
      </c>
      <c r="J134">
        <v>0</v>
      </c>
      <c r="K134">
        <v>0</v>
      </c>
      <c r="L134">
        <v>0</v>
      </c>
      <c r="M134">
        <v>0</v>
      </c>
      <c r="N134">
        <v>0</v>
      </c>
      <c r="O134">
        <v>0</v>
      </c>
      <c r="P134">
        <v>0</v>
      </c>
      <c r="Q134">
        <v>0</v>
      </c>
      <c r="R134">
        <v>0</v>
      </c>
      <c r="S134">
        <v>0</v>
      </c>
      <c r="T134">
        <v>1874588</v>
      </c>
      <c r="U134">
        <v>0</v>
      </c>
      <c r="V134">
        <v>0</v>
      </c>
      <c r="W134">
        <v>0</v>
      </c>
      <c r="X134">
        <v>0</v>
      </c>
      <c r="Y134">
        <v>0</v>
      </c>
      <c r="Z134">
        <v>0</v>
      </c>
      <c r="AA134">
        <v>0</v>
      </c>
      <c r="AB134">
        <v>0</v>
      </c>
      <c r="AC134">
        <v>0</v>
      </c>
      <c r="AD134">
        <v>0</v>
      </c>
      <c r="AE134">
        <v>5158000</v>
      </c>
      <c r="AF134">
        <v>0</v>
      </c>
      <c r="AG134">
        <v>0</v>
      </c>
      <c r="AH134">
        <v>0</v>
      </c>
      <c r="AI134">
        <v>0</v>
      </c>
      <c r="AJ134">
        <v>0</v>
      </c>
      <c r="AK134">
        <v>0</v>
      </c>
      <c r="AL134">
        <v>0</v>
      </c>
      <c r="AM134">
        <v>0</v>
      </c>
      <c r="AN134">
        <v>0</v>
      </c>
      <c r="AO134">
        <v>0</v>
      </c>
      <c r="AP134">
        <v>0</v>
      </c>
      <c r="AQ134">
        <v>0</v>
      </c>
      <c r="AR134">
        <v>2404000</v>
      </c>
      <c r="AS134">
        <v>12992000</v>
      </c>
      <c r="AT134">
        <v>2588000</v>
      </c>
      <c r="AU134">
        <v>0</v>
      </c>
      <c r="AV134">
        <v>0</v>
      </c>
    </row>
    <row r="135" spans="1:48">
      <c r="A135">
        <v>1</v>
      </c>
      <c r="B135">
        <v>134</v>
      </c>
      <c r="C135" t="s">
        <v>0</v>
      </c>
      <c r="D135" t="s">
        <v>200</v>
      </c>
      <c r="E135" t="s">
        <v>228</v>
      </c>
      <c r="F135" t="s">
        <v>13</v>
      </c>
      <c r="G135" t="s">
        <v>80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7644000</v>
      </c>
      <c r="AC135">
        <v>342000</v>
      </c>
      <c r="AD135">
        <v>11006000</v>
      </c>
      <c r="AE135">
        <v>2642000</v>
      </c>
      <c r="AF135">
        <v>1753000</v>
      </c>
      <c r="AG135">
        <v>150000</v>
      </c>
      <c r="AH135">
        <v>1024000</v>
      </c>
      <c r="AI135">
        <v>1000</v>
      </c>
      <c r="AJ135">
        <v>0</v>
      </c>
      <c r="AK135">
        <v>0</v>
      </c>
      <c r="AL135">
        <v>160000</v>
      </c>
      <c r="AM135">
        <v>111000</v>
      </c>
      <c r="AN135">
        <v>13700000</v>
      </c>
      <c r="AO135">
        <v>1779000</v>
      </c>
      <c r="AP135">
        <v>16690000</v>
      </c>
      <c r="AQ135">
        <v>197000</v>
      </c>
      <c r="AR135">
        <v>0</v>
      </c>
      <c r="AS135">
        <v>0</v>
      </c>
      <c r="AT135">
        <v>0</v>
      </c>
      <c r="AU135">
        <v>1221000</v>
      </c>
      <c r="AV135">
        <v>30128000</v>
      </c>
    </row>
    <row r="136" spans="1:48">
      <c r="A136">
        <v>1</v>
      </c>
      <c r="B136">
        <v>135</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row>
    <row r="137" spans="1:48">
      <c r="A137">
        <v>1</v>
      </c>
      <c r="B137">
        <v>136</v>
      </c>
      <c r="C137" t="s">
        <v>0</v>
      </c>
      <c r="D137" t="s">
        <v>230</v>
      </c>
      <c r="E137" t="s">
        <v>224</v>
      </c>
      <c r="F137" t="s">
        <v>3</v>
      </c>
      <c r="G137">
        <v>0</v>
      </c>
      <c r="H137">
        <v>0</v>
      </c>
      <c r="I137">
        <v>0</v>
      </c>
      <c r="J137">
        <v>0</v>
      </c>
      <c r="K137">
        <v>0</v>
      </c>
      <c r="L137">
        <v>0</v>
      </c>
      <c r="M137">
        <v>244068898</v>
      </c>
      <c r="N137">
        <v>285917100</v>
      </c>
      <c r="O137">
        <v>297744492</v>
      </c>
      <c r="P137">
        <v>288937814</v>
      </c>
      <c r="Q137">
        <v>298415430</v>
      </c>
      <c r="R137">
        <v>334531018</v>
      </c>
      <c r="S137">
        <v>348959411</v>
      </c>
      <c r="T137">
        <v>392557016</v>
      </c>
      <c r="U137">
        <v>401181069</v>
      </c>
      <c r="V137">
        <v>445690230</v>
      </c>
      <c r="W137">
        <v>466884287</v>
      </c>
      <c r="X137">
        <v>467827443</v>
      </c>
      <c r="Y137">
        <v>475963502</v>
      </c>
      <c r="Z137">
        <v>509680116</v>
      </c>
      <c r="AA137">
        <v>543054752</v>
      </c>
      <c r="AB137">
        <v>590244000</v>
      </c>
      <c r="AC137">
        <v>656417000</v>
      </c>
      <c r="AD137">
        <v>737466000</v>
      </c>
      <c r="AE137">
        <v>828586000</v>
      </c>
      <c r="AF137">
        <v>879480000</v>
      </c>
      <c r="AG137">
        <v>1004462000</v>
      </c>
      <c r="AH137">
        <v>994339000</v>
      </c>
      <c r="AI137">
        <v>858345000</v>
      </c>
      <c r="AJ137">
        <v>793699000</v>
      </c>
      <c r="AK137">
        <v>808959000</v>
      </c>
      <c r="AL137">
        <v>927222000</v>
      </c>
      <c r="AM137">
        <v>1043908000</v>
      </c>
      <c r="AN137">
        <v>1163472000</v>
      </c>
      <c r="AO137">
        <v>1145747000</v>
      </c>
      <c r="AP137">
        <v>915308000</v>
      </c>
      <c r="AQ137">
        <v>898549000</v>
      </c>
      <c r="AR137">
        <v>1091473000</v>
      </c>
      <c r="AS137">
        <v>1132206000</v>
      </c>
      <c r="AT137">
        <v>1316405000</v>
      </c>
      <c r="AU137">
        <v>1394568000</v>
      </c>
      <c r="AV137">
        <v>1540802000</v>
      </c>
    </row>
    <row r="138" spans="1:48">
      <c r="A138">
        <v>1</v>
      </c>
      <c r="B138">
        <v>137</v>
      </c>
      <c r="C138" t="s">
        <v>0</v>
      </c>
      <c r="D138" t="s">
        <v>230</v>
      </c>
      <c r="E138" t="s">
        <v>224</v>
      </c>
      <c r="F138" t="s">
        <v>4</v>
      </c>
      <c r="G138">
        <v>0</v>
      </c>
      <c r="H138">
        <v>0</v>
      </c>
      <c r="I138">
        <v>0</v>
      </c>
      <c r="J138">
        <v>0</v>
      </c>
      <c r="K138">
        <v>0</v>
      </c>
      <c r="L138">
        <v>0</v>
      </c>
      <c r="M138">
        <v>64599673</v>
      </c>
      <c r="N138">
        <v>61137136</v>
      </c>
      <c r="O138">
        <v>49206969</v>
      </c>
      <c r="P138">
        <v>37021566</v>
      </c>
      <c r="Q138">
        <v>56892983</v>
      </c>
      <c r="R138">
        <v>61330690</v>
      </c>
      <c r="S138">
        <v>63143307</v>
      </c>
      <c r="T138">
        <v>83925770</v>
      </c>
      <c r="U138">
        <v>94508098</v>
      </c>
      <c r="V138">
        <v>103291115</v>
      </c>
      <c r="W138">
        <v>93506698</v>
      </c>
      <c r="X138">
        <v>98085822</v>
      </c>
      <c r="Y138">
        <v>100270366</v>
      </c>
      <c r="Z138">
        <v>117520182</v>
      </c>
      <c r="AA138">
        <v>140384725</v>
      </c>
      <c r="AB138">
        <v>157004000</v>
      </c>
      <c r="AC138">
        <v>171824000</v>
      </c>
      <c r="AD138">
        <v>182293000</v>
      </c>
      <c r="AE138">
        <v>188677000</v>
      </c>
      <c r="AF138">
        <v>184680000</v>
      </c>
      <c r="AG138">
        <v>207289000</v>
      </c>
      <c r="AH138">
        <v>151075000</v>
      </c>
      <c r="AI138">
        <v>148044000</v>
      </c>
      <c r="AJ138">
        <v>131778000</v>
      </c>
      <c r="AK138">
        <v>189371000</v>
      </c>
      <c r="AL138">
        <v>278282000</v>
      </c>
      <c r="AM138">
        <v>353915000</v>
      </c>
      <c r="AN138">
        <v>370243000</v>
      </c>
      <c r="AO138">
        <v>304346000</v>
      </c>
      <c r="AP138">
        <v>138229000</v>
      </c>
      <c r="AQ138">
        <v>191437000</v>
      </c>
      <c r="AR138">
        <v>181085000</v>
      </c>
      <c r="AS138">
        <v>242289000</v>
      </c>
      <c r="AT138">
        <v>273506000</v>
      </c>
      <c r="AU138">
        <v>320731000</v>
      </c>
      <c r="AV138">
        <v>343797000</v>
      </c>
    </row>
    <row r="139" spans="1:48">
      <c r="A139">
        <v>1</v>
      </c>
      <c r="B139">
        <v>138</v>
      </c>
      <c r="C139" t="s">
        <v>0</v>
      </c>
      <c r="D139" t="s">
        <v>230</v>
      </c>
      <c r="E139" t="s">
        <v>224</v>
      </c>
      <c r="F139" t="s">
        <v>6</v>
      </c>
      <c r="G139" t="s">
        <v>225</v>
      </c>
      <c r="H139">
        <v>0</v>
      </c>
      <c r="I139">
        <v>0</v>
      </c>
      <c r="J139">
        <v>0</v>
      </c>
      <c r="K139">
        <v>0</v>
      </c>
      <c r="L139">
        <v>0</v>
      </c>
      <c r="M139">
        <v>23216569</v>
      </c>
      <c r="N139">
        <v>30339920</v>
      </c>
      <c r="O139">
        <v>34301279</v>
      </c>
      <c r="P139">
        <v>35641215</v>
      </c>
      <c r="Q139">
        <v>40261575</v>
      </c>
      <c r="R139">
        <v>44870507</v>
      </c>
      <c r="S139">
        <v>51335476</v>
      </c>
      <c r="T139">
        <v>55992391</v>
      </c>
      <c r="U139">
        <v>59859468</v>
      </c>
      <c r="V139">
        <v>65395730</v>
      </c>
      <c r="W139">
        <v>68555937</v>
      </c>
      <c r="X139">
        <v>72842383</v>
      </c>
      <c r="Y139">
        <v>79107902</v>
      </c>
      <c r="Z139">
        <v>81223522</v>
      </c>
      <c r="AA139">
        <v>90061873</v>
      </c>
      <c r="AB139">
        <v>96024000</v>
      </c>
      <c r="AC139">
        <v>104997000</v>
      </c>
      <c r="AD139">
        <v>110710000</v>
      </c>
      <c r="AE139">
        <v>119863000</v>
      </c>
      <c r="AF139">
        <v>132268000</v>
      </c>
      <c r="AG139">
        <v>135529000</v>
      </c>
      <c r="AH139">
        <v>149651000</v>
      </c>
      <c r="AI139">
        <v>149049000</v>
      </c>
      <c r="AJ139">
        <v>147186000</v>
      </c>
      <c r="AK139">
        <v>150589000</v>
      </c>
      <c r="AL139">
        <v>166068000</v>
      </c>
      <c r="AM139">
        <v>177429000</v>
      </c>
      <c r="AN139">
        <v>184908000</v>
      </c>
      <c r="AO139">
        <v>193980000</v>
      </c>
      <c r="AP139">
        <v>190663000</v>
      </c>
      <c r="AQ139">
        <v>180068000</v>
      </c>
      <c r="AR139">
        <v>188490000</v>
      </c>
      <c r="AS139">
        <v>201143000</v>
      </c>
      <c r="AT139">
        <v>209270000</v>
      </c>
      <c r="AU139">
        <v>224107000</v>
      </c>
      <c r="AV139">
        <v>234189000</v>
      </c>
    </row>
    <row r="140" spans="1:48">
      <c r="A140">
        <v>1</v>
      </c>
      <c r="B140">
        <v>139</v>
      </c>
      <c r="C140" t="s">
        <v>0</v>
      </c>
      <c r="D140" t="s">
        <v>230</v>
      </c>
      <c r="E140" t="s">
        <v>224</v>
      </c>
      <c r="F140" t="s">
        <v>6</v>
      </c>
      <c r="G140" t="s">
        <v>226</v>
      </c>
      <c r="H140" t="s">
        <v>72</v>
      </c>
      <c r="I140">
        <v>0</v>
      </c>
      <c r="J140">
        <v>0</v>
      </c>
      <c r="K140">
        <v>0</v>
      </c>
      <c r="L140">
        <v>0</v>
      </c>
      <c r="M140">
        <v>96580697</v>
      </c>
      <c r="N140">
        <v>117757123</v>
      </c>
      <c r="O140">
        <v>122840445</v>
      </c>
      <c r="P140">
        <v>128972498</v>
      </c>
      <c r="Q140">
        <v>150311541</v>
      </c>
      <c r="R140">
        <v>169822010</v>
      </c>
      <c r="S140">
        <v>182517526</v>
      </c>
      <c r="T140">
        <v>194541022</v>
      </c>
      <c r="U140">
        <v>220336691</v>
      </c>
      <c r="V140">
        <v>240594652</v>
      </c>
      <c r="W140">
        <v>255030763</v>
      </c>
      <c r="X140">
        <v>265502319</v>
      </c>
      <c r="Y140">
        <v>273136434</v>
      </c>
      <c r="Z140">
        <v>281735064</v>
      </c>
      <c r="AA140">
        <v>302606851</v>
      </c>
      <c r="AB140">
        <v>284091000</v>
      </c>
      <c r="AC140">
        <v>311869000</v>
      </c>
      <c r="AD140">
        <v>336729000</v>
      </c>
      <c r="AE140">
        <v>358784000</v>
      </c>
      <c r="AF140">
        <v>383559000</v>
      </c>
      <c r="AG140">
        <v>411677000</v>
      </c>
      <c r="AH140">
        <v>434057000</v>
      </c>
      <c r="AI140">
        <v>440541000</v>
      </c>
      <c r="AJ140">
        <v>447806000</v>
      </c>
      <c r="AK140">
        <v>457120000</v>
      </c>
      <c r="AL140">
        <v>493646000</v>
      </c>
      <c r="AM140">
        <v>520069000</v>
      </c>
      <c r="AN140">
        <v>542901000</v>
      </c>
      <c r="AO140">
        <v>562519000</v>
      </c>
      <c r="AP140">
        <v>559067000</v>
      </c>
      <c r="AQ140">
        <v>539996000</v>
      </c>
      <c r="AR140">
        <v>483683000</v>
      </c>
      <c r="AS140">
        <v>486783000</v>
      </c>
      <c r="AT140">
        <v>575555000</v>
      </c>
      <c r="AU140">
        <v>628792000</v>
      </c>
      <c r="AV140">
        <v>658543000</v>
      </c>
    </row>
    <row r="141" spans="1:48">
      <c r="A141">
        <v>1</v>
      </c>
      <c r="B141">
        <v>140</v>
      </c>
      <c r="C141" t="s">
        <v>0</v>
      </c>
      <c r="D141" t="s">
        <v>230</v>
      </c>
      <c r="E141" t="s">
        <v>224</v>
      </c>
      <c r="F141" t="s">
        <v>6</v>
      </c>
      <c r="G141" t="s">
        <v>226</v>
      </c>
      <c r="H141" t="s">
        <v>73</v>
      </c>
      <c r="I141">
        <v>0</v>
      </c>
      <c r="J141">
        <v>0</v>
      </c>
      <c r="K141">
        <v>0</v>
      </c>
      <c r="L141">
        <v>0</v>
      </c>
      <c r="M141">
        <v>16628258</v>
      </c>
      <c r="N141">
        <v>12418497</v>
      </c>
      <c r="O141">
        <v>20626449</v>
      </c>
      <c r="P141">
        <v>18347789</v>
      </c>
      <c r="Q141">
        <v>15763407</v>
      </c>
      <c r="R141">
        <v>16348471</v>
      </c>
      <c r="S141">
        <v>17710784</v>
      </c>
      <c r="T141">
        <v>18860374</v>
      </c>
      <c r="U141">
        <v>21154199</v>
      </c>
      <c r="V141">
        <v>23070611</v>
      </c>
      <c r="W141">
        <v>26624626</v>
      </c>
      <c r="X141">
        <v>28382081</v>
      </c>
      <c r="Y141">
        <v>29289328</v>
      </c>
      <c r="Z141">
        <v>30198653</v>
      </c>
      <c r="AA141">
        <v>32418739</v>
      </c>
      <c r="AB141">
        <v>66988000</v>
      </c>
      <c r="AC141">
        <v>55623000</v>
      </c>
      <c r="AD141">
        <v>55261000</v>
      </c>
      <c r="AE141">
        <v>57015000</v>
      </c>
      <c r="AF141">
        <v>60909000</v>
      </c>
      <c r="AG141">
        <v>68907000</v>
      </c>
      <c r="AH141">
        <v>73462000</v>
      </c>
      <c r="AI141">
        <v>74780000</v>
      </c>
      <c r="AJ141">
        <v>76036000</v>
      </c>
      <c r="AK141">
        <v>77625000</v>
      </c>
      <c r="AL141">
        <v>83830000</v>
      </c>
      <c r="AM141">
        <v>88313000</v>
      </c>
      <c r="AN141">
        <v>92188000</v>
      </c>
      <c r="AO141">
        <v>95527000</v>
      </c>
      <c r="AP141">
        <v>94942000</v>
      </c>
      <c r="AQ141">
        <v>91691000</v>
      </c>
      <c r="AR141">
        <v>82105000</v>
      </c>
      <c r="AS141">
        <v>82718000</v>
      </c>
      <c r="AT141">
        <v>97719000</v>
      </c>
      <c r="AU141">
        <v>106773000</v>
      </c>
      <c r="AV141">
        <v>111829000</v>
      </c>
    </row>
    <row r="142" spans="1:48">
      <c r="A142">
        <v>1</v>
      </c>
      <c r="B142">
        <v>141</v>
      </c>
      <c r="C142" t="s">
        <v>0</v>
      </c>
      <c r="D142" t="s">
        <v>230</v>
      </c>
      <c r="E142" t="s">
        <v>224</v>
      </c>
      <c r="F142" t="s">
        <v>6</v>
      </c>
      <c r="G142" t="s">
        <v>231</v>
      </c>
      <c r="H142">
        <v>0</v>
      </c>
      <c r="I142">
        <v>0</v>
      </c>
      <c r="J142">
        <v>0</v>
      </c>
      <c r="K142">
        <v>0</v>
      </c>
      <c r="L142">
        <v>0</v>
      </c>
      <c r="M142">
        <v>2322877</v>
      </c>
      <c r="N142">
        <v>2457238</v>
      </c>
      <c r="O142">
        <v>2917475</v>
      </c>
      <c r="P142">
        <v>2804784</v>
      </c>
      <c r="Q142">
        <v>3321050</v>
      </c>
      <c r="R142">
        <v>3604883</v>
      </c>
      <c r="S142">
        <v>3498038</v>
      </c>
      <c r="T142">
        <v>3633923</v>
      </c>
      <c r="U142">
        <v>3742809</v>
      </c>
      <c r="V142">
        <v>3797284</v>
      </c>
      <c r="W142">
        <v>3679227</v>
      </c>
      <c r="X142">
        <v>3798927</v>
      </c>
      <c r="Y142">
        <v>3956741</v>
      </c>
      <c r="Z142">
        <v>3781142</v>
      </c>
      <c r="AA142">
        <v>3722269</v>
      </c>
      <c r="AB142">
        <v>3942000</v>
      </c>
      <c r="AC142">
        <v>3872000</v>
      </c>
      <c r="AD142">
        <v>4051000</v>
      </c>
      <c r="AE142">
        <v>4352000</v>
      </c>
      <c r="AF142">
        <v>4144000</v>
      </c>
      <c r="AG142">
        <v>4338000</v>
      </c>
      <c r="AH142">
        <v>4272000</v>
      </c>
      <c r="AI142">
        <v>4177000</v>
      </c>
      <c r="AJ142">
        <v>3953000</v>
      </c>
      <c r="AK142">
        <v>4026000</v>
      </c>
      <c r="AL142">
        <v>4120000</v>
      </c>
      <c r="AM142">
        <v>4232000</v>
      </c>
      <c r="AN142">
        <v>4261000</v>
      </c>
      <c r="AO142">
        <v>4433000</v>
      </c>
      <c r="AP142">
        <v>4213000</v>
      </c>
      <c r="AQ142">
        <v>4139000</v>
      </c>
      <c r="AR142">
        <v>4238000</v>
      </c>
      <c r="AS142">
        <v>4283000</v>
      </c>
      <c r="AT142">
        <v>4901000</v>
      </c>
      <c r="AU142">
        <v>5357000</v>
      </c>
      <c r="AV142">
        <v>5866000</v>
      </c>
    </row>
    <row r="143" spans="1:48">
      <c r="A143">
        <v>1</v>
      </c>
      <c r="B143">
        <v>142</v>
      </c>
      <c r="C143" t="s">
        <v>0</v>
      </c>
      <c r="D143" t="s">
        <v>230</v>
      </c>
      <c r="E143" t="s">
        <v>224</v>
      </c>
      <c r="F143" t="s">
        <v>6</v>
      </c>
      <c r="G143" t="s">
        <v>232</v>
      </c>
      <c r="H143">
        <v>0</v>
      </c>
      <c r="I143">
        <v>0</v>
      </c>
      <c r="J143">
        <v>0</v>
      </c>
      <c r="K143">
        <v>0</v>
      </c>
      <c r="L143">
        <v>0</v>
      </c>
      <c r="M143">
        <v>15335788</v>
      </c>
      <c r="N143">
        <v>15762948</v>
      </c>
      <c r="O143">
        <v>16600381</v>
      </c>
      <c r="P143">
        <v>18799087</v>
      </c>
      <c r="Q143">
        <v>25137752</v>
      </c>
      <c r="R143">
        <v>25758169</v>
      </c>
      <c r="S143">
        <v>24097530</v>
      </c>
      <c r="T143">
        <v>25575004</v>
      </c>
      <c r="U143">
        <v>24583823</v>
      </c>
      <c r="V143">
        <v>22011385</v>
      </c>
      <c r="W143">
        <v>21635220</v>
      </c>
      <c r="X143">
        <v>20922049</v>
      </c>
      <c r="Y143">
        <v>23409952</v>
      </c>
      <c r="Z143">
        <v>26556381</v>
      </c>
      <c r="AA143">
        <v>28004465</v>
      </c>
      <c r="AB143">
        <v>28878000</v>
      </c>
      <c r="AC143">
        <v>28584000</v>
      </c>
      <c r="AD143">
        <v>28202000</v>
      </c>
      <c r="AE143">
        <v>27484000</v>
      </c>
      <c r="AF143">
        <v>26480000</v>
      </c>
      <c r="AG143">
        <v>27640000</v>
      </c>
      <c r="AH143">
        <v>27812000</v>
      </c>
      <c r="AI143">
        <v>27619000</v>
      </c>
      <c r="AJ143">
        <v>33366000</v>
      </c>
      <c r="AK143">
        <v>39453000</v>
      </c>
      <c r="AL143">
        <v>42002000</v>
      </c>
      <c r="AM143">
        <v>43420000</v>
      </c>
      <c r="AN143">
        <v>41091000</v>
      </c>
      <c r="AO143">
        <v>39527000</v>
      </c>
      <c r="AP143">
        <v>37889000</v>
      </c>
      <c r="AQ143">
        <v>44823000</v>
      </c>
      <c r="AR143">
        <v>56241000</v>
      </c>
      <c r="AS143">
        <v>66647000</v>
      </c>
      <c r="AT143">
        <v>56811000</v>
      </c>
      <c r="AU143">
        <v>54957000</v>
      </c>
      <c r="AV143">
        <v>51178000</v>
      </c>
    </row>
    <row r="144" spans="1:48">
      <c r="A144">
        <v>1</v>
      </c>
      <c r="B144">
        <v>143</v>
      </c>
      <c r="C144" t="s">
        <v>18</v>
      </c>
      <c r="D144" t="s">
        <v>230</v>
      </c>
      <c r="E144" t="s">
        <v>41</v>
      </c>
      <c r="F144" t="s">
        <v>15</v>
      </c>
      <c r="G144">
        <v>0</v>
      </c>
      <c r="H144">
        <v>0</v>
      </c>
      <c r="I144">
        <v>0</v>
      </c>
      <c r="J144">
        <v>0</v>
      </c>
      <c r="K144">
        <v>0</v>
      </c>
      <c r="L144">
        <v>0</v>
      </c>
      <c r="M144">
        <v>-3718733</v>
      </c>
      <c r="N144">
        <v>-3984418</v>
      </c>
      <c r="O144">
        <v>-4211749</v>
      </c>
      <c r="P144">
        <v>-4428709</v>
      </c>
      <c r="Q144">
        <v>-4580301</v>
      </c>
      <c r="R144">
        <v>-4758886</v>
      </c>
      <c r="S144">
        <v>-4741637</v>
      </c>
      <c r="T144">
        <v>-4714948</v>
      </c>
      <c r="U144">
        <v>-4658432</v>
      </c>
      <c r="V144">
        <v>-4546152</v>
      </c>
      <c r="W144">
        <v>-4521568</v>
      </c>
      <c r="X144">
        <v>-4567576</v>
      </c>
      <c r="Y144">
        <v>-4788098</v>
      </c>
      <c r="Z144">
        <v>-4804587</v>
      </c>
      <c r="AA144">
        <v>-4660949</v>
      </c>
      <c r="AB144">
        <v>-4550000</v>
      </c>
      <c r="AC144">
        <v>-4469000</v>
      </c>
      <c r="AD144">
        <v>-4418000</v>
      </c>
      <c r="AE144">
        <v>-4333000</v>
      </c>
      <c r="AF144">
        <v>-4473000</v>
      </c>
      <c r="AG144">
        <v>-4761000</v>
      </c>
      <c r="AH144">
        <v>-4713000</v>
      </c>
      <c r="AI144">
        <v>-4594000</v>
      </c>
      <c r="AJ144">
        <v>-4631000</v>
      </c>
      <c r="AK144">
        <v>-4594000</v>
      </c>
      <c r="AL144">
        <v>-4459000</v>
      </c>
      <c r="AM144">
        <v>-4358000</v>
      </c>
      <c r="AN144">
        <v>-4258000</v>
      </c>
      <c r="AO144">
        <v>-4169000</v>
      </c>
      <c r="AP144">
        <v>-4143000</v>
      </c>
      <c r="AQ144">
        <v>-4097000</v>
      </c>
      <c r="AR144">
        <v>-4035000</v>
      </c>
      <c r="AS144">
        <v>-3740000</v>
      </c>
      <c r="AT144">
        <v>-3564000</v>
      </c>
      <c r="AU144">
        <v>-3472000</v>
      </c>
      <c r="AV144">
        <v>-3652000</v>
      </c>
    </row>
    <row r="145" spans="1:48">
      <c r="A145">
        <v>1</v>
      </c>
      <c r="B145">
        <v>144</v>
      </c>
      <c r="C145" t="s">
        <v>0</v>
      </c>
      <c r="D145" t="s">
        <v>230</v>
      </c>
      <c r="E145" t="s">
        <v>224</v>
      </c>
      <c r="F145" t="s">
        <v>8</v>
      </c>
      <c r="G145">
        <v>0</v>
      </c>
      <c r="H145">
        <v>0</v>
      </c>
      <c r="I145">
        <v>0</v>
      </c>
      <c r="J145">
        <v>0</v>
      </c>
      <c r="K145">
        <v>0</v>
      </c>
      <c r="L145">
        <v>0</v>
      </c>
      <c r="M145">
        <v>6389480</v>
      </c>
      <c r="N145">
        <v>6786537</v>
      </c>
      <c r="O145">
        <v>7990595</v>
      </c>
      <c r="P145">
        <v>6053368</v>
      </c>
      <c r="Q145">
        <v>6010472</v>
      </c>
      <c r="R145">
        <v>6422489</v>
      </c>
      <c r="S145">
        <v>6957626</v>
      </c>
      <c r="T145">
        <v>7492640</v>
      </c>
      <c r="U145">
        <v>7594256</v>
      </c>
      <c r="V145">
        <v>8745225</v>
      </c>
      <c r="W145">
        <v>11500285</v>
      </c>
      <c r="X145">
        <v>11138019</v>
      </c>
      <c r="Y145">
        <v>11143439</v>
      </c>
      <c r="Z145">
        <v>12576558</v>
      </c>
      <c r="AA145">
        <v>15224518</v>
      </c>
      <c r="AB145">
        <v>14763000</v>
      </c>
      <c r="AC145">
        <v>17189000</v>
      </c>
      <c r="AD145">
        <v>19845000</v>
      </c>
      <c r="AE145">
        <v>24076000</v>
      </c>
      <c r="AF145">
        <v>27782000</v>
      </c>
      <c r="AG145">
        <v>29010000</v>
      </c>
      <c r="AH145">
        <v>28400000</v>
      </c>
      <c r="AI145">
        <v>26507000</v>
      </c>
      <c r="AJ145">
        <v>21959000</v>
      </c>
      <c r="AK145">
        <v>24831000</v>
      </c>
      <c r="AL145">
        <v>24764000</v>
      </c>
      <c r="AM145">
        <v>27877000</v>
      </c>
      <c r="AN145">
        <v>26044000</v>
      </c>
      <c r="AO145">
        <v>28844000</v>
      </c>
      <c r="AP145">
        <v>23482000</v>
      </c>
      <c r="AQ145">
        <v>18885000</v>
      </c>
      <c r="AR145">
        <v>7399000</v>
      </c>
      <c r="AS145">
        <v>13973000</v>
      </c>
      <c r="AT145">
        <v>18912000</v>
      </c>
      <c r="AU145">
        <v>19300000</v>
      </c>
      <c r="AV145">
        <v>19232000</v>
      </c>
    </row>
    <row r="146" spans="1:48">
      <c r="A146">
        <v>1</v>
      </c>
      <c r="B146">
        <v>145</v>
      </c>
      <c r="C146" t="s">
        <v>0</v>
      </c>
      <c r="D146" t="s">
        <v>230</v>
      </c>
      <c r="E146" t="s">
        <v>224</v>
      </c>
      <c r="F146" t="s">
        <v>10</v>
      </c>
      <c r="G146">
        <v>0</v>
      </c>
      <c r="H146">
        <v>0</v>
      </c>
      <c r="I146">
        <v>0</v>
      </c>
      <c r="J146">
        <v>0</v>
      </c>
      <c r="K146">
        <v>0</v>
      </c>
      <c r="L146">
        <v>0</v>
      </c>
      <c r="M146">
        <v>7173836</v>
      </c>
      <c r="N146">
        <v>8082808</v>
      </c>
      <c r="O146">
        <v>8854093</v>
      </c>
      <c r="P146">
        <v>8654732</v>
      </c>
      <c r="Q146">
        <v>11370044</v>
      </c>
      <c r="R146">
        <v>12078567</v>
      </c>
      <c r="S146">
        <v>13326653</v>
      </c>
      <c r="T146">
        <v>15085039</v>
      </c>
      <c r="U146">
        <v>16198125</v>
      </c>
      <c r="V146">
        <v>16333533</v>
      </c>
      <c r="W146">
        <v>16707311</v>
      </c>
      <c r="X146">
        <v>15949168</v>
      </c>
      <c r="Y146">
        <v>17359439</v>
      </c>
      <c r="Z146">
        <v>18802080</v>
      </c>
      <c r="AA146">
        <v>20098865</v>
      </c>
      <c r="AB146">
        <v>19301000</v>
      </c>
      <c r="AC146">
        <v>18670000</v>
      </c>
      <c r="AD146">
        <v>17928000</v>
      </c>
      <c r="AE146">
        <v>18297000</v>
      </c>
      <c r="AF146">
        <v>18336000</v>
      </c>
      <c r="AG146">
        <v>19914000</v>
      </c>
      <c r="AH146">
        <v>19369000</v>
      </c>
      <c r="AI146">
        <v>18602000</v>
      </c>
      <c r="AJ146">
        <v>19862000</v>
      </c>
      <c r="AK146">
        <v>21083000</v>
      </c>
      <c r="AL146">
        <v>23379000</v>
      </c>
      <c r="AM146">
        <v>24810000</v>
      </c>
      <c r="AN146">
        <v>26010000</v>
      </c>
      <c r="AO146">
        <v>27568000</v>
      </c>
      <c r="AP146">
        <v>22453000</v>
      </c>
      <c r="AQ146">
        <v>25298000</v>
      </c>
      <c r="AR146">
        <v>29519000</v>
      </c>
      <c r="AS146">
        <v>30307000</v>
      </c>
      <c r="AT146">
        <v>31815000</v>
      </c>
      <c r="AU146">
        <v>33926000</v>
      </c>
      <c r="AV146">
        <v>35041000</v>
      </c>
    </row>
    <row r="147" spans="1:48">
      <c r="A147">
        <v>1</v>
      </c>
      <c r="B147">
        <v>146</v>
      </c>
      <c r="C147" t="s">
        <v>0</v>
      </c>
      <c r="D147" t="s">
        <v>230</v>
      </c>
      <c r="E147" t="s">
        <v>224</v>
      </c>
      <c r="F147" t="s">
        <v>5</v>
      </c>
      <c r="G147">
        <v>0</v>
      </c>
      <c r="H147">
        <v>0</v>
      </c>
      <c r="I147">
        <v>0</v>
      </c>
      <c r="J147">
        <v>0</v>
      </c>
      <c r="K147">
        <v>0</v>
      </c>
      <c r="L147">
        <v>0</v>
      </c>
      <c r="M147">
        <v>24329156</v>
      </c>
      <c r="N147">
        <v>40839143</v>
      </c>
      <c r="O147">
        <v>36310764</v>
      </c>
      <c r="P147">
        <v>35300063</v>
      </c>
      <c r="Q147">
        <v>37361427</v>
      </c>
      <c r="R147">
        <v>35991683</v>
      </c>
      <c r="S147">
        <v>32918545</v>
      </c>
      <c r="T147">
        <v>32457474</v>
      </c>
      <c r="U147">
        <v>35226868</v>
      </c>
      <c r="V147">
        <v>34385794</v>
      </c>
      <c r="W147">
        <v>35345204</v>
      </c>
      <c r="X147">
        <v>42402120</v>
      </c>
      <c r="Y147">
        <v>45569482</v>
      </c>
      <c r="Z147">
        <v>48057224</v>
      </c>
      <c r="AA147">
        <v>55224799</v>
      </c>
      <c r="AB147">
        <v>57484000</v>
      </c>
      <c r="AC147">
        <v>54014000</v>
      </c>
      <c r="AD147">
        <v>56924000</v>
      </c>
      <c r="AE147">
        <v>57673000</v>
      </c>
      <c r="AF147">
        <v>70414000</v>
      </c>
      <c r="AG147">
        <v>68865000</v>
      </c>
      <c r="AH147">
        <v>66232000</v>
      </c>
      <c r="AI147">
        <v>66989000</v>
      </c>
      <c r="AJ147">
        <v>67524000</v>
      </c>
      <c r="AK147">
        <v>69855000</v>
      </c>
      <c r="AL147">
        <v>73094000</v>
      </c>
      <c r="AM147">
        <v>73961000</v>
      </c>
      <c r="AN147">
        <v>65069000</v>
      </c>
      <c r="AO147">
        <v>67334000</v>
      </c>
      <c r="AP147">
        <v>62483000</v>
      </c>
      <c r="AQ147">
        <v>66909000</v>
      </c>
      <c r="AR147">
        <v>72381000</v>
      </c>
      <c r="AS147">
        <v>79061000</v>
      </c>
      <c r="AT147">
        <v>84007000</v>
      </c>
      <c r="AU147">
        <v>93368000</v>
      </c>
      <c r="AV147">
        <v>98279000</v>
      </c>
    </row>
    <row r="148" spans="1:48">
      <c r="A148">
        <v>1</v>
      </c>
      <c r="B148">
        <v>147</v>
      </c>
      <c r="C148" t="s">
        <v>0</v>
      </c>
      <c r="D148" t="s">
        <v>230</v>
      </c>
      <c r="E148" t="s">
        <v>224</v>
      </c>
      <c r="F148" t="s">
        <v>12</v>
      </c>
      <c r="G148">
        <v>0</v>
      </c>
      <c r="H148">
        <v>0</v>
      </c>
      <c r="I148">
        <v>0</v>
      </c>
      <c r="J148">
        <v>0</v>
      </c>
      <c r="K148">
        <v>0</v>
      </c>
      <c r="L148">
        <v>0</v>
      </c>
      <c r="M148">
        <v>0</v>
      </c>
      <c r="N148">
        <v>0</v>
      </c>
      <c r="O148">
        <v>0</v>
      </c>
      <c r="P148">
        <v>0</v>
      </c>
      <c r="Q148">
        <v>216322</v>
      </c>
      <c r="R148">
        <v>314880</v>
      </c>
      <c r="S148">
        <v>281619</v>
      </c>
      <c r="T148">
        <v>375745</v>
      </c>
      <c r="U148">
        <v>486136</v>
      </c>
      <c r="V148">
        <v>631274</v>
      </c>
      <c r="W148">
        <v>765055</v>
      </c>
      <c r="X148">
        <v>941965</v>
      </c>
      <c r="Y148">
        <v>946932</v>
      </c>
      <c r="Z148">
        <v>996543</v>
      </c>
      <c r="AA148">
        <v>1053152</v>
      </c>
      <c r="AB148">
        <v>1055000</v>
      </c>
      <c r="AC148">
        <v>1054000</v>
      </c>
      <c r="AD148">
        <v>1142000</v>
      </c>
      <c r="AE148">
        <v>2871000</v>
      </c>
      <c r="AF148">
        <v>3848000</v>
      </c>
      <c r="AG148">
        <v>4637000</v>
      </c>
      <c r="AH148">
        <v>5376000</v>
      </c>
      <c r="AI148">
        <v>5505000</v>
      </c>
      <c r="AJ148">
        <v>5798000</v>
      </c>
      <c r="AK148">
        <v>6635000</v>
      </c>
      <c r="AL148">
        <v>7342000</v>
      </c>
      <c r="AM148">
        <v>7722000</v>
      </c>
      <c r="AN148">
        <v>7606000</v>
      </c>
      <c r="AO148">
        <v>8495000</v>
      </c>
      <c r="AP148">
        <v>8401000</v>
      </c>
      <c r="AQ148">
        <v>9049000</v>
      </c>
      <c r="AR148">
        <v>8822000</v>
      </c>
      <c r="AS148">
        <v>10121000</v>
      </c>
      <c r="AT148">
        <v>10063000</v>
      </c>
      <c r="AU148">
        <v>9949000</v>
      </c>
      <c r="AV148">
        <v>9646000</v>
      </c>
    </row>
    <row r="149" spans="1:48">
      <c r="A149">
        <v>1</v>
      </c>
      <c r="B149">
        <v>148</v>
      </c>
      <c r="C149" t="s">
        <v>0</v>
      </c>
      <c r="D149" t="s">
        <v>230</v>
      </c>
      <c r="E149" t="s">
        <v>228</v>
      </c>
      <c r="F149" t="s">
        <v>14</v>
      </c>
      <c r="G149">
        <v>0</v>
      </c>
      <c r="H149">
        <v>0</v>
      </c>
      <c r="I149">
        <v>0</v>
      </c>
      <c r="J149">
        <v>0</v>
      </c>
      <c r="K149">
        <v>0</v>
      </c>
      <c r="L149">
        <v>0</v>
      </c>
      <c r="M149">
        <v>11767143</v>
      </c>
      <c r="N149">
        <v>12833713</v>
      </c>
      <c r="O149">
        <v>15185696</v>
      </c>
      <c r="P149">
        <v>14492350</v>
      </c>
      <c r="Q149">
        <v>15683846</v>
      </c>
      <c r="R149">
        <v>17058986</v>
      </c>
      <c r="S149">
        <v>18373909</v>
      </c>
      <c r="T149">
        <v>16816623</v>
      </c>
      <c r="U149">
        <v>17163237</v>
      </c>
      <c r="V149">
        <v>19604126</v>
      </c>
      <c r="W149">
        <v>24319216</v>
      </c>
      <c r="X149">
        <v>19158322</v>
      </c>
      <c r="Y149">
        <v>22920445</v>
      </c>
      <c r="Z149">
        <v>14908084</v>
      </c>
      <c r="AA149">
        <v>18022729</v>
      </c>
      <c r="AB149">
        <v>23378000</v>
      </c>
      <c r="AC149">
        <v>20477000</v>
      </c>
      <c r="AD149">
        <v>19636000</v>
      </c>
      <c r="AE149">
        <v>24540000</v>
      </c>
      <c r="AF149">
        <v>25917000</v>
      </c>
      <c r="AG149">
        <v>32293000</v>
      </c>
      <c r="AH149">
        <v>26124000</v>
      </c>
      <c r="AI149">
        <v>23683000</v>
      </c>
      <c r="AJ149">
        <v>21878000</v>
      </c>
      <c r="AK149">
        <v>19652000</v>
      </c>
      <c r="AL149">
        <v>19297000</v>
      </c>
      <c r="AM149">
        <v>29945000</v>
      </c>
      <c r="AN149">
        <v>32043000</v>
      </c>
      <c r="AO149">
        <v>33598000</v>
      </c>
      <c r="AP149">
        <v>34318000</v>
      </c>
      <c r="AQ149">
        <v>75863000</v>
      </c>
      <c r="AR149">
        <v>82729000</v>
      </c>
      <c r="AS149">
        <v>82468000</v>
      </c>
      <c r="AT149">
        <v>76320000</v>
      </c>
      <c r="AU149">
        <v>99875000</v>
      </c>
      <c r="AV149">
        <v>97046000</v>
      </c>
    </row>
    <row r="150" spans="1:48">
      <c r="A150">
        <v>1</v>
      </c>
      <c r="B150">
        <v>149</v>
      </c>
      <c r="C150" t="s">
        <v>0</v>
      </c>
      <c r="D150" t="s">
        <v>230</v>
      </c>
      <c r="E150" t="s">
        <v>228</v>
      </c>
      <c r="F150" t="s">
        <v>194</v>
      </c>
      <c r="G150">
        <v>0</v>
      </c>
      <c r="H150">
        <v>0</v>
      </c>
      <c r="I150">
        <v>0</v>
      </c>
      <c r="J150">
        <v>0</v>
      </c>
      <c r="K150">
        <v>0</v>
      </c>
      <c r="L150">
        <v>0</v>
      </c>
      <c r="M150">
        <v>980627</v>
      </c>
      <c r="N150">
        <v>955860</v>
      </c>
      <c r="O150">
        <v>975481</v>
      </c>
      <c r="P150">
        <v>1108320</v>
      </c>
      <c r="Q150">
        <v>1111554</v>
      </c>
      <c r="R150">
        <v>1145524</v>
      </c>
      <c r="S150">
        <v>1292842</v>
      </c>
      <c r="T150">
        <v>2259446</v>
      </c>
      <c r="U150">
        <v>2545038</v>
      </c>
      <c r="V150">
        <v>3007266</v>
      </c>
      <c r="W150">
        <v>2882243</v>
      </c>
      <c r="X150">
        <v>3469595</v>
      </c>
      <c r="Y150">
        <v>3346309</v>
      </c>
      <c r="Z150">
        <v>3494349</v>
      </c>
      <c r="AA150">
        <v>4027415</v>
      </c>
      <c r="AB150">
        <v>4088000</v>
      </c>
      <c r="AC150">
        <v>3994000</v>
      </c>
      <c r="AD150">
        <v>4627000</v>
      </c>
      <c r="AE150">
        <v>5177000</v>
      </c>
      <c r="AF150">
        <v>5162000</v>
      </c>
      <c r="AG150">
        <v>5869000</v>
      </c>
      <c r="AH150">
        <v>6200000</v>
      </c>
      <c r="AI150">
        <v>4701000</v>
      </c>
      <c r="AJ150">
        <v>6838000</v>
      </c>
      <c r="AK150">
        <v>6321000</v>
      </c>
      <c r="AL150">
        <v>6106000</v>
      </c>
      <c r="AM150">
        <v>6910000</v>
      </c>
      <c r="AN150">
        <v>7891000</v>
      </c>
      <c r="AO150">
        <v>7904000</v>
      </c>
      <c r="AP150">
        <v>9398000</v>
      </c>
      <c r="AQ150">
        <v>11902000</v>
      </c>
      <c r="AR150">
        <v>11266000</v>
      </c>
      <c r="AS150">
        <v>14249000</v>
      </c>
      <c r="AT150">
        <v>16255000</v>
      </c>
      <c r="AU150">
        <v>26312000</v>
      </c>
      <c r="AV150">
        <v>40786000</v>
      </c>
    </row>
    <row r="151" spans="1:48">
      <c r="A151">
        <v>1</v>
      </c>
      <c r="B151">
        <v>150</v>
      </c>
      <c r="C151">
        <v>0</v>
      </c>
      <c r="D151" t="s">
        <v>230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row>
    <row r="152" spans="1:48">
      <c r="A152">
        <v>1</v>
      </c>
      <c r="B152">
        <v>151</v>
      </c>
      <c r="C152" t="s">
        <v>230</v>
      </c>
      <c r="D152" t="s">
        <v>230</v>
      </c>
      <c r="E152" t="s">
        <v>230</v>
      </c>
      <c r="F152" t="s">
        <v>230</v>
      </c>
      <c r="G152" t="s">
        <v>230</v>
      </c>
      <c r="H152" t="s">
        <v>230</v>
      </c>
      <c r="I152" t="s">
        <v>230</v>
      </c>
      <c r="J152" t="s">
        <v>230</v>
      </c>
      <c r="K152" t="s">
        <v>230</v>
      </c>
      <c r="L152" t="s">
        <v>230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row>
    <row r="153" spans="1:48">
      <c r="A153">
        <v>0</v>
      </c>
      <c r="B153">
        <v>152</v>
      </c>
      <c r="C153" t="s">
        <v>230</v>
      </c>
      <c r="D153" t="s">
        <v>230</v>
      </c>
      <c r="E153" t="s">
        <v>230</v>
      </c>
      <c r="F153" t="s">
        <v>230</v>
      </c>
      <c r="G153" t="s">
        <v>230</v>
      </c>
      <c r="H153" t="s">
        <v>230</v>
      </c>
      <c r="I153" t="s">
        <v>230</v>
      </c>
      <c r="J153" t="s">
        <v>230</v>
      </c>
      <c r="K153" t="s">
        <v>230</v>
      </c>
      <c r="L153" t="s">
        <v>230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row>
    <row r="154" spans="1:48">
      <c r="A154">
        <v>0</v>
      </c>
      <c r="B154">
        <v>153</v>
      </c>
      <c r="C154" t="s">
        <v>230</v>
      </c>
      <c r="D154" t="s">
        <v>230</v>
      </c>
      <c r="E154" t="s">
        <v>230</v>
      </c>
      <c r="F154" t="s">
        <v>230</v>
      </c>
      <c r="G154" t="s">
        <v>230</v>
      </c>
      <c r="H154" t="s">
        <v>230</v>
      </c>
      <c r="I154" t="s">
        <v>230</v>
      </c>
      <c r="J154" t="s">
        <v>230</v>
      </c>
      <c r="K154" t="s">
        <v>230</v>
      </c>
      <c r="L154" t="s">
        <v>230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row>
    <row r="155" spans="1:48">
      <c r="A155">
        <v>0</v>
      </c>
      <c r="B155">
        <v>154</v>
      </c>
      <c r="C155" t="s">
        <v>230</v>
      </c>
      <c r="D155" t="s">
        <v>230</v>
      </c>
      <c r="E155" t="s">
        <v>230</v>
      </c>
      <c r="F155" t="s">
        <v>230</v>
      </c>
      <c r="G155" t="s">
        <v>230</v>
      </c>
      <c r="H155" t="s">
        <v>230</v>
      </c>
      <c r="I155" t="s">
        <v>230</v>
      </c>
      <c r="J155" t="s">
        <v>230</v>
      </c>
      <c r="K155" t="s">
        <v>230</v>
      </c>
      <c r="L155" t="s">
        <v>230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row>
    <row r="156" spans="1:48">
      <c r="A156">
        <v>0</v>
      </c>
      <c r="B156">
        <v>155</v>
      </c>
      <c r="C156" t="s">
        <v>230</v>
      </c>
      <c r="D156" t="s">
        <v>230</v>
      </c>
      <c r="E156" t="s">
        <v>230</v>
      </c>
      <c r="F156" t="s">
        <v>230</v>
      </c>
      <c r="G156" t="s">
        <v>230</v>
      </c>
      <c r="H156" t="s">
        <v>230</v>
      </c>
      <c r="I156" t="s">
        <v>230</v>
      </c>
      <c r="J156" t="s">
        <v>230</v>
      </c>
      <c r="K156" t="s">
        <v>230</v>
      </c>
      <c r="L156" t="s">
        <v>230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row>
    <row r="157" spans="1:48">
      <c r="A157">
        <v>0</v>
      </c>
      <c r="B157">
        <v>156</v>
      </c>
      <c r="C157" t="s">
        <v>230</v>
      </c>
      <c r="D157" t="s">
        <v>230</v>
      </c>
      <c r="E157" t="s">
        <v>230</v>
      </c>
      <c r="F157" t="s">
        <v>230</v>
      </c>
      <c r="G157" t="s">
        <v>230</v>
      </c>
      <c r="H157" t="s">
        <v>230</v>
      </c>
      <c r="I157" t="s">
        <v>230</v>
      </c>
      <c r="J157" t="s">
        <v>230</v>
      </c>
      <c r="K157" t="s">
        <v>230</v>
      </c>
      <c r="L157" t="s">
        <v>230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row>
    <row r="158" spans="1:48">
      <c r="A158">
        <v>0</v>
      </c>
      <c r="B158">
        <v>157</v>
      </c>
      <c r="C158" t="s">
        <v>230</v>
      </c>
      <c r="D158" t="s">
        <v>230</v>
      </c>
      <c r="E158" t="s">
        <v>230</v>
      </c>
      <c r="F158" t="s">
        <v>230</v>
      </c>
      <c r="G158" t="s">
        <v>230</v>
      </c>
      <c r="H158" t="s">
        <v>230</v>
      </c>
      <c r="I158" t="s">
        <v>230</v>
      </c>
      <c r="J158" t="s">
        <v>230</v>
      </c>
      <c r="K158" t="s">
        <v>230</v>
      </c>
      <c r="L158" t="s">
        <v>230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row>
    <row r="159" spans="1:48">
      <c r="A159">
        <v>0</v>
      </c>
      <c r="B159">
        <v>158</v>
      </c>
      <c r="C159" t="s">
        <v>230</v>
      </c>
      <c r="D159" t="s">
        <v>230</v>
      </c>
      <c r="E159" t="s">
        <v>230</v>
      </c>
      <c r="F159" t="s">
        <v>230</v>
      </c>
      <c r="G159" t="s">
        <v>230</v>
      </c>
      <c r="H159" t="s">
        <v>230</v>
      </c>
      <c r="I159" t="s">
        <v>230</v>
      </c>
      <c r="J159" t="s">
        <v>230</v>
      </c>
      <c r="K159" t="s">
        <v>230</v>
      </c>
      <c r="L159" t="s">
        <v>230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row>
    <row r="160" spans="1:48">
      <c r="A160">
        <v>0</v>
      </c>
      <c r="B160">
        <v>159</v>
      </c>
      <c r="C160" t="s">
        <v>230</v>
      </c>
      <c r="D160" t="s">
        <v>230</v>
      </c>
      <c r="E160" t="s">
        <v>230</v>
      </c>
      <c r="F160" t="s">
        <v>230</v>
      </c>
      <c r="G160" t="s">
        <v>230</v>
      </c>
      <c r="H160" t="s">
        <v>230</v>
      </c>
      <c r="I160" t="s">
        <v>230</v>
      </c>
      <c r="J160" t="s">
        <v>230</v>
      </c>
      <c r="K160" t="s">
        <v>230</v>
      </c>
      <c r="L160" t="s">
        <v>230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row>
    <row r="161" spans="1:48">
      <c r="A161">
        <v>0</v>
      </c>
      <c r="B161">
        <v>160</v>
      </c>
      <c r="C161" t="s">
        <v>230</v>
      </c>
      <c r="D161" t="s">
        <v>230</v>
      </c>
      <c r="E161" t="s">
        <v>230</v>
      </c>
      <c r="F161" t="s">
        <v>230</v>
      </c>
      <c r="G161" t="s">
        <v>230</v>
      </c>
      <c r="H161" t="s">
        <v>230</v>
      </c>
      <c r="I161" t="s">
        <v>230</v>
      </c>
      <c r="J161" t="s">
        <v>230</v>
      </c>
      <c r="K161" t="s">
        <v>230</v>
      </c>
      <c r="L161" t="s">
        <v>230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row>
    <row r="162" spans="1:48">
      <c r="A162">
        <v>0</v>
      </c>
      <c r="B162">
        <v>161</v>
      </c>
      <c r="C162" t="s">
        <v>230</v>
      </c>
      <c r="D162" t="s">
        <v>230</v>
      </c>
      <c r="E162" t="s">
        <v>230</v>
      </c>
      <c r="F162" t="s">
        <v>230</v>
      </c>
      <c r="G162" t="s">
        <v>230</v>
      </c>
      <c r="H162" t="s">
        <v>230</v>
      </c>
      <c r="I162" t="s">
        <v>230</v>
      </c>
      <c r="J162" t="s">
        <v>230</v>
      </c>
      <c r="K162" t="s">
        <v>230</v>
      </c>
      <c r="L162" t="s">
        <v>230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row>
    <row r="163" spans="1:48">
      <c r="A163">
        <v>0</v>
      </c>
      <c r="B163">
        <v>162</v>
      </c>
      <c r="C163" t="s">
        <v>230</v>
      </c>
      <c r="D163" t="s">
        <v>230</v>
      </c>
      <c r="E163" t="s">
        <v>230</v>
      </c>
      <c r="F163" t="s">
        <v>230</v>
      </c>
      <c r="G163" t="s">
        <v>230</v>
      </c>
      <c r="H163" t="s">
        <v>230</v>
      </c>
      <c r="I163" t="s">
        <v>230</v>
      </c>
      <c r="J163" t="s">
        <v>230</v>
      </c>
      <c r="K163" t="s">
        <v>230</v>
      </c>
      <c r="L163" t="s">
        <v>230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row>
    <row r="164" spans="1:48">
      <c r="A164">
        <v>0</v>
      </c>
      <c r="B164">
        <v>163</v>
      </c>
      <c r="C164" t="s">
        <v>230</v>
      </c>
      <c r="D164" t="s">
        <v>230</v>
      </c>
      <c r="E164" t="s">
        <v>230</v>
      </c>
      <c r="F164" t="s">
        <v>230</v>
      </c>
      <c r="G164" t="s">
        <v>230</v>
      </c>
      <c r="H164" t="s">
        <v>230</v>
      </c>
      <c r="I164" t="s">
        <v>230</v>
      </c>
      <c r="J164" t="s">
        <v>230</v>
      </c>
      <c r="K164" t="s">
        <v>230</v>
      </c>
      <c r="L164" t="s">
        <v>230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row>
    <row r="165" spans="1:48">
      <c r="A165">
        <v>0</v>
      </c>
      <c r="B165">
        <v>164</v>
      </c>
      <c r="C165" t="s">
        <v>230</v>
      </c>
      <c r="D165" t="s">
        <v>230</v>
      </c>
      <c r="E165" t="s">
        <v>230</v>
      </c>
      <c r="F165" t="s">
        <v>230</v>
      </c>
      <c r="G165" t="s">
        <v>230</v>
      </c>
      <c r="H165" t="s">
        <v>230</v>
      </c>
      <c r="I165" t="s">
        <v>230</v>
      </c>
      <c r="J165" t="s">
        <v>230</v>
      </c>
      <c r="K165" t="s">
        <v>230</v>
      </c>
      <c r="L165" t="s">
        <v>230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row>
    <row r="166" spans="1:48">
      <c r="A166">
        <v>0</v>
      </c>
      <c r="B166">
        <v>165</v>
      </c>
      <c r="C166" t="s">
        <v>230</v>
      </c>
      <c r="D166" t="s">
        <v>230</v>
      </c>
      <c r="E166" t="s">
        <v>230</v>
      </c>
      <c r="F166" t="s">
        <v>230</v>
      </c>
      <c r="G166" t="s">
        <v>230</v>
      </c>
      <c r="H166" t="s">
        <v>230</v>
      </c>
      <c r="I166" t="s">
        <v>230</v>
      </c>
      <c r="J166" t="s">
        <v>230</v>
      </c>
      <c r="K166" t="s">
        <v>230</v>
      </c>
      <c r="L166" t="s">
        <v>230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row>
    <row r="167" spans="1:48">
      <c r="A167">
        <v>0</v>
      </c>
      <c r="B167">
        <v>166</v>
      </c>
      <c r="C167" t="s">
        <v>230</v>
      </c>
      <c r="D167" t="s">
        <v>230</v>
      </c>
      <c r="E167" t="s">
        <v>230</v>
      </c>
      <c r="F167" t="s">
        <v>230</v>
      </c>
      <c r="G167" t="s">
        <v>230</v>
      </c>
      <c r="H167" t="s">
        <v>230</v>
      </c>
      <c r="I167" t="s">
        <v>230</v>
      </c>
      <c r="J167" t="s">
        <v>230</v>
      </c>
      <c r="K167" t="s">
        <v>230</v>
      </c>
      <c r="L167" t="s">
        <v>230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row>
    <row r="168" spans="1:48">
      <c r="A168">
        <v>0</v>
      </c>
      <c r="B168">
        <v>167</v>
      </c>
      <c r="C168" t="s">
        <v>230</v>
      </c>
      <c r="D168" t="s">
        <v>230</v>
      </c>
      <c r="E168" t="s">
        <v>230</v>
      </c>
      <c r="F168" t="s">
        <v>230</v>
      </c>
      <c r="G168" t="s">
        <v>230</v>
      </c>
      <c r="H168" t="s">
        <v>230</v>
      </c>
      <c r="I168" t="s">
        <v>230</v>
      </c>
      <c r="J168" t="s">
        <v>230</v>
      </c>
      <c r="K168" t="s">
        <v>230</v>
      </c>
      <c r="L168" t="s">
        <v>230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row>
    <row r="169" spans="1:48">
      <c r="A169">
        <v>0</v>
      </c>
      <c r="B169">
        <v>168</v>
      </c>
      <c r="C169" t="s">
        <v>230</v>
      </c>
      <c r="D169" t="s">
        <v>230</v>
      </c>
      <c r="E169" t="s">
        <v>230</v>
      </c>
      <c r="F169" t="s">
        <v>230</v>
      </c>
      <c r="G169" t="s">
        <v>230</v>
      </c>
      <c r="H169" t="s">
        <v>230</v>
      </c>
      <c r="I169" t="s">
        <v>230</v>
      </c>
      <c r="J169" t="s">
        <v>230</v>
      </c>
      <c r="K169" t="s">
        <v>230</v>
      </c>
      <c r="L169" t="s">
        <v>230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row>
    <row r="170" spans="1:48">
      <c r="A170">
        <v>0</v>
      </c>
      <c r="B170">
        <v>169</v>
      </c>
      <c r="C170" t="s">
        <v>230</v>
      </c>
      <c r="D170" t="s">
        <v>230</v>
      </c>
      <c r="E170" t="s">
        <v>230</v>
      </c>
      <c r="F170" t="s">
        <v>230</v>
      </c>
      <c r="G170" t="s">
        <v>230</v>
      </c>
      <c r="H170" t="s">
        <v>230</v>
      </c>
      <c r="I170" t="s">
        <v>230</v>
      </c>
      <c r="J170" t="s">
        <v>230</v>
      </c>
      <c r="K170" t="s">
        <v>230</v>
      </c>
      <c r="L170" t="s">
        <v>230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row>
    <row r="171" spans="1:48">
      <c r="A171">
        <v>0</v>
      </c>
      <c r="B171">
        <v>170</v>
      </c>
      <c r="C171" t="s">
        <v>230</v>
      </c>
      <c r="D171" t="s">
        <v>230</v>
      </c>
      <c r="E171" t="s">
        <v>230</v>
      </c>
      <c r="F171" t="s">
        <v>230</v>
      </c>
      <c r="G171" t="s">
        <v>230</v>
      </c>
      <c r="H171" t="s">
        <v>230</v>
      </c>
      <c r="I171" t="s">
        <v>230</v>
      </c>
      <c r="J171" t="s">
        <v>230</v>
      </c>
      <c r="K171" t="s">
        <v>230</v>
      </c>
      <c r="L171" t="s">
        <v>230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row>
    <row r="172" spans="1:48">
      <c r="A172">
        <v>0</v>
      </c>
      <c r="B172">
        <v>171</v>
      </c>
      <c r="C172" t="s">
        <v>230</v>
      </c>
      <c r="D172" t="s">
        <v>230</v>
      </c>
      <c r="E172" t="s">
        <v>230</v>
      </c>
      <c r="F172" t="s">
        <v>230</v>
      </c>
      <c r="G172" t="s">
        <v>230</v>
      </c>
      <c r="H172" t="s">
        <v>230</v>
      </c>
      <c r="I172" t="s">
        <v>230</v>
      </c>
      <c r="J172" t="s">
        <v>230</v>
      </c>
      <c r="K172" t="s">
        <v>230</v>
      </c>
      <c r="L172" t="s">
        <v>230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row>
    <row r="173" spans="1:48">
      <c r="A173">
        <v>0</v>
      </c>
      <c r="B173">
        <v>172</v>
      </c>
      <c r="C173" t="s">
        <v>230</v>
      </c>
      <c r="D173" t="s">
        <v>230</v>
      </c>
      <c r="E173" t="s">
        <v>230</v>
      </c>
      <c r="F173" t="s">
        <v>230</v>
      </c>
      <c r="G173" t="s">
        <v>230</v>
      </c>
      <c r="H173" t="s">
        <v>230</v>
      </c>
      <c r="I173" t="s">
        <v>230</v>
      </c>
      <c r="J173" t="s">
        <v>230</v>
      </c>
      <c r="K173" t="s">
        <v>230</v>
      </c>
      <c r="L173" t="s">
        <v>230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row>
    <row r="174" spans="1:48">
      <c r="A174">
        <v>0</v>
      </c>
      <c r="B174">
        <v>173</v>
      </c>
      <c r="C174" t="s">
        <v>230</v>
      </c>
      <c r="D174" t="s">
        <v>230</v>
      </c>
      <c r="E174" t="s">
        <v>230</v>
      </c>
      <c r="F174" t="s">
        <v>230</v>
      </c>
      <c r="G174" t="s">
        <v>230</v>
      </c>
      <c r="H174" t="s">
        <v>230</v>
      </c>
      <c r="I174" t="s">
        <v>230</v>
      </c>
      <c r="J174" t="s">
        <v>230</v>
      </c>
      <c r="K174" t="s">
        <v>230</v>
      </c>
      <c r="L174" t="s">
        <v>230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row>
    <row r="175" spans="1:48">
      <c r="A175">
        <v>0</v>
      </c>
      <c r="B175">
        <v>174</v>
      </c>
      <c r="C175" t="s">
        <v>230</v>
      </c>
      <c r="D175" t="s">
        <v>230</v>
      </c>
      <c r="E175" t="s">
        <v>230</v>
      </c>
      <c r="F175" t="s">
        <v>230</v>
      </c>
      <c r="G175" t="s">
        <v>230</v>
      </c>
      <c r="H175" t="s">
        <v>230</v>
      </c>
      <c r="I175" t="s">
        <v>230</v>
      </c>
      <c r="J175" t="s">
        <v>230</v>
      </c>
      <c r="K175" t="s">
        <v>230</v>
      </c>
      <c r="L175" t="s">
        <v>230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row>
    <row r="176" spans="1:48">
      <c r="A176">
        <v>0</v>
      </c>
      <c r="B176">
        <v>175</v>
      </c>
      <c r="C176" t="s">
        <v>230</v>
      </c>
      <c r="D176" t="s">
        <v>230</v>
      </c>
      <c r="E176" t="s">
        <v>230</v>
      </c>
      <c r="F176" t="s">
        <v>230</v>
      </c>
      <c r="G176" t="s">
        <v>230</v>
      </c>
      <c r="H176" t="s">
        <v>230</v>
      </c>
      <c r="I176" t="s">
        <v>230</v>
      </c>
      <c r="J176" t="s">
        <v>230</v>
      </c>
      <c r="K176" t="s">
        <v>230</v>
      </c>
      <c r="L176" t="s">
        <v>230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row>
    <row r="177" spans="1:48">
      <c r="A177">
        <v>0</v>
      </c>
      <c r="B177">
        <v>176</v>
      </c>
      <c r="C177" t="s">
        <v>230</v>
      </c>
      <c r="D177" t="s">
        <v>230</v>
      </c>
      <c r="E177" t="s">
        <v>230</v>
      </c>
      <c r="F177" t="s">
        <v>230</v>
      </c>
      <c r="G177" t="s">
        <v>230</v>
      </c>
      <c r="H177" t="s">
        <v>230</v>
      </c>
      <c r="I177" t="s">
        <v>230</v>
      </c>
      <c r="J177" t="s">
        <v>230</v>
      </c>
      <c r="K177" t="s">
        <v>230</v>
      </c>
      <c r="L177" t="s">
        <v>230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row>
    <row r="178" spans="1:48">
      <c r="A178">
        <v>0</v>
      </c>
      <c r="B178">
        <v>177</v>
      </c>
      <c r="C178" t="s">
        <v>230</v>
      </c>
      <c r="D178" t="s">
        <v>230</v>
      </c>
      <c r="E178" t="s">
        <v>230</v>
      </c>
      <c r="F178" t="s">
        <v>230</v>
      </c>
      <c r="G178" t="s">
        <v>230</v>
      </c>
      <c r="H178" t="s">
        <v>230</v>
      </c>
      <c r="I178" t="s">
        <v>230</v>
      </c>
      <c r="J178" t="s">
        <v>230</v>
      </c>
      <c r="K178" t="s">
        <v>230</v>
      </c>
      <c r="L178" t="s">
        <v>230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row>
    <row r="179" spans="1:48">
      <c r="A179">
        <v>0</v>
      </c>
      <c r="B179">
        <v>178</v>
      </c>
      <c r="C179" t="s">
        <v>230</v>
      </c>
      <c r="D179" t="s">
        <v>230</v>
      </c>
      <c r="E179" t="s">
        <v>230</v>
      </c>
      <c r="F179" t="s">
        <v>230</v>
      </c>
      <c r="G179" t="s">
        <v>230</v>
      </c>
      <c r="H179" t="s">
        <v>230</v>
      </c>
      <c r="I179" t="s">
        <v>230</v>
      </c>
      <c r="J179" t="s">
        <v>230</v>
      </c>
      <c r="K179" t="s">
        <v>230</v>
      </c>
      <c r="L179" t="s">
        <v>230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row>
    <row r="180" spans="1:48">
      <c r="A180">
        <v>0</v>
      </c>
      <c r="B180">
        <v>179</v>
      </c>
      <c r="C180" t="s">
        <v>230</v>
      </c>
      <c r="D180" t="s">
        <v>230</v>
      </c>
      <c r="E180" t="s">
        <v>230</v>
      </c>
      <c r="F180" t="s">
        <v>230</v>
      </c>
      <c r="G180" t="s">
        <v>230</v>
      </c>
      <c r="H180" t="s">
        <v>230</v>
      </c>
      <c r="I180" t="s">
        <v>230</v>
      </c>
      <c r="J180" t="s">
        <v>230</v>
      </c>
      <c r="K180" t="s">
        <v>230</v>
      </c>
      <c r="L180" t="s">
        <v>230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row>
    <row r="181" spans="1:48">
      <c r="A181">
        <v>0</v>
      </c>
      <c r="B181">
        <v>180</v>
      </c>
      <c r="C181" t="s">
        <v>230</v>
      </c>
      <c r="D181" t="s">
        <v>230</v>
      </c>
      <c r="E181" t="s">
        <v>230</v>
      </c>
      <c r="F181" t="s">
        <v>230</v>
      </c>
      <c r="G181" t="s">
        <v>230</v>
      </c>
      <c r="H181" t="s">
        <v>230</v>
      </c>
      <c r="I181" t="s">
        <v>230</v>
      </c>
      <c r="J181" t="s">
        <v>230</v>
      </c>
      <c r="K181" t="s">
        <v>230</v>
      </c>
      <c r="L181" t="s">
        <v>230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row>
    <row r="182" spans="1:48">
      <c r="A182">
        <v>0</v>
      </c>
      <c r="B182">
        <v>181</v>
      </c>
      <c r="C182" t="s">
        <v>230</v>
      </c>
      <c r="D182" t="s">
        <v>230</v>
      </c>
      <c r="E182" t="s">
        <v>230</v>
      </c>
      <c r="F182" t="s">
        <v>230</v>
      </c>
      <c r="G182" t="s">
        <v>230</v>
      </c>
      <c r="H182" t="s">
        <v>230</v>
      </c>
      <c r="I182" t="s">
        <v>230</v>
      </c>
      <c r="J182" t="s">
        <v>230</v>
      </c>
      <c r="K182" t="s">
        <v>230</v>
      </c>
      <c r="L182" t="s">
        <v>230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row>
    <row r="183" spans="1:48">
      <c r="A183">
        <v>0</v>
      </c>
      <c r="B183">
        <v>182</v>
      </c>
      <c r="C183" t="s">
        <v>230</v>
      </c>
      <c r="D183" t="s">
        <v>230</v>
      </c>
      <c r="E183" t="s">
        <v>230</v>
      </c>
      <c r="F183" t="s">
        <v>230</v>
      </c>
      <c r="G183" t="s">
        <v>230</v>
      </c>
      <c r="H183" t="s">
        <v>230</v>
      </c>
      <c r="I183" t="s">
        <v>230</v>
      </c>
      <c r="J183" t="s">
        <v>230</v>
      </c>
      <c r="K183" t="s">
        <v>230</v>
      </c>
      <c r="L183" t="s">
        <v>230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row>
    <row r="184" spans="1:48">
      <c r="A184">
        <v>0</v>
      </c>
      <c r="B184">
        <v>183</v>
      </c>
      <c r="C184" t="s">
        <v>230</v>
      </c>
      <c r="D184" t="s">
        <v>230</v>
      </c>
      <c r="E184" t="s">
        <v>230</v>
      </c>
      <c r="F184" t="s">
        <v>230</v>
      </c>
      <c r="G184" t="s">
        <v>230</v>
      </c>
      <c r="H184" t="s">
        <v>230</v>
      </c>
      <c r="I184" t="s">
        <v>230</v>
      </c>
      <c r="J184" t="s">
        <v>230</v>
      </c>
      <c r="K184" t="s">
        <v>230</v>
      </c>
      <c r="L184" t="s">
        <v>230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row>
    <row r="185" spans="1:48">
      <c r="A185">
        <v>0</v>
      </c>
      <c r="B185">
        <v>184</v>
      </c>
      <c r="C185" t="s">
        <v>230</v>
      </c>
      <c r="D185" t="s">
        <v>230</v>
      </c>
      <c r="E185" t="s">
        <v>230</v>
      </c>
      <c r="F185" t="s">
        <v>230</v>
      </c>
      <c r="G185" t="s">
        <v>230</v>
      </c>
      <c r="H185" t="s">
        <v>230</v>
      </c>
      <c r="I185" t="s">
        <v>230</v>
      </c>
      <c r="J185" t="s">
        <v>230</v>
      </c>
      <c r="K185" t="s">
        <v>230</v>
      </c>
      <c r="L185" t="s">
        <v>230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row>
    <row r="186" spans="1:48">
      <c r="A186">
        <v>0</v>
      </c>
      <c r="B186">
        <v>185</v>
      </c>
      <c r="C186" t="s">
        <v>230</v>
      </c>
      <c r="D186" t="s">
        <v>230</v>
      </c>
      <c r="E186" t="s">
        <v>230</v>
      </c>
      <c r="F186" t="s">
        <v>230</v>
      </c>
      <c r="G186" t="s">
        <v>230</v>
      </c>
      <c r="H186" t="s">
        <v>230</v>
      </c>
      <c r="I186" t="s">
        <v>230</v>
      </c>
      <c r="J186" t="s">
        <v>230</v>
      </c>
      <c r="K186" t="s">
        <v>230</v>
      </c>
      <c r="L186" t="s">
        <v>230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row>
    <row r="187" spans="1:48">
      <c r="A187">
        <v>0</v>
      </c>
      <c r="B187">
        <v>186</v>
      </c>
      <c r="C187" t="s">
        <v>230</v>
      </c>
      <c r="D187" t="s">
        <v>230</v>
      </c>
      <c r="E187" t="s">
        <v>230</v>
      </c>
      <c r="F187" t="s">
        <v>230</v>
      </c>
      <c r="G187" t="s">
        <v>230</v>
      </c>
      <c r="H187" t="s">
        <v>230</v>
      </c>
      <c r="I187" t="s">
        <v>230</v>
      </c>
      <c r="J187" t="s">
        <v>230</v>
      </c>
      <c r="K187" t="s">
        <v>230</v>
      </c>
      <c r="L187" t="s">
        <v>230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row>
    <row r="188" spans="1:48">
      <c r="A188">
        <v>0</v>
      </c>
      <c r="B188">
        <v>187</v>
      </c>
      <c r="C188" t="s">
        <v>230</v>
      </c>
      <c r="D188" t="s">
        <v>230</v>
      </c>
      <c r="E188" t="s">
        <v>230</v>
      </c>
      <c r="F188" t="s">
        <v>230</v>
      </c>
      <c r="G188" t="s">
        <v>230</v>
      </c>
      <c r="H188" t="s">
        <v>230</v>
      </c>
      <c r="I188" t="s">
        <v>230</v>
      </c>
      <c r="J188" t="s">
        <v>230</v>
      </c>
      <c r="K188" t="s">
        <v>230</v>
      </c>
      <c r="L188" t="s">
        <v>230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row>
    <row r="189" spans="1:48">
      <c r="A189">
        <v>0</v>
      </c>
      <c r="B189">
        <v>188</v>
      </c>
      <c r="C189" t="s">
        <v>230</v>
      </c>
      <c r="D189" t="s">
        <v>230</v>
      </c>
      <c r="E189" t="s">
        <v>230</v>
      </c>
      <c r="F189" t="s">
        <v>230</v>
      </c>
      <c r="G189" t="s">
        <v>230</v>
      </c>
      <c r="H189" t="s">
        <v>230</v>
      </c>
      <c r="I189" t="s">
        <v>230</v>
      </c>
      <c r="J189" t="s">
        <v>230</v>
      </c>
      <c r="K189" t="s">
        <v>230</v>
      </c>
      <c r="L189" t="s">
        <v>230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row>
    <row r="190" spans="1:48">
      <c r="A190">
        <v>0</v>
      </c>
      <c r="B190">
        <v>189</v>
      </c>
      <c r="C190" t="s">
        <v>230</v>
      </c>
      <c r="D190" t="s">
        <v>230</v>
      </c>
      <c r="E190" t="s">
        <v>230</v>
      </c>
      <c r="F190" t="s">
        <v>230</v>
      </c>
      <c r="G190" t="s">
        <v>230</v>
      </c>
      <c r="H190" t="s">
        <v>230</v>
      </c>
      <c r="I190" t="s">
        <v>230</v>
      </c>
      <c r="J190" t="s">
        <v>230</v>
      </c>
      <c r="K190" t="s">
        <v>230</v>
      </c>
      <c r="L190" t="s">
        <v>230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row>
    <row r="191" spans="1:48">
      <c r="A191">
        <v>0</v>
      </c>
      <c r="B191">
        <v>190</v>
      </c>
      <c r="C191" t="s">
        <v>230</v>
      </c>
      <c r="D191" t="s">
        <v>230</v>
      </c>
      <c r="E191" t="s">
        <v>230</v>
      </c>
      <c r="F191" t="s">
        <v>230</v>
      </c>
      <c r="G191" t="s">
        <v>230</v>
      </c>
      <c r="H191" t="s">
        <v>230</v>
      </c>
      <c r="I191" t="s">
        <v>230</v>
      </c>
      <c r="J191" t="s">
        <v>230</v>
      </c>
      <c r="K191" t="s">
        <v>230</v>
      </c>
      <c r="L191" t="s">
        <v>230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row>
    <row r="192" spans="1:48">
      <c r="A192">
        <v>0</v>
      </c>
      <c r="B192">
        <v>191</v>
      </c>
      <c r="C192" t="s">
        <v>230</v>
      </c>
      <c r="D192" t="s">
        <v>230</v>
      </c>
      <c r="E192" t="s">
        <v>230</v>
      </c>
      <c r="F192" t="s">
        <v>230</v>
      </c>
      <c r="G192" t="s">
        <v>230</v>
      </c>
      <c r="H192" t="s">
        <v>230</v>
      </c>
      <c r="I192" t="s">
        <v>230</v>
      </c>
      <c r="J192" t="s">
        <v>230</v>
      </c>
      <c r="K192" t="s">
        <v>230</v>
      </c>
      <c r="L192" t="s">
        <v>230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row>
    <row r="193" spans="1:48">
      <c r="A193">
        <v>0</v>
      </c>
      <c r="B193">
        <v>192</v>
      </c>
      <c r="C193" t="s">
        <v>230</v>
      </c>
      <c r="D193" t="s">
        <v>230</v>
      </c>
      <c r="E193" t="s">
        <v>230</v>
      </c>
      <c r="F193" t="s">
        <v>230</v>
      </c>
      <c r="G193" t="s">
        <v>230</v>
      </c>
      <c r="H193" t="s">
        <v>230</v>
      </c>
      <c r="I193" t="s">
        <v>230</v>
      </c>
      <c r="J193" t="s">
        <v>230</v>
      </c>
      <c r="K193" t="s">
        <v>230</v>
      </c>
      <c r="L193" t="s">
        <v>230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row>
    <row r="194" spans="1:48">
      <c r="A194">
        <v>0</v>
      </c>
      <c r="B194">
        <v>193</v>
      </c>
      <c r="C194" t="s">
        <v>230</v>
      </c>
      <c r="D194" t="s">
        <v>230</v>
      </c>
      <c r="E194" t="s">
        <v>230</v>
      </c>
      <c r="F194" t="s">
        <v>230</v>
      </c>
      <c r="G194" t="s">
        <v>230</v>
      </c>
      <c r="H194" t="s">
        <v>230</v>
      </c>
      <c r="I194" t="s">
        <v>230</v>
      </c>
      <c r="J194" t="s">
        <v>230</v>
      </c>
      <c r="K194" t="s">
        <v>230</v>
      </c>
      <c r="L194" t="s">
        <v>230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row>
    <row r="195" spans="1:48">
      <c r="A195">
        <v>0</v>
      </c>
      <c r="B195">
        <v>194</v>
      </c>
      <c r="C195" t="s">
        <v>230</v>
      </c>
      <c r="D195" t="s">
        <v>230</v>
      </c>
      <c r="E195" t="s">
        <v>230</v>
      </c>
      <c r="F195" t="s">
        <v>230</v>
      </c>
      <c r="G195" t="s">
        <v>230</v>
      </c>
      <c r="H195" t="s">
        <v>230</v>
      </c>
      <c r="I195" t="s">
        <v>230</v>
      </c>
      <c r="J195" t="s">
        <v>230</v>
      </c>
      <c r="K195" t="s">
        <v>230</v>
      </c>
      <c r="L195" t="s">
        <v>230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row>
    <row r="196" spans="1:48">
      <c r="A196">
        <v>0</v>
      </c>
      <c r="B196">
        <v>195</v>
      </c>
      <c r="C196" t="s">
        <v>230</v>
      </c>
      <c r="D196" t="s">
        <v>230</v>
      </c>
      <c r="E196" t="s">
        <v>230</v>
      </c>
      <c r="F196" t="s">
        <v>230</v>
      </c>
      <c r="G196" t="s">
        <v>230</v>
      </c>
      <c r="H196" t="s">
        <v>230</v>
      </c>
      <c r="I196" t="s">
        <v>230</v>
      </c>
      <c r="J196" t="s">
        <v>230</v>
      </c>
      <c r="K196" t="s">
        <v>230</v>
      </c>
      <c r="L196" t="s">
        <v>230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row>
    <row r="197" spans="1:48">
      <c r="A197">
        <v>0</v>
      </c>
      <c r="B197">
        <v>196</v>
      </c>
      <c r="C197" t="s">
        <v>230</v>
      </c>
      <c r="D197" t="s">
        <v>230</v>
      </c>
      <c r="E197" t="s">
        <v>230</v>
      </c>
      <c r="F197" t="s">
        <v>230</v>
      </c>
      <c r="G197" t="s">
        <v>230</v>
      </c>
      <c r="H197" t="s">
        <v>230</v>
      </c>
      <c r="I197" t="s">
        <v>230</v>
      </c>
      <c r="J197" t="s">
        <v>230</v>
      </c>
      <c r="K197" t="s">
        <v>230</v>
      </c>
      <c r="L197" t="s">
        <v>230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row>
    <row r="198" spans="1:48">
      <c r="A198">
        <v>0</v>
      </c>
      <c r="B198">
        <v>197</v>
      </c>
      <c r="C198" t="s">
        <v>230</v>
      </c>
      <c r="D198" t="s">
        <v>230</v>
      </c>
      <c r="E198" t="s">
        <v>230</v>
      </c>
      <c r="F198" t="s">
        <v>230</v>
      </c>
      <c r="G198" t="s">
        <v>230</v>
      </c>
      <c r="H198" t="s">
        <v>230</v>
      </c>
      <c r="I198" t="s">
        <v>230</v>
      </c>
      <c r="J198" t="s">
        <v>230</v>
      </c>
      <c r="K198" t="s">
        <v>230</v>
      </c>
      <c r="L198" t="s">
        <v>230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row>
    <row r="199" spans="1:48">
      <c r="A199">
        <v>0</v>
      </c>
      <c r="B199">
        <v>198</v>
      </c>
      <c r="C199" t="s">
        <v>230</v>
      </c>
      <c r="D199" t="s">
        <v>230</v>
      </c>
      <c r="E199" t="s">
        <v>230</v>
      </c>
      <c r="F199" t="s">
        <v>230</v>
      </c>
      <c r="G199" t="s">
        <v>230</v>
      </c>
      <c r="H199" t="s">
        <v>230</v>
      </c>
      <c r="I199" t="s">
        <v>230</v>
      </c>
      <c r="J199" t="s">
        <v>230</v>
      </c>
      <c r="K199" t="s">
        <v>230</v>
      </c>
      <c r="L199" t="s">
        <v>230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row>
    <row r="200" spans="1:48">
      <c r="A200">
        <v>0</v>
      </c>
      <c r="B200">
        <v>199</v>
      </c>
      <c r="C200" t="s">
        <v>230</v>
      </c>
      <c r="D200" t="s">
        <v>230</v>
      </c>
      <c r="E200" t="s">
        <v>230</v>
      </c>
      <c r="F200" t="s">
        <v>230</v>
      </c>
      <c r="G200" t="s">
        <v>230</v>
      </c>
      <c r="H200" t="s">
        <v>230</v>
      </c>
      <c r="I200" t="s">
        <v>230</v>
      </c>
      <c r="J200" t="s">
        <v>230</v>
      </c>
      <c r="K200" t="s">
        <v>230</v>
      </c>
      <c r="L200" t="s">
        <v>230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row>
    <row r="201" spans="1:48">
      <c r="A201">
        <v>0</v>
      </c>
      <c r="B201">
        <v>200</v>
      </c>
      <c r="C201" t="s">
        <v>230</v>
      </c>
      <c r="D201" t="s">
        <v>230</v>
      </c>
      <c r="E201" t="s">
        <v>230</v>
      </c>
      <c r="F201" t="s">
        <v>230</v>
      </c>
      <c r="G201" t="s">
        <v>230</v>
      </c>
      <c r="H201" t="s">
        <v>230</v>
      </c>
      <c r="I201" t="s">
        <v>230</v>
      </c>
      <c r="J201" t="s">
        <v>230</v>
      </c>
      <c r="K201" t="s">
        <v>230</v>
      </c>
      <c r="L201" t="s">
        <v>230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row>
    <row r="202" spans="1:48">
      <c r="A202">
        <v>0</v>
      </c>
      <c r="B202">
        <v>201</v>
      </c>
      <c r="C202" t="s">
        <v>230</v>
      </c>
      <c r="D202" t="s">
        <v>230</v>
      </c>
      <c r="E202" t="s">
        <v>230</v>
      </c>
      <c r="F202" t="s">
        <v>230</v>
      </c>
      <c r="G202" t="s">
        <v>230</v>
      </c>
      <c r="H202" t="s">
        <v>230</v>
      </c>
      <c r="I202" t="s">
        <v>230</v>
      </c>
      <c r="J202" t="s">
        <v>230</v>
      </c>
      <c r="K202" t="s">
        <v>230</v>
      </c>
      <c r="L202" t="s">
        <v>230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row>
    <row r="203" spans="1:48">
      <c r="A203">
        <v>0</v>
      </c>
      <c r="B203">
        <v>202</v>
      </c>
      <c r="C203" t="s">
        <v>230</v>
      </c>
      <c r="D203" t="s">
        <v>230</v>
      </c>
      <c r="E203" t="s">
        <v>230</v>
      </c>
      <c r="F203" t="s">
        <v>230</v>
      </c>
      <c r="G203" t="s">
        <v>230</v>
      </c>
      <c r="H203" t="s">
        <v>230</v>
      </c>
      <c r="I203" t="s">
        <v>230</v>
      </c>
      <c r="J203" t="s">
        <v>230</v>
      </c>
      <c r="K203" t="s">
        <v>230</v>
      </c>
      <c r="L203" t="s">
        <v>230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row>
    <row r="204" spans="1:48">
      <c r="A204">
        <v>0</v>
      </c>
      <c r="B204">
        <v>203</v>
      </c>
      <c r="C204" t="s">
        <v>230</v>
      </c>
      <c r="D204" t="s">
        <v>230</v>
      </c>
      <c r="E204" t="s">
        <v>230</v>
      </c>
      <c r="F204" t="s">
        <v>230</v>
      </c>
      <c r="G204" t="s">
        <v>230</v>
      </c>
      <c r="H204" t="s">
        <v>230</v>
      </c>
      <c r="I204" t="s">
        <v>230</v>
      </c>
      <c r="J204" t="s">
        <v>230</v>
      </c>
      <c r="K204" t="s">
        <v>230</v>
      </c>
      <c r="L204" t="s">
        <v>230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row>
    <row r="205" spans="1:48">
      <c r="A205">
        <v>0</v>
      </c>
      <c r="B205">
        <v>204</v>
      </c>
      <c r="C205" t="s">
        <v>230</v>
      </c>
      <c r="D205" t="s">
        <v>230</v>
      </c>
      <c r="E205" t="s">
        <v>230</v>
      </c>
      <c r="F205" t="s">
        <v>230</v>
      </c>
      <c r="G205" t="s">
        <v>230</v>
      </c>
      <c r="H205" t="s">
        <v>230</v>
      </c>
      <c r="I205" t="s">
        <v>230</v>
      </c>
      <c r="J205" t="s">
        <v>230</v>
      </c>
      <c r="K205" t="s">
        <v>230</v>
      </c>
      <c r="L205" t="s">
        <v>230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row>
    <row r="206" spans="1:48">
      <c r="A206">
        <v>0</v>
      </c>
      <c r="B206">
        <v>205</v>
      </c>
      <c r="C206" t="s">
        <v>230</v>
      </c>
      <c r="D206" t="s">
        <v>230</v>
      </c>
      <c r="E206" t="s">
        <v>230</v>
      </c>
      <c r="F206" t="s">
        <v>230</v>
      </c>
      <c r="G206" t="s">
        <v>230</v>
      </c>
      <c r="H206" t="s">
        <v>230</v>
      </c>
      <c r="I206" t="s">
        <v>230</v>
      </c>
      <c r="J206" t="s">
        <v>230</v>
      </c>
      <c r="K206" t="s">
        <v>230</v>
      </c>
      <c r="L206" t="s">
        <v>230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row>
    <row r="207" spans="1:48">
      <c r="A207">
        <v>0</v>
      </c>
      <c r="B207">
        <v>206</v>
      </c>
      <c r="C207" t="s">
        <v>230</v>
      </c>
      <c r="D207" t="s">
        <v>230</v>
      </c>
      <c r="E207" t="s">
        <v>230</v>
      </c>
      <c r="F207" t="s">
        <v>230</v>
      </c>
      <c r="G207" t="s">
        <v>230</v>
      </c>
      <c r="H207" t="s">
        <v>230</v>
      </c>
      <c r="I207" t="s">
        <v>230</v>
      </c>
      <c r="J207" t="s">
        <v>230</v>
      </c>
      <c r="K207" t="s">
        <v>230</v>
      </c>
      <c r="L207" t="s">
        <v>230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row>
    <row r="208" spans="1:48">
      <c r="A208">
        <v>0</v>
      </c>
      <c r="B208">
        <v>207</v>
      </c>
      <c r="C208" t="s">
        <v>230</v>
      </c>
      <c r="D208" t="s">
        <v>230</v>
      </c>
      <c r="E208" t="s">
        <v>230</v>
      </c>
      <c r="F208" t="s">
        <v>230</v>
      </c>
      <c r="G208" t="s">
        <v>230</v>
      </c>
      <c r="H208" t="s">
        <v>230</v>
      </c>
      <c r="I208" t="s">
        <v>230</v>
      </c>
      <c r="J208" t="s">
        <v>230</v>
      </c>
      <c r="K208" t="s">
        <v>230</v>
      </c>
      <c r="L208" t="s">
        <v>230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row>
    <row r="209" spans="1:48">
      <c r="A209">
        <v>0</v>
      </c>
      <c r="B209">
        <v>208</v>
      </c>
      <c r="C209" t="s">
        <v>230</v>
      </c>
      <c r="D209" t="s">
        <v>230</v>
      </c>
      <c r="E209" t="s">
        <v>230</v>
      </c>
      <c r="F209" t="s">
        <v>230</v>
      </c>
      <c r="G209" t="s">
        <v>230</v>
      </c>
      <c r="H209" t="s">
        <v>230</v>
      </c>
      <c r="I209" t="s">
        <v>230</v>
      </c>
      <c r="J209" t="s">
        <v>230</v>
      </c>
      <c r="K209" t="s">
        <v>230</v>
      </c>
      <c r="L209" t="s">
        <v>230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row>
    <row r="210" spans="1:48">
      <c r="A210">
        <v>0</v>
      </c>
      <c r="B210">
        <v>209</v>
      </c>
      <c r="C210" t="s">
        <v>230</v>
      </c>
      <c r="D210" t="s">
        <v>230</v>
      </c>
      <c r="E210" t="s">
        <v>230</v>
      </c>
      <c r="F210" t="s">
        <v>230</v>
      </c>
      <c r="G210" t="s">
        <v>230</v>
      </c>
      <c r="H210" t="s">
        <v>230</v>
      </c>
      <c r="I210" t="s">
        <v>230</v>
      </c>
      <c r="J210" t="s">
        <v>230</v>
      </c>
      <c r="K210" t="s">
        <v>230</v>
      </c>
      <c r="L210" t="s">
        <v>230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row>
    <row r="211" spans="1:48">
      <c r="A211">
        <v>0</v>
      </c>
      <c r="B211">
        <v>210</v>
      </c>
      <c r="C211" t="s">
        <v>230</v>
      </c>
      <c r="D211" t="s">
        <v>230</v>
      </c>
      <c r="E211" t="s">
        <v>230</v>
      </c>
      <c r="F211" t="s">
        <v>230</v>
      </c>
      <c r="G211" t="s">
        <v>230</v>
      </c>
      <c r="H211" t="s">
        <v>230</v>
      </c>
      <c r="I211" t="s">
        <v>230</v>
      </c>
      <c r="J211" t="s">
        <v>230</v>
      </c>
      <c r="K211" t="s">
        <v>230</v>
      </c>
      <c r="L211" t="s">
        <v>230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row>
    <row r="212" spans="1:48">
      <c r="A212">
        <v>0</v>
      </c>
      <c r="B212">
        <v>211</v>
      </c>
      <c r="C212" t="s">
        <v>230</v>
      </c>
      <c r="D212" t="s">
        <v>230</v>
      </c>
      <c r="E212" t="s">
        <v>230</v>
      </c>
      <c r="F212" t="s">
        <v>230</v>
      </c>
      <c r="G212" t="s">
        <v>230</v>
      </c>
      <c r="H212" t="s">
        <v>230</v>
      </c>
      <c r="I212" t="s">
        <v>230</v>
      </c>
      <c r="J212" t="s">
        <v>230</v>
      </c>
      <c r="K212" t="s">
        <v>230</v>
      </c>
      <c r="L212" t="s">
        <v>230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row>
    <row r="213" spans="1:48">
      <c r="A213">
        <v>0</v>
      </c>
      <c r="B213">
        <v>212</v>
      </c>
      <c r="C213" t="s">
        <v>230</v>
      </c>
      <c r="D213" t="s">
        <v>230</v>
      </c>
      <c r="E213" t="s">
        <v>230</v>
      </c>
      <c r="F213" t="s">
        <v>230</v>
      </c>
      <c r="G213" t="s">
        <v>230</v>
      </c>
      <c r="H213" t="s">
        <v>230</v>
      </c>
      <c r="I213" t="s">
        <v>230</v>
      </c>
      <c r="J213" t="s">
        <v>230</v>
      </c>
      <c r="K213" t="s">
        <v>230</v>
      </c>
      <c r="L213" t="s">
        <v>230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row>
    <row r="214" spans="1:48">
      <c r="A214">
        <v>0</v>
      </c>
      <c r="B214">
        <v>213</v>
      </c>
      <c r="C214" t="s">
        <v>230</v>
      </c>
      <c r="D214" t="s">
        <v>230</v>
      </c>
      <c r="E214" t="s">
        <v>230</v>
      </c>
      <c r="F214" t="s">
        <v>230</v>
      </c>
      <c r="G214" t="s">
        <v>230</v>
      </c>
      <c r="H214" t="s">
        <v>230</v>
      </c>
      <c r="I214" t="s">
        <v>230</v>
      </c>
      <c r="J214" t="s">
        <v>230</v>
      </c>
      <c r="K214" t="s">
        <v>230</v>
      </c>
      <c r="L214" t="s">
        <v>230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row>
    <row r="215" spans="1:48">
      <c r="A215">
        <v>0</v>
      </c>
      <c r="B215">
        <v>214</v>
      </c>
      <c r="C215" t="s">
        <v>230</v>
      </c>
      <c r="D215" t="s">
        <v>230</v>
      </c>
      <c r="E215" t="s">
        <v>230</v>
      </c>
      <c r="F215" t="s">
        <v>230</v>
      </c>
      <c r="G215" t="s">
        <v>230</v>
      </c>
      <c r="H215" t="s">
        <v>230</v>
      </c>
      <c r="I215" t="s">
        <v>230</v>
      </c>
      <c r="J215" t="s">
        <v>230</v>
      </c>
      <c r="K215" t="s">
        <v>230</v>
      </c>
      <c r="L215" t="s">
        <v>230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row>
    <row r="216" spans="1:48">
      <c r="A216">
        <v>0</v>
      </c>
      <c r="B216">
        <v>215</v>
      </c>
      <c r="C216" t="s">
        <v>230</v>
      </c>
      <c r="D216" t="s">
        <v>230</v>
      </c>
      <c r="E216" t="s">
        <v>230</v>
      </c>
      <c r="F216" t="s">
        <v>230</v>
      </c>
      <c r="G216" t="s">
        <v>230</v>
      </c>
      <c r="H216" t="s">
        <v>230</v>
      </c>
      <c r="I216" t="s">
        <v>230</v>
      </c>
      <c r="J216" t="s">
        <v>230</v>
      </c>
      <c r="K216" t="s">
        <v>230</v>
      </c>
      <c r="L216" t="s">
        <v>230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row>
    <row r="217" spans="1:48">
      <c r="A217">
        <v>0</v>
      </c>
      <c r="B217">
        <v>216</v>
      </c>
      <c r="C217" t="s">
        <v>230</v>
      </c>
      <c r="D217" t="s">
        <v>230</v>
      </c>
      <c r="E217" t="s">
        <v>230</v>
      </c>
      <c r="F217" t="s">
        <v>230</v>
      </c>
      <c r="G217" t="s">
        <v>230</v>
      </c>
      <c r="H217" t="s">
        <v>230</v>
      </c>
      <c r="I217" t="s">
        <v>230</v>
      </c>
      <c r="J217" t="s">
        <v>230</v>
      </c>
      <c r="K217" t="s">
        <v>230</v>
      </c>
      <c r="L217" t="s">
        <v>230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row>
    <row r="218" spans="1:48">
      <c r="A218">
        <v>0</v>
      </c>
      <c r="B218">
        <v>217</v>
      </c>
      <c r="C218" t="s">
        <v>230</v>
      </c>
      <c r="D218" t="s">
        <v>230</v>
      </c>
      <c r="E218" t="s">
        <v>230</v>
      </c>
      <c r="F218" t="s">
        <v>230</v>
      </c>
      <c r="G218" t="s">
        <v>230</v>
      </c>
      <c r="H218" t="s">
        <v>230</v>
      </c>
      <c r="I218" t="s">
        <v>230</v>
      </c>
      <c r="J218" t="s">
        <v>230</v>
      </c>
      <c r="K218" t="s">
        <v>230</v>
      </c>
      <c r="L218" t="s">
        <v>230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row>
    <row r="219" spans="1:48">
      <c r="A219">
        <v>0</v>
      </c>
      <c r="B219">
        <v>218</v>
      </c>
      <c r="C219" t="s">
        <v>230</v>
      </c>
      <c r="D219" t="s">
        <v>230</v>
      </c>
      <c r="E219" t="s">
        <v>230</v>
      </c>
      <c r="F219" t="s">
        <v>230</v>
      </c>
      <c r="G219" t="s">
        <v>230</v>
      </c>
      <c r="H219" t="s">
        <v>230</v>
      </c>
      <c r="I219" t="s">
        <v>230</v>
      </c>
      <c r="J219" t="s">
        <v>230</v>
      </c>
      <c r="K219" t="s">
        <v>230</v>
      </c>
      <c r="L219" t="s">
        <v>230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row>
    <row r="220" spans="1:48">
      <c r="A220">
        <v>0</v>
      </c>
      <c r="B220">
        <v>219</v>
      </c>
      <c r="C220" t="s">
        <v>230</v>
      </c>
      <c r="D220" t="s">
        <v>230</v>
      </c>
      <c r="E220" t="s">
        <v>230</v>
      </c>
      <c r="F220" t="s">
        <v>230</v>
      </c>
      <c r="G220" t="s">
        <v>230</v>
      </c>
      <c r="H220" t="s">
        <v>230</v>
      </c>
      <c r="I220" t="s">
        <v>230</v>
      </c>
      <c r="J220" t="s">
        <v>230</v>
      </c>
      <c r="K220" t="s">
        <v>230</v>
      </c>
      <c r="L220" t="s">
        <v>230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row>
    <row r="221" spans="1:48">
      <c r="A221">
        <v>0</v>
      </c>
      <c r="B221">
        <v>220</v>
      </c>
      <c r="C221" t="s">
        <v>230</v>
      </c>
      <c r="D221" t="s">
        <v>230</v>
      </c>
      <c r="E221" t="s">
        <v>230</v>
      </c>
      <c r="F221" t="s">
        <v>230</v>
      </c>
      <c r="G221" t="s">
        <v>230</v>
      </c>
      <c r="H221" t="s">
        <v>230</v>
      </c>
      <c r="I221" t="s">
        <v>230</v>
      </c>
      <c r="J221" t="s">
        <v>230</v>
      </c>
      <c r="K221" t="s">
        <v>230</v>
      </c>
      <c r="L221" t="s">
        <v>230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row>
    <row r="222" spans="1:48">
      <c r="A222">
        <v>0</v>
      </c>
      <c r="B222">
        <v>221</v>
      </c>
      <c r="C222" t="s">
        <v>230</v>
      </c>
      <c r="D222" t="s">
        <v>230</v>
      </c>
      <c r="E222" t="s">
        <v>230</v>
      </c>
      <c r="F222" t="s">
        <v>230</v>
      </c>
      <c r="G222" t="s">
        <v>230</v>
      </c>
      <c r="H222" t="s">
        <v>230</v>
      </c>
      <c r="I222" t="s">
        <v>230</v>
      </c>
      <c r="J222" t="s">
        <v>230</v>
      </c>
      <c r="K222" t="s">
        <v>230</v>
      </c>
      <c r="L222" t="s">
        <v>230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row>
    <row r="223" spans="1:48">
      <c r="A223">
        <v>0</v>
      </c>
      <c r="B223">
        <v>222</v>
      </c>
      <c r="C223" t="s">
        <v>230</v>
      </c>
      <c r="D223" t="s">
        <v>230</v>
      </c>
      <c r="E223" t="s">
        <v>230</v>
      </c>
      <c r="F223" t="s">
        <v>230</v>
      </c>
      <c r="G223" t="s">
        <v>230</v>
      </c>
      <c r="H223" t="s">
        <v>230</v>
      </c>
      <c r="I223" t="s">
        <v>230</v>
      </c>
      <c r="J223" t="s">
        <v>230</v>
      </c>
      <c r="K223" t="s">
        <v>230</v>
      </c>
      <c r="L223" t="s">
        <v>230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row>
    <row r="224" spans="1:48">
      <c r="A224">
        <v>0</v>
      </c>
      <c r="B224">
        <v>223</v>
      </c>
      <c r="C224" t="s">
        <v>230</v>
      </c>
      <c r="D224" t="s">
        <v>230</v>
      </c>
      <c r="E224" t="s">
        <v>230</v>
      </c>
      <c r="F224" t="s">
        <v>230</v>
      </c>
      <c r="G224" t="s">
        <v>230</v>
      </c>
      <c r="H224" t="s">
        <v>230</v>
      </c>
      <c r="I224" t="s">
        <v>230</v>
      </c>
      <c r="J224" t="s">
        <v>230</v>
      </c>
      <c r="K224" t="s">
        <v>230</v>
      </c>
      <c r="L224" t="s">
        <v>230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row>
    <row r="225" spans="1:48">
      <c r="A225">
        <v>0</v>
      </c>
      <c r="B225">
        <v>224</v>
      </c>
      <c r="C225" t="s">
        <v>230</v>
      </c>
      <c r="D225" t="s">
        <v>230</v>
      </c>
      <c r="E225" t="s">
        <v>230</v>
      </c>
      <c r="F225" t="s">
        <v>230</v>
      </c>
      <c r="G225" t="s">
        <v>230</v>
      </c>
      <c r="H225" t="s">
        <v>230</v>
      </c>
      <c r="I225" t="s">
        <v>230</v>
      </c>
      <c r="J225" t="s">
        <v>230</v>
      </c>
      <c r="K225" t="s">
        <v>230</v>
      </c>
      <c r="L225" t="s">
        <v>230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row>
    <row r="226" spans="1:48">
      <c r="A226">
        <v>0</v>
      </c>
      <c r="B226">
        <v>225</v>
      </c>
      <c r="C226" t="s">
        <v>230</v>
      </c>
      <c r="D226" t="s">
        <v>230</v>
      </c>
      <c r="E226" t="s">
        <v>230</v>
      </c>
      <c r="F226" t="s">
        <v>230</v>
      </c>
      <c r="G226" t="s">
        <v>230</v>
      </c>
      <c r="H226" t="s">
        <v>230</v>
      </c>
      <c r="I226" t="s">
        <v>230</v>
      </c>
      <c r="J226" t="s">
        <v>230</v>
      </c>
      <c r="K226" t="s">
        <v>230</v>
      </c>
      <c r="L226" t="s">
        <v>230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row>
    <row r="227" spans="1:48">
      <c r="A227">
        <v>0</v>
      </c>
      <c r="B227">
        <v>226</v>
      </c>
      <c r="C227" t="s">
        <v>230</v>
      </c>
      <c r="D227" t="s">
        <v>230</v>
      </c>
      <c r="E227" t="s">
        <v>230</v>
      </c>
      <c r="F227" t="s">
        <v>230</v>
      </c>
      <c r="G227" t="s">
        <v>230</v>
      </c>
      <c r="H227" t="s">
        <v>230</v>
      </c>
      <c r="I227" t="s">
        <v>230</v>
      </c>
      <c r="J227" t="s">
        <v>230</v>
      </c>
      <c r="K227" t="s">
        <v>230</v>
      </c>
      <c r="L227" t="s">
        <v>230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row>
    <row r="228" spans="1:48">
      <c r="A228">
        <v>0</v>
      </c>
      <c r="B228">
        <v>227</v>
      </c>
      <c r="C228" t="s">
        <v>230</v>
      </c>
      <c r="D228" t="s">
        <v>230</v>
      </c>
      <c r="E228" t="s">
        <v>230</v>
      </c>
      <c r="F228" t="s">
        <v>230</v>
      </c>
      <c r="G228" t="s">
        <v>230</v>
      </c>
      <c r="H228" t="s">
        <v>230</v>
      </c>
      <c r="I228" t="s">
        <v>230</v>
      </c>
      <c r="J228" t="s">
        <v>230</v>
      </c>
      <c r="K228" t="s">
        <v>230</v>
      </c>
      <c r="L228" t="s">
        <v>230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row>
    <row r="229" spans="1:48">
      <c r="A229">
        <v>0</v>
      </c>
      <c r="B229">
        <v>228</v>
      </c>
      <c r="C229" t="s">
        <v>230</v>
      </c>
      <c r="D229" t="s">
        <v>230</v>
      </c>
      <c r="E229" t="s">
        <v>230</v>
      </c>
      <c r="F229" t="s">
        <v>230</v>
      </c>
      <c r="G229" t="s">
        <v>230</v>
      </c>
      <c r="H229" t="s">
        <v>230</v>
      </c>
      <c r="I229" t="s">
        <v>230</v>
      </c>
      <c r="J229" t="s">
        <v>230</v>
      </c>
      <c r="K229" t="s">
        <v>230</v>
      </c>
      <c r="L229" t="s">
        <v>230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row>
    <row r="230" spans="1:48">
      <c r="A230">
        <v>0</v>
      </c>
      <c r="B230">
        <v>229</v>
      </c>
      <c r="C230" t="s">
        <v>230</v>
      </c>
      <c r="D230" t="s">
        <v>230</v>
      </c>
      <c r="E230" t="s">
        <v>230</v>
      </c>
      <c r="F230" t="s">
        <v>230</v>
      </c>
      <c r="G230" t="s">
        <v>230</v>
      </c>
      <c r="H230" t="s">
        <v>230</v>
      </c>
      <c r="I230" t="s">
        <v>230</v>
      </c>
      <c r="J230" t="s">
        <v>230</v>
      </c>
      <c r="K230" t="s">
        <v>230</v>
      </c>
      <c r="L230" t="s">
        <v>230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row>
    <row r="231" spans="1:48">
      <c r="A231">
        <v>0</v>
      </c>
      <c r="B231">
        <v>230</v>
      </c>
      <c r="C231" t="s">
        <v>230</v>
      </c>
      <c r="D231" t="s">
        <v>230</v>
      </c>
      <c r="E231" t="s">
        <v>230</v>
      </c>
      <c r="F231" t="s">
        <v>230</v>
      </c>
      <c r="G231" t="s">
        <v>230</v>
      </c>
      <c r="H231" t="s">
        <v>230</v>
      </c>
      <c r="I231" t="s">
        <v>230</v>
      </c>
      <c r="J231" t="s">
        <v>230</v>
      </c>
      <c r="K231" t="s">
        <v>230</v>
      </c>
      <c r="L231" t="s">
        <v>230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row>
    <row r="232" spans="1:48">
      <c r="A232">
        <v>0</v>
      </c>
      <c r="B232">
        <v>231</v>
      </c>
      <c r="C232" t="s">
        <v>230</v>
      </c>
      <c r="D232" t="s">
        <v>230</v>
      </c>
      <c r="E232" t="s">
        <v>230</v>
      </c>
      <c r="F232" t="s">
        <v>230</v>
      </c>
      <c r="G232" t="s">
        <v>230</v>
      </c>
      <c r="H232" t="s">
        <v>230</v>
      </c>
      <c r="I232" t="s">
        <v>230</v>
      </c>
      <c r="J232" t="s">
        <v>230</v>
      </c>
      <c r="K232" t="s">
        <v>230</v>
      </c>
      <c r="L232" t="s">
        <v>230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row>
    <row r="233" spans="1:48">
      <c r="A233">
        <v>0</v>
      </c>
      <c r="B233">
        <v>232</v>
      </c>
      <c r="C233" t="s">
        <v>230</v>
      </c>
      <c r="D233" t="s">
        <v>230</v>
      </c>
      <c r="E233" t="s">
        <v>230</v>
      </c>
      <c r="F233" t="s">
        <v>230</v>
      </c>
      <c r="G233" t="s">
        <v>230</v>
      </c>
      <c r="H233" t="s">
        <v>230</v>
      </c>
      <c r="I233" t="s">
        <v>230</v>
      </c>
      <c r="J233" t="s">
        <v>230</v>
      </c>
      <c r="K233" t="s">
        <v>230</v>
      </c>
      <c r="L233" t="s">
        <v>230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row>
    <row r="234" spans="1:48">
      <c r="A234">
        <v>0</v>
      </c>
      <c r="B234">
        <v>233</v>
      </c>
      <c r="C234" t="s">
        <v>230</v>
      </c>
      <c r="D234" t="s">
        <v>230</v>
      </c>
      <c r="E234" t="s">
        <v>230</v>
      </c>
      <c r="F234" t="s">
        <v>230</v>
      </c>
      <c r="G234" t="s">
        <v>230</v>
      </c>
      <c r="H234" t="s">
        <v>230</v>
      </c>
      <c r="I234" t="s">
        <v>230</v>
      </c>
      <c r="J234" t="s">
        <v>230</v>
      </c>
      <c r="K234" t="s">
        <v>230</v>
      </c>
      <c r="L234" t="s">
        <v>230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row>
    <row r="235" spans="1:48">
      <c r="A235">
        <v>0</v>
      </c>
      <c r="B235">
        <v>234</v>
      </c>
      <c r="C235" t="s">
        <v>230</v>
      </c>
      <c r="D235" t="s">
        <v>230</v>
      </c>
      <c r="E235" t="s">
        <v>230</v>
      </c>
      <c r="F235" t="s">
        <v>230</v>
      </c>
      <c r="G235" t="s">
        <v>230</v>
      </c>
      <c r="H235" t="s">
        <v>230</v>
      </c>
      <c r="I235" t="s">
        <v>230</v>
      </c>
      <c r="J235" t="s">
        <v>230</v>
      </c>
      <c r="K235" t="s">
        <v>230</v>
      </c>
      <c r="L235" t="s">
        <v>230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row>
    <row r="236" spans="1:48">
      <c r="A236">
        <v>0</v>
      </c>
      <c r="B236">
        <v>235</v>
      </c>
      <c r="C236" t="s">
        <v>230</v>
      </c>
      <c r="D236" t="s">
        <v>230</v>
      </c>
      <c r="E236" t="s">
        <v>230</v>
      </c>
      <c r="F236" t="s">
        <v>230</v>
      </c>
      <c r="G236" t="s">
        <v>230</v>
      </c>
      <c r="H236" t="s">
        <v>230</v>
      </c>
      <c r="I236" t="s">
        <v>230</v>
      </c>
      <c r="J236" t="s">
        <v>230</v>
      </c>
      <c r="K236" t="s">
        <v>230</v>
      </c>
      <c r="L236" t="s">
        <v>230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row>
    <row r="237" spans="1:48">
      <c r="A237">
        <v>0</v>
      </c>
      <c r="B237">
        <v>236</v>
      </c>
      <c r="C237" t="s">
        <v>230</v>
      </c>
      <c r="D237" t="s">
        <v>230</v>
      </c>
      <c r="E237" t="s">
        <v>230</v>
      </c>
      <c r="F237" t="s">
        <v>230</v>
      </c>
      <c r="G237" t="s">
        <v>230</v>
      </c>
      <c r="H237" t="s">
        <v>230</v>
      </c>
      <c r="I237" t="s">
        <v>230</v>
      </c>
      <c r="J237" t="s">
        <v>230</v>
      </c>
      <c r="K237" t="s">
        <v>230</v>
      </c>
      <c r="L237" t="s">
        <v>230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row>
    <row r="238" spans="1:48">
      <c r="A238">
        <v>0</v>
      </c>
      <c r="B238">
        <v>237</v>
      </c>
      <c r="C238" t="s">
        <v>230</v>
      </c>
      <c r="D238" t="s">
        <v>230</v>
      </c>
      <c r="E238" t="s">
        <v>230</v>
      </c>
      <c r="F238" t="s">
        <v>230</v>
      </c>
      <c r="G238" t="s">
        <v>230</v>
      </c>
      <c r="H238" t="s">
        <v>230</v>
      </c>
      <c r="I238" t="s">
        <v>230</v>
      </c>
      <c r="J238" t="s">
        <v>230</v>
      </c>
      <c r="K238" t="s">
        <v>230</v>
      </c>
      <c r="L238" t="s">
        <v>230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row>
    <row r="239" spans="1:48">
      <c r="A239">
        <v>0</v>
      </c>
      <c r="B239">
        <v>238</v>
      </c>
      <c r="C239" t="s">
        <v>230</v>
      </c>
      <c r="D239" t="s">
        <v>230</v>
      </c>
      <c r="E239" t="s">
        <v>230</v>
      </c>
      <c r="F239" t="s">
        <v>230</v>
      </c>
      <c r="G239" t="s">
        <v>230</v>
      </c>
      <c r="H239" t="s">
        <v>230</v>
      </c>
      <c r="I239" t="s">
        <v>230</v>
      </c>
      <c r="J239" t="s">
        <v>230</v>
      </c>
      <c r="K239" t="s">
        <v>230</v>
      </c>
      <c r="L239" t="s">
        <v>230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row>
    <row r="240" spans="1:48">
      <c r="A240">
        <v>0</v>
      </c>
      <c r="B240">
        <v>239</v>
      </c>
      <c r="C240" t="s">
        <v>230</v>
      </c>
      <c r="D240" t="s">
        <v>230</v>
      </c>
      <c r="E240" t="s">
        <v>230</v>
      </c>
      <c r="F240" t="s">
        <v>230</v>
      </c>
      <c r="G240" t="s">
        <v>230</v>
      </c>
      <c r="H240" t="s">
        <v>230</v>
      </c>
      <c r="I240" t="s">
        <v>230</v>
      </c>
      <c r="J240" t="s">
        <v>230</v>
      </c>
      <c r="K240" t="s">
        <v>230</v>
      </c>
      <c r="L240" t="s">
        <v>230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row>
    <row r="241" spans="1:48">
      <c r="A241">
        <v>0</v>
      </c>
      <c r="B241">
        <v>240</v>
      </c>
      <c r="C241" t="s">
        <v>230</v>
      </c>
      <c r="D241" t="s">
        <v>230</v>
      </c>
      <c r="E241" t="s">
        <v>230</v>
      </c>
      <c r="F241" t="s">
        <v>230</v>
      </c>
      <c r="G241" t="s">
        <v>230</v>
      </c>
      <c r="H241" t="s">
        <v>230</v>
      </c>
      <c r="I241" t="s">
        <v>230</v>
      </c>
      <c r="J241" t="s">
        <v>230</v>
      </c>
      <c r="K241" t="s">
        <v>230</v>
      </c>
      <c r="L241" t="s">
        <v>230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row>
    <row r="242" spans="1:48">
      <c r="A242">
        <v>0</v>
      </c>
      <c r="B242">
        <v>241</v>
      </c>
      <c r="C242" t="s">
        <v>230</v>
      </c>
      <c r="D242" t="s">
        <v>230</v>
      </c>
      <c r="E242" t="s">
        <v>230</v>
      </c>
      <c r="F242" t="s">
        <v>230</v>
      </c>
      <c r="G242" t="s">
        <v>230</v>
      </c>
      <c r="H242" t="s">
        <v>230</v>
      </c>
      <c r="I242" t="s">
        <v>230</v>
      </c>
      <c r="J242" t="s">
        <v>230</v>
      </c>
      <c r="K242" t="s">
        <v>230</v>
      </c>
      <c r="L242" t="s">
        <v>230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row>
    <row r="243" spans="1:48">
      <c r="A243">
        <v>0</v>
      </c>
      <c r="B243">
        <v>242</v>
      </c>
      <c r="C243" t="s">
        <v>230</v>
      </c>
      <c r="D243" t="s">
        <v>230</v>
      </c>
      <c r="E243" t="s">
        <v>230</v>
      </c>
      <c r="F243" t="s">
        <v>230</v>
      </c>
      <c r="G243" t="s">
        <v>230</v>
      </c>
      <c r="H243" t="s">
        <v>230</v>
      </c>
      <c r="I243" t="s">
        <v>230</v>
      </c>
      <c r="J243" t="s">
        <v>230</v>
      </c>
      <c r="K243" t="s">
        <v>230</v>
      </c>
      <c r="L243" t="s">
        <v>230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row>
    <row r="244" spans="1:48">
      <c r="A244">
        <v>0</v>
      </c>
      <c r="B244">
        <v>243</v>
      </c>
      <c r="C244" t="s">
        <v>230</v>
      </c>
      <c r="D244" t="s">
        <v>230</v>
      </c>
      <c r="E244" t="s">
        <v>230</v>
      </c>
      <c r="F244" t="s">
        <v>230</v>
      </c>
      <c r="G244" t="s">
        <v>230</v>
      </c>
      <c r="H244" t="s">
        <v>230</v>
      </c>
      <c r="I244" t="s">
        <v>230</v>
      </c>
      <c r="J244" t="s">
        <v>230</v>
      </c>
      <c r="K244" t="s">
        <v>230</v>
      </c>
      <c r="L244" t="s">
        <v>230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row>
    <row r="245" spans="1:48">
      <c r="A245">
        <v>0</v>
      </c>
      <c r="B245">
        <v>244</v>
      </c>
      <c r="C245" t="s">
        <v>230</v>
      </c>
      <c r="D245" t="s">
        <v>230</v>
      </c>
      <c r="E245" t="s">
        <v>230</v>
      </c>
      <c r="F245" t="s">
        <v>230</v>
      </c>
      <c r="G245" t="s">
        <v>230</v>
      </c>
      <c r="H245" t="s">
        <v>230</v>
      </c>
      <c r="I245" t="s">
        <v>230</v>
      </c>
      <c r="J245" t="s">
        <v>230</v>
      </c>
      <c r="K245" t="s">
        <v>230</v>
      </c>
      <c r="L245" t="s">
        <v>230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row>
    <row r="246" spans="1:48">
      <c r="A246">
        <v>0</v>
      </c>
      <c r="B246">
        <v>245</v>
      </c>
      <c r="C246" t="s">
        <v>230</v>
      </c>
      <c r="D246" t="s">
        <v>230</v>
      </c>
      <c r="E246" t="s">
        <v>230</v>
      </c>
      <c r="F246" t="s">
        <v>230</v>
      </c>
      <c r="G246" t="s">
        <v>230</v>
      </c>
      <c r="H246" t="s">
        <v>230</v>
      </c>
      <c r="I246" t="s">
        <v>230</v>
      </c>
      <c r="J246" t="s">
        <v>230</v>
      </c>
      <c r="K246" t="s">
        <v>230</v>
      </c>
      <c r="L246" t="s">
        <v>230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row>
    <row r="247" spans="1:48">
      <c r="A247">
        <v>0</v>
      </c>
      <c r="B247">
        <v>246</v>
      </c>
      <c r="C247" t="s">
        <v>230</v>
      </c>
      <c r="D247" t="s">
        <v>230</v>
      </c>
      <c r="E247" t="s">
        <v>230</v>
      </c>
      <c r="F247" t="s">
        <v>230</v>
      </c>
      <c r="G247" t="s">
        <v>230</v>
      </c>
      <c r="H247" t="s">
        <v>230</v>
      </c>
      <c r="I247" t="s">
        <v>230</v>
      </c>
      <c r="J247" t="s">
        <v>230</v>
      </c>
      <c r="K247" t="s">
        <v>230</v>
      </c>
      <c r="L247" t="s">
        <v>230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row>
    <row r="248" spans="1:48">
      <c r="A248">
        <v>0</v>
      </c>
      <c r="B248">
        <v>247</v>
      </c>
      <c r="C248" t="s">
        <v>230</v>
      </c>
      <c r="D248" t="s">
        <v>230</v>
      </c>
      <c r="E248" t="s">
        <v>230</v>
      </c>
      <c r="F248" t="s">
        <v>230</v>
      </c>
      <c r="G248" t="s">
        <v>230</v>
      </c>
      <c r="H248" t="s">
        <v>230</v>
      </c>
      <c r="I248" t="s">
        <v>230</v>
      </c>
      <c r="J248" t="s">
        <v>230</v>
      </c>
      <c r="K248" t="s">
        <v>230</v>
      </c>
      <c r="L248" t="s">
        <v>230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row>
    <row r="249" spans="1:48">
      <c r="A249">
        <v>0</v>
      </c>
      <c r="B249">
        <v>248</v>
      </c>
      <c r="C249" t="s">
        <v>230</v>
      </c>
      <c r="D249" t="s">
        <v>230</v>
      </c>
      <c r="E249" t="s">
        <v>230</v>
      </c>
      <c r="F249" t="s">
        <v>230</v>
      </c>
      <c r="G249" t="s">
        <v>230</v>
      </c>
      <c r="H249" t="s">
        <v>230</v>
      </c>
      <c r="I249" t="s">
        <v>230</v>
      </c>
      <c r="J249" t="s">
        <v>230</v>
      </c>
      <c r="K249" t="s">
        <v>230</v>
      </c>
      <c r="L249" t="s">
        <v>230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row>
    <row r="250" spans="1:48">
      <c r="A250">
        <v>0</v>
      </c>
      <c r="B250">
        <v>249</v>
      </c>
      <c r="C250" t="s">
        <v>230</v>
      </c>
      <c r="D250" t="s">
        <v>230</v>
      </c>
      <c r="E250" t="s">
        <v>230</v>
      </c>
      <c r="F250" t="s">
        <v>230</v>
      </c>
      <c r="G250" t="s">
        <v>230</v>
      </c>
      <c r="H250" t="s">
        <v>230</v>
      </c>
      <c r="I250" t="s">
        <v>230</v>
      </c>
      <c r="J250" t="s">
        <v>230</v>
      </c>
      <c r="K250" t="s">
        <v>230</v>
      </c>
      <c r="L250" t="s">
        <v>230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row>
    <row r="251" spans="1:48">
      <c r="A251">
        <v>0</v>
      </c>
      <c r="B251">
        <v>250</v>
      </c>
      <c r="C251" t="s">
        <v>230</v>
      </c>
      <c r="D251" t="s">
        <v>230</v>
      </c>
      <c r="E251" t="s">
        <v>230</v>
      </c>
      <c r="F251" t="s">
        <v>230</v>
      </c>
      <c r="G251" t="s">
        <v>230</v>
      </c>
      <c r="H251" t="s">
        <v>230</v>
      </c>
      <c r="I251" t="s">
        <v>230</v>
      </c>
      <c r="J251" t="s">
        <v>230</v>
      </c>
      <c r="K251" t="s">
        <v>230</v>
      </c>
      <c r="L251" t="s">
        <v>230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row>
    <row r="252" spans="1:48">
      <c r="A252">
        <v>0</v>
      </c>
      <c r="B252">
        <v>251</v>
      </c>
      <c r="C252" t="s">
        <v>230</v>
      </c>
      <c r="D252" t="s">
        <v>230</v>
      </c>
      <c r="E252" t="s">
        <v>230</v>
      </c>
      <c r="F252" t="s">
        <v>230</v>
      </c>
      <c r="G252" t="s">
        <v>230</v>
      </c>
      <c r="H252" t="s">
        <v>230</v>
      </c>
      <c r="I252" t="s">
        <v>230</v>
      </c>
      <c r="J252" t="s">
        <v>230</v>
      </c>
      <c r="K252" t="s">
        <v>230</v>
      </c>
      <c r="L252" t="s">
        <v>230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row>
    <row r="253" spans="1:48">
      <c r="A253">
        <v>0</v>
      </c>
      <c r="B253">
        <v>252</v>
      </c>
      <c r="C253" t="s">
        <v>230</v>
      </c>
      <c r="D253" t="s">
        <v>230</v>
      </c>
      <c r="E253" t="s">
        <v>230</v>
      </c>
      <c r="F253" t="s">
        <v>230</v>
      </c>
      <c r="G253" t="s">
        <v>230</v>
      </c>
      <c r="H253" t="s">
        <v>230</v>
      </c>
      <c r="I253" t="s">
        <v>230</v>
      </c>
      <c r="J253" t="s">
        <v>230</v>
      </c>
      <c r="K253" t="s">
        <v>230</v>
      </c>
      <c r="L253" t="s">
        <v>230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row>
    <row r="254" spans="1:48">
      <c r="A254">
        <v>0</v>
      </c>
      <c r="B254">
        <v>253</v>
      </c>
      <c r="C254" t="s">
        <v>230</v>
      </c>
      <c r="D254" t="s">
        <v>230</v>
      </c>
      <c r="E254" t="s">
        <v>230</v>
      </c>
      <c r="F254" t="s">
        <v>230</v>
      </c>
      <c r="G254" t="s">
        <v>230</v>
      </c>
      <c r="H254" t="s">
        <v>230</v>
      </c>
      <c r="I254" t="s">
        <v>230</v>
      </c>
      <c r="J254" t="s">
        <v>230</v>
      </c>
      <c r="K254" t="s">
        <v>230</v>
      </c>
      <c r="L254" t="s">
        <v>230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row>
    <row r="255" spans="1:48">
      <c r="A255">
        <v>0</v>
      </c>
      <c r="B255">
        <v>254</v>
      </c>
      <c r="C255" t="s">
        <v>230</v>
      </c>
      <c r="D255" t="s">
        <v>230</v>
      </c>
      <c r="E255" t="s">
        <v>230</v>
      </c>
      <c r="F255" t="s">
        <v>230</v>
      </c>
      <c r="G255" t="s">
        <v>230</v>
      </c>
      <c r="H255" t="s">
        <v>230</v>
      </c>
      <c r="I255" t="s">
        <v>230</v>
      </c>
      <c r="J255" t="s">
        <v>230</v>
      </c>
      <c r="K255" t="s">
        <v>230</v>
      </c>
      <c r="L255" t="s">
        <v>230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row>
    <row r="256" spans="1:48">
      <c r="A256">
        <v>0</v>
      </c>
      <c r="B256">
        <v>255</v>
      </c>
      <c r="C256" t="s">
        <v>230</v>
      </c>
      <c r="D256" t="s">
        <v>230</v>
      </c>
      <c r="E256" t="s">
        <v>230</v>
      </c>
      <c r="F256" t="s">
        <v>230</v>
      </c>
      <c r="G256" t="s">
        <v>230</v>
      </c>
      <c r="H256" t="s">
        <v>230</v>
      </c>
      <c r="I256" t="s">
        <v>230</v>
      </c>
      <c r="J256" t="s">
        <v>230</v>
      </c>
      <c r="K256" t="s">
        <v>230</v>
      </c>
      <c r="L256" t="s">
        <v>230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row>
    <row r="257" spans="1:48">
      <c r="A257">
        <v>0</v>
      </c>
      <c r="B257">
        <v>256</v>
      </c>
      <c r="C257" t="s">
        <v>230</v>
      </c>
      <c r="D257" t="s">
        <v>230</v>
      </c>
      <c r="E257" t="s">
        <v>230</v>
      </c>
      <c r="F257" t="s">
        <v>230</v>
      </c>
      <c r="G257" t="s">
        <v>230</v>
      </c>
      <c r="H257" t="s">
        <v>230</v>
      </c>
      <c r="I257" t="s">
        <v>230</v>
      </c>
      <c r="J257" t="s">
        <v>230</v>
      </c>
      <c r="K257" t="s">
        <v>230</v>
      </c>
      <c r="L257" t="s">
        <v>230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row>
    <row r="258" spans="1:48">
      <c r="A258">
        <v>0</v>
      </c>
      <c r="B258">
        <v>257</v>
      </c>
      <c r="C258" t="s">
        <v>230</v>
      </c>
      <c r="D258" t="s">
        <v>230</v>
      </c>
      <c r="E258" t="s">
        <v>230</v>
      </c>
      <c r="F258" t="s">
        <v>230</v>
      </c>
      <c r="G258" t="s">
        <v>230</v>
      </c>
      <c r="H258" t="s">
        <v>230</v>
      </c>
      <c r="I258" t="s">
        <v>230</v>
      </c>
      <c r="J258" t="s">
        <v>230</v>
      </c>
      <c r="K258" t="s">
        <v>230</v>
      </c>
      <c r="L258" t="s">
        <v>230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row>
    <row r="259" spans="1:48">
      <c r="A259">
        <v>0</v>
      </c>
      <c r="B259">
        <v>258</v>
      </c>
      <c r="C259" t="s">
        <v>230</v>
      </c>
      <c r="D259" t="s">
        <v>230</v>
      </c>
      <c r="E259" t="s">
        <v>230</v>
      </c>
      <c r="F259" t="s">
        <v>230</v>
      </c>
      <c r="G259" t="s">
        <v>230</v>
      </c>
      <c r="H259" t="s">
        <v>230</v>
      </c>
      <c r="I259" t="s">
        <v>230</v>
      </c>
      <c r="J259" t="s">
        <v>230</v>
      </c>
      <c r="K259" t="s">
        <v>230</v>
      </c>
      <c r="L259" t="s">
        <v>230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row>
    <row r="260" spans="1:48">
      <c r="A260">
        <v>0</v>
      </c>
      <c r="B260">
        <v>259</v>
      </c>
      <c r="C260" t="s">
        <v>230</v>
      </c>
      <c r="D260" t="s">
        <v>230</v>
      </c>
      <c r="E260" t="s">
        <v>230</v>
      </c>
      <c r="F260" t="s">
        <v>230</v>
      </c>
      <c r="G260" t="s">
        <v>230</v>
      </c>
      <c r="H260" t="s">
        <v>230</v>
      </c>
      <c r="I260" t="s">
        <v>230</v>
      </c>
      <c r="J260" t="s">
        <v>230</v>
      </c>
      <c r="K260" t="s">
        <v>230</v>
      </c>
      <c r="L260" t="s">
        <v>230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row>
    <row r="261" spans="1:48">
      <c r="A261">
        <v>0</v>
      </c>
      <c r="B261">
        <v>260</v>
      </c>
      <c r="C261" t="s">
        <v>230</v>
      </c>
      <c r="D261" t="s">
        <v>230</v>
      </c>
      <c r="E261" t="s">
        <v>230</v>
      </c>
      <c r="F261" t="s">
        <v>230</v>
      </c>
      <c r="G261" t="s">
        <v>230</v>
      </c>
      <c r="H261" t="s">
        <v>230</v>
      </c>
      <c r="I261" t="s">
        <v>230</v>
      </c>
      <c r="J261" t="s">
        <v>230</v>
      </c>
      <c r="K261" t="s">
        <v>230</v>
      </c>
      <c r="L261" t="s">
        <v>230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row>
    <row r="262" spans="1:48">
      <c r="A262">
        <v>0</v>
      </c>
      <c r="B262">
        <v>261</v>
      </c>
      <c r="C262" t="s">
        <v>230</v>
      </c>
      <c r="D262" t="s">
        <v>230</v>
      </c>
      <c r="E262" t="s">
        <v>230</v>
      </c>
      <c r="F262" t="s">
        <v>230</v>
      </c>
      <c r="G262" t="s">
        <v>230</v>
      </c>
      <c r="H262" t="s">
        <v>230</v>
      </c>
      <c r="I262" t="s">
        <v>230</v>
      </c>
      <c r="J262" t="s">
        <v>230</v>
      </c>
      <c r="K262" t="s">
        <v>230</v>
      </c>
      <c r="L262" t="s">
        <v>230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row>
    <row r="263" spans="1:48">
      <c r="A263">
        <v>0</v>
      </c>
      <c r="B263">
        <v>262</v>
      </c>
      <c r="C263" t="s">
        <v>230</v>
      </c>
      <c r="D263" t="s">
        <v>230</v>
      </c>
      <c r="E263" t="s">
        <v>230</v>
      </c>
      <c r="F263" t="s">
        <v>230</v>
      </c>
      <c r="G263" t="s">
        <v>230</v>
      </c>
      <c r="H263" t="s">
        <v>230</v>
      </c>
      <c r="I263" t="s">
        <v>230</v>
      </c>
      <c r="J263" t="s">
        <v>230</v>
      </c>
      <c r="K263" t="s">
        <v>230</v>
      </c>
      <c r="L263" t="s">
        <v>230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row>
    <row r="264" spans="1:48">
      <c r="A264">
        <v>0</v>
      </c>
      <c r="B264">
        <v>263</v>
      </c>
      <c r="C264" t="s">
        <v>230</v>
      </c>
      <c r="D264" t="s">
        <v>230</v>
      </c>
      <c r="E264" t="s">
        <v>230</v>
      </c>
      <c r="F264" t="s">
        <v>230</v>
      </c>
      <c r="G264" t="s">
        <v>230</v>
      </c>
      <c r="H264" t="s">
        <v>230</v>
      </c>
      <c r="I264" t="s">
        <v>230</v>
      </c>
      <c r="J264" t="s">
        <v>230</v>
      </c>
      <c r="K264" t="s">
        <v>230</v>
      </c>
      <c r="L264" t="s">
        <v>230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row>
    <row r="265" spans="1:48">
      <c r="A265">
        <v>0</v>
      </c>
      <c r="B265">
        <v>264</v>
      </c>
      <c r="C265" t="s">
        <v>230</v>
      </c>
      <c r="D265" t="s">
        <v>230</v>
      </c>
      <c r="E265" t="s">
        <v>230</v>
      </c>
      <c r="F265" t="s">
        <v>230</v>
      </c>
      <c r="G265" t="s">
        <v>230</v>
      </c>
      <c r="H265" t="s">
        <v>230</v>
      </c>
      <c r="I265" t="s">
        <v>230</v>
      </c>
      <c r="J265" t="s">
        <v>230</v>
      </c>
      <c r="K265" t="s">
        <v>230</v>
      </c>
      <c r="L265" t="s">
        <v>230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row>
    <row r="266" spans="1:48">
      <c r="A266">
        <v>0</v>
      </c>
      <c r="B266">
        <v>265</v>
      </c>
      <c r="C266" t="s">
        <v>230</v>
      </c>
      <c r="D266" t="s">
        <v>230</v>
      </c>
      <c r="E266" t="s">
        <v>230</v>
      </c>
      <c r="F266" t="s">
        <v>230</v>
      </c>
      <c r="G266" t="s">
        <v>230</v>
      </c>
      <c r="H266" t="s">
        <v>230</v>
      </c>
      <c r="I266" t="s">
        <v>230</v>
      </c>
      <c r="J266" t="s">
        <v>230</v>
      </c>
      <c r="K266" t="s">
        <v>230</v>
      </c>
      <c r="L266" t="s">
        <v>230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row>
    <row r="267" spans="1:48">
      <c r="A267">
        <v>0</v>
      </c>
      <c r="B267">
        <v>266</v>
      </c>
      <c r="C267" t="s">
        <v>230</v>
      </c>
      <c r="D267" t="s">
        <v>230</v>
      </c>
      <c r="E267" t="s">
        <v>230</v>
      </c>
      <c r="F267" t="s">
        <v>230</v>
      </c>
      <c r="G267" t="s">
        <v>230</v>
      </c>
      <c r="H267" t="s">
        <v>230</v>
      </c>
      <c r="I267" t="s">
        <v>230</v>
      </c>
      <c r="J267" t="s">
        <v>230</v>
      </c>
      <c r="K267" t="s">
        <v>230</v>
      </c>
      <c r="L267" t="s">
        <v>230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row>
    <row r="268" spans="1:48">
      <c r="A268">
        <v>0</v>
      </c>
      <c r="B268">
        <v>267</v>
      </c>
      <c r="C268" t="s">
        <v>230</v>
      </c>
      <c r="D268" t="s">
        <v>230</v>
      </c>
      <c r="E268" t="s">
        <v>230</v>
      </c>
      <c r="F268" t="s">
        <v>230</v>
      </c>
      <c r="G268" t="s">
        <v>230</v>
      </c>
      <c r="H268" t="s">
        <v>230</v>
      </c>
      <c r="I268" t="s">
        <v>230</v>
      </c>
      <c r="J268" t="s">
        <v>230</v>
      </c>
      <c r="K268" t="s">
        <v>230</v>
      </c>
      <c r="L268" t="s">
        <v>230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row>
    <row r="269" spans="1:48">
      <c r="A269">
        <v>0</v>
      </c>
      <c r="B269">
        <v>268</v>
      </c>
      <c r="C269" t="s">
        <v>230</v>
      </c>
      <c r="D269" t="s">
        <v>230</v>
      </c>
      <c r="E269" t="s">
        <v>230</v>
      </c>
      <c r="F269" t="s">
        <v>230</v>
      </c>
      <c r="G269" t="s">
        <v>230</v>
      </c>
      <c r="H269" t="s">
        <v>230</v>
      </c>
      <c r="I269" t="s">
        <v>230</v>
      </c>
      <c r="J269" t="s">
        <v>230</v>
      </c>
      <c r="K269" t="s">
        <v>230</v>
      </c>
      <c r="L269" t="s">
        <v>230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row>
    <row r="270" spans="1:48">
      <c r="A270">
        <v>0</v>
      </c>
      <c r="B270">
        <v>269</v>
      </c>
      <c r="C270" t="s">
        <v>230</v>
      </c>
      <c r="D270" t="s">
        <v>230</v>
      </c>
      <c r="E270" t="s">
        <v>230</v>
      </c>
      <c r="F270" t="s">
        <v>230</v>
      </c>
      <c r="G270" t="s">
        <v>230</v>
      </c>
      <c r="H270" t="s">
        <v>230</v>
      </c>
      <c r="I270" t="s">
        <v>230</v>
      </c>
      <c r="J270" t="s">
        <v>230</v>
      </c>
      <c r="K270" t="s">
        <v>230</v>
      </c>
      <c r="L270" t="s">
        <v>230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row>
    <row r="271" spans="1:48">
      <c r="A271">
        <v>0</v>
      </c>
      <c r="B271">
        <v>270</v>
      </c>
      <c r="C271" t="s">
        <v>230</v>
      </c>
      <c r="D271" t="s">
        <v>230</v>
      </c>
      <c r="E271" t="s">
        <v>230</v>
      </c>
      <c r="F271" t="s">
        <v>230</v>
      </c>
      <c r="G271" t="s">
        <v>230</v>
      </c>
      <c r="H271" t="s">
        <v>230</v>
      </c>
      <c r="I271" t="s">
        <v>230</v>
      </c>
      <c r="J271" t="s">
        <v>230</v>
      </c>
      <c r="K271" t="s">
        <v>230</v>
      </c>
      <c r="L271" t="s">
        <v>230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row>
    <row r="272" spans="1:48">
      <c r="A272">
        <v>0</v>
      </c>
      <c r="B272">
        <v>271</v>
      </c>
      <c r="C272" t="s">
        <v>230</v>
      </c>
      <c r="D272" t="s">
        <v>230</v>
      </c>
      <c r="E272" t="s">
        <v>230</v>
      </c>
      <c r="F272" t="s">
        <v>230</v>
      </c>
      <c r="G272" t="s">
        <v>230</v>
      </c>
      <c r="H272" t="s">
        <v>230</v>
      </c>
      <c r="I272" t="s">
        <v>230</v>
      </c>
      <c r="J272" t="s">
        <v>230</v>
      </c>
      <c r="K272" t="s">
        <v>230</v>
      </c>
      <c r="L272" t="s">
        <v>230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row>
    <row r="273" spans="1:48">
      <c r="A273">
        <v>0</v>
      </c>
      <c r="B273">
        <v>272</v>
      </c>
      <c r="C273" t="s">
        <v>230</v>
      </c>
      <c r="D273" t="s">
        <v>230</v>
      </c>
      <c r="E273" t="s">
        <v>230</v>
      </c>
      <c r="F273" t="s">
        <v>230</v>
      </c>
      <c r="G273" t="s">
        <v>230</v>
      </c>
      <c r="H273" t="s">
        <v>230</v>
      </c>
      <c r="I273" t="s">
        <v>230</v>
      </c>
      <c r="J273" t="s">
        <v>230</v>
      </c>
      <c r="K273" t="s">
        <v>230</v>
      </c>
      <c r="L273" t="s">
        <v>230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row>
    <row r="274" spans="1:48">
      <c r="A274">
        <v>0</v>
      </c>
      <c r="B274">
        <v>273</v>
      </c>
      <c r="C274" t="s">
        <v>230</v>
      </c>
      <c r="D274" t="s">
        <v>230</v>
      </c>
      <c r="E274" t="s">
        <v>230</v>
      </c>
      <c r="F274" t="s">
        <v>230</v>
      </c>
      <c r="G274" t="s">
        <v>230</v>
      </c>
      <c r="H274" t="s">
        <v>230</v>
      </c>
      <c r="I274" t="s">
        <v>230</v>
      </c>
      <c r="J274" t="s">
        <v>230</v>
      </c>
      <c r="K274" t="s">
        <v>230</v>
      </c>
      <c r="L274" t="s">
        <v>230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row>
    <row r="275" spans="1:48">
      <c r="A275">
        <v>0</v>
      </c>
      <c r="B275">
        <v>274</v>
      </c>
      <c r="C275" t="s">
        <v>230</v>
      </c>
      <c r="D275" t="s">
        <v>230</v>
      </c>
      <c r="E275" t="s">
        <v>230</v>
      </c>
      <c r="F275" t="s">
        <v>230</v>
      </c>
      <c r="G275" t="s">
        <v>230</v>
      </c>
      <c r="H275" t="s">
        <v>230</v>
      </c>
      <c r="I275" t="s">
        <v>230</v>
      </c>
      <c r="J275" t="s">
        <v>230</v>
      </c>
      <c r="K275" t="s">
        <v>230</v>
      </c>
      <c r="L275" t="s">
        <v>230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row>
    <row r="276" spans="1:48">
      <c r="A276">
        <v>0</v>
      </c>
      <c r="B276">
        <v>275</v>
      </c>
      <c r="C276" t="s">
        <v>230</v>
      </c>
      <c r="D276" t="s">
        <v>230</v>
      </c>
      <c r="E276" t="s">
        <v>230</v>
      </c>
      <c r="F276" t="s">
        <v>230</v>
      </c>
      <c r="G276" t="s">
        <v>230</v>
      </c>
      <c r="H276" t="s">
        <v>230</v>
      </c>
      <c r="I276" t="s">
        <v>230</v>
      </c>
      <c r="J276" t="s">
        <v>230</v>
      </c>
      <c r="K276" t="s">
        <v>230</v>
      </c>
      <c r="L276" t="s">
        <v>230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row>
    <row r="277" spans="1:48">
      <c r="A277">
        <v>0</v>
      </c>
      <c r="B277">
        <v>276</v>
      </c>
      <c r="C277" t="s">
        <v>230</v>
      </c>
      <c r="D277" t="s">
        <v>230</v>
      </c>
      <c r="E277" t="s">
        <v>230</v>
      </c>
      <c r="F277" t="s">
        <v>230</v>
      </c>
      <c r="G277" t="s">
        <v>230</v>
      </c>
      <c r="H277" t="s">
        <v>230</v>
      </c>
      <c r="I277" t="s">
        <v>230</v>
      </c>
      <c r="J277" t="s">
        <v>230</v>
      </c>
      <c r="K277" t="s">
        <v>230</v>
      </c>
      <c r="L277" t="s">
        <v>230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row>
    <row r="278" spans="1:48">
      <c r="A278">
        <v>0</v>
      </c>
      <c r="B278">
        <v>277</v>
      </c>
      <c r="C278" t="s">
        <v>230</v>
      </c>
      <c r="D278" t="s">
        <v>230</v>
      </c>
      <c r="E278" t="s">
        <v>230</v>
      </c>
      <c r="F278" t="s">
        <v>230</v>
      </c>
      <c r="G278" t="s">
        <v>230</v>
      </c>
      <c r="H278" t="s">
        <v>230</v>
      </c>
      <c r="I278" t="s">
        <v>230</v>
      </c>
      <c r="J278" t="s">
        <v>230</v>
      </c>
      <c r="K278" t="s">
        <v>230</v>
      </c>
      <c r="L278" t="s">
        <v>230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row>
    <row r="279" spans="1:48">
      <c r="A279">
        <v>0</v>
      </c>
      <c r="B279">
        <v>278</v>
      </c>
      <c r="C279" t="s">
        <v>230</v>
      </c>
      <c r="D279" t="s">
        <v>230</v>
      </c>
      <c r="E279" t="s">
        <v>230</v>
      </c>
      <c r="F279" t="s">
        <v>230</v>
      </c>
      <c r="G279" t="s">
        <v>230</v>
      </c>
      <c r="H279" t="s">
        <v>230</v>
      </c>
      <c r="I279" t="s">
        <v>230</v>
      </c>
      <c r="J279" t="s">
        <v>230</v>
      </c>
      <c r="K279" t="s">
        <v>230</v>
      </c>
      <c r="L279" t="s">
        <v>230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row>
    <row r="280" spans="1:48">
      <c r="A280">
        <v>0</v>
      </c>
      <c r="B280">
        <v>279</v>
      </c>
      <c r="C280" t="s">
        <v>230</v>
      </c>
      <c r="D280" t="s">
        <v>230</v>
      </c>
      <c r="E280" t="s">
        <v>230</v>
      </c>
      <c r="F280" t="s">
        <v>230</v>
      </c>
      <c r="G280" t="s">
        <v>230</v>
      </c>
      <c r="H280" t="s">
        <v>230</v>
      </c>
      <c r="I280" t="s">
        <v>230</v>
      </c>
      <c r="J280" t="s">
        <v>230</v>
      </c>
      <c r="K280" t="s">
        <v>230</v>
      </c>
      <c r="L280" t="s">
        <v>230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row>
    <row r="281" spans="1:48">
      <c r="A281">
        <v>0</v>
      </c>
      <c r="B281">
        <v>280</v>
      </c>
      <c r="C281" t="s">
        <v>230</v>
      </c>
      <c r="D281" t="s">
        <v>230</v>
      </c>
      <c r="E281" t="s">
        <v>230</v>
      </c>
      <c r="F281" t="s">
        <v>230</v>
      </c>
      <c r="G281" t="s">
        <v>230</v>
      </c>
      <c r="H281" t="s">
        <v>230</v>
      </c>
      <c r="I281" t="s">
        <v>230</v>
      </c>
      <c r="J281" t="s">
        <v>230</v>
      </c>
      <c r="K281" t="s">
        <v>230</v>
      </c>
      <c r="L281" t="s">
        <v>230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row>
    <row r="282" spans="1:48">
      <c r="A282">
        <v>0</v>
      </c>
      <c r="B282">
        <v>281</v>
      </c>
      <c r="C282" t="s">
        <v>230</v>
      </c>
      <c r="D282" t="s">
        <v>230</v>
      </c>
      <c r="E282" t="s">
        <v>230</v>
      </c>
      <c r="F282" t="s">
        <v>230</v>
      </c>
      <c r="G282" t="s">
        <v>230</v>
      </c>
      <c r="H282" t="s">
        <v>230</v>
      </c>
      <c r="I282" t="s">
        <v>230</v>
      </c>
      <c r="J282" t="s">
        <v>230</v>
      </c>
      <c r="K282" t="s">
        <v>230</v>
      </c>
      <c r="L282" t="s">
        <v>230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row>
    <row r="283" spans="1:48">
      <c r="A283">
        <v>0</v>
      </c>
      <c r="B283">
        <v>282</v>
      </c>
      <c r="C283" t="s">
        <v>230</v>
      </c>
      <c r="D283" t="s">
        <v>230</v>
      </c>
      <c r="E283" t="s">
        <v>230</v>
      </c>
      <c r="F283" t="s">
        <v>230</v>
      </c>
      <c r="G283" t="s">
        <v>230</v>
      </c>
      <c r="H283" t="s">
        <v>230</v>
      </c>
      <c r="I283" t="s">
        <v>230</v>
      </c>
      <c r="J283" t="s">
        <v>230</v>
      </c>
      <c r="K283" t="s">
        <v>230</v>
      </c>
      <c r="L283" t="s">
        <v>230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row>
    <row r="284" spans="1:48">
      <c r="A284">
        <v>0</v>
      </c>
      <c r="B284">
        <v>283</v>
      </c>
      <c r="C284" t="s">
        <v>230</v>
      </c>
      <c r="D284" t="s">
        <v>230</v>
      </c>
      <c r="E284" t="s">
        <v>230</v>
      </c>
      <c r="F284" t="s">
        <v>230</v>
      </c>
      <c r="G284" t="s">
        <v>230</v>
      </c>
      <c r="H284" t="s">
        <v>230</v>
      </c>
      <c r="I284" t="s">
        <v>230</v>
      </c>
      <c r="J284" t="s">
        <v>230</v>
      </c>
      <c r="K284" t="s">
        <v>230</v>
      </c>
      <c r="L284" t="s">
        <v>230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row>
    <row r="285" spans="1:48">
      <c r="A285">
        <v>0</v>
      </c>
      <c r="B285">
        <v>284</v>
      </c>
      <c r="C285" t="s">
        <v>230</v>
      </c>
      <c r="D285" t="s">
        <v>230</v>
      </c>
      <c r="E285" t="s">
        <v>230</v>
      </c>
      <c r="F285" t="s">
        <v>230</v>
      </c>
      <c r="G285" t="s">
        <v>230</v>
      </c>
      <c r="H285" t="s">
        <v>230</v>
      </c>
      <c r="I285" t="s">
        <v>230</v>
      </c>
      <c r="J285" t="s">
        <v>230</v>
      </c>
      <c r="K285" t="s">
        <v>230</v>
      </c>
      <c r="L285" t="s">
        <v>230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row>
    <row r="286" spans="1:48">
      <c r="A286">
        <v>0</v>
      </c>
      <c r="B286">
        <v>285</v>
      </c>
      <c r="C286" t="s">
        <v>230</v>
      </c>
      <c r="D286" t="s">
        <v>230</v>
      </c>
      <c r="E286" t="s">
        <v>230</v>
      </c>
      <c r="F286" t="s">
        <v>230</v>
      </c>
      <c r="G286" t="s">
        <v>230</v>
      </c>
      <c r="H286" t="s">
        <v>230</v>
      </c>
      <c r="I286" t="s">
        <v>230</v>
      </c>
      <c r="J286" t="s">
        <v>230</v>
      </c>
      <c r="K286" t="s">
        <v>230</v>
      </c>
      <c r="L286" t="s">
        <v>230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row>
    <row r="287" spans="1:48">
      <c r="A287">
        <v>0</v>
      </c>
      <c r="B287">
        <v>286</v>
      </c>
      <c r="C287" t="s">
        <v>230</v>
      </c>
      <c r="D287" t="s">
        <v>230</v>
      </c>
      <c r="E287" t="s">
        <v>230</v>
      </c>
      <c r="F287" t="s">
        <v>230</v>
      </c>
      <c r="G287" t="s">
        <v>230</v>
      </c>
      <c r="H287" t="s">
        <v>230</v>
      </c>
      <c r="I287" t="s">
        <v>230</v>
      </c>
      <c r="J287" t="s">
        <v>230</v>
      </c>
      <c r="K287" t="s">
        <v>230</v>
      </c>
      <c r="L287" t="s">
        <v>230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row>
    <row r="288" spans="1:48">
      <c r="A288">
        <v>0</v>
      </c>
      <c r="B288">
        <v>287</v>
      </c>
      <c r="C288" t="s">
        <v>230</v>
      </c>
      <c r="D288" t="s">
        <v>230</v>
      </c>
      <c r="E288" t="s">
        <v>230</v>
      </c>
      <c r="F288" t="s">
        <v>230</v>
      </c>
      <c r="G288" t="s">
        <v>230</v>
      </c>
      <c r="H288" t="s">
        <v>230</v>
      </c>
      <c r="I288" t="s">
        <v>230</v>
      </c>
      <c r="J288" t="s">
        <v>230</v>
      </c>
      <c r="K288" t="s">
        <v>230</v>
      </c>
      <c r="L288" t="s">
        <v>230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row>
    <row r="289" spans="1:48">
      <c r="A289">
        <v>0</v>
      </c>
      <c r="B289">
        <v>288</v>
      </c>
      <c r="C289" t="s">
        <v>230</v>
      </c>
      <c r="D289" t="s">
        <v>230</v>
      </c>
      <c r="E289" t="s">
        <v>230</v>
      </c>
      <c r="F289" t="s">
        <v>230</v>
      </c>
      <c r="G289" t="s">
        <v>230</v>
      </c>
      <c r="H289" t="s">
        <v>230</v>
      </c>
      <c r="I289" t="s">
        <v>230</v>
      </c>
      <c r="J289" t="s">
        <v>230</v>
      </c>
      <c r="K289" t="s">
        <v>230</v>
      </c>
      <c r="L289" t="s">
        <v>230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row>
    <row r="290" spans="1:48">
      <c r="A290">
        <v>0</v>
      </c>
      <c r="B290">
        <v>289</v>
      </c>
      <c r="C290" t="s">
        <v>230</v>
      </c>
      <c r="D290" t="s">
        <v>230</v>
      </c>
      <c r="E290" t="s">
        <v>230</v>
      </c>
      <c r="F290" t="s">
        <v>230</v>
      </c>
      <c r="G290" t="s">
        <v>230</v>
      </c>
      <c r="H290" t="s">
        <v>230</v>
      </c>
      <c r="I290" t="s">
        <v>230</v>
      </c>
      <c r="J290" t="s">
        <v>230</v>
      </c>
      <c r="K290" t="s">
        <v>230</v>
      </c>
      <c r="L290" t="s">
        <v>230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row>
    <row r="291" spans="1:48">
      <c r="A291">
        <v>0</v>
      </c>
      <c r="B291">
        <v>290</v>
      </c>
      <c r="C291" t="s">
        <v>230</v>
      </c>
      <c r="D291" t="s">
        <v>230</v>
      </c>
      <c r="E291" t="s">
        <v>230</v>
      </c>
      <c r="F291" t="s">
        <v>230</v>
      </c>
      <c r="G291" t="s">
        <v>230</v>
      </c>
      <c r="H291" t="s">
        <v>230</v>
      </c>
      <c r="I291" t="s">
        <v>230</v>
      </c>
      <c r="J291" t="s">
        <v>230</v>
      </c>
      <c r="K291" t="s">
        <v>230</v>
      </c>
      <c r="L291" t="s">
        <v>230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row>
    <row r="292" spans="1:48">
      <c r="A292">
        <v>0</v>
      </c>
      <c r="B292">
        <v>291</v>
      </c>
      <c r="C292" t="s">
        <v>230</v>
      </c>
      <c r="D292" t="s">
        <v>230</v>
      </c>
      <c r="E292" t="s">
        <v>230</v>
      </c>
      <c r="F292" t="s">
        <v>230</v>
      </c>
      <c r="G292" t="s">
        <v>230</v>
      </c>
      <c r="H292" t="s">
        <v>230</v>
      </c>
      <c r="I292" t="s">
        <v>230</v>
      </c>
      <c r="J292" t="s">
        <v>230</v>
      </c>
      <c r="K292" t="s">
        <v>230</v>
      </c>
      <c r="L292" t="s">
        <v>230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row>
    <row r="293" spans="1:48">
      <c r="A293">
        <v>0</v>
      </c>
      <c r="B293">
        <v>292</v>
      </c>
      <c r="C293" t="s">
        <v>230</v>
      </c>
      <c r="D293" t="s">
        <v>230</v>
      </c>
      <c r="E293" t="s">
        <v>230</v>
      </c>
      <c r="F293" t="s">
        <v>230</v>
      </c>
      <c r="G293" t="s">
        <v>230</v>
      </c>
      <c r="H293" t="s">
        <v>230</v>
      </c>
      <c r="I293" t="s">
        <v>230</v>
      </c>
      <c r="J293" t="s">
        <v>230</v>
      </c>
      <c r="K293" t="s">
        <v>230</v>
      </c>
      <c r="L293" t="s">
        <v>230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row>
    <row r="294" spans="1:48">
      <c r="A294">
        <v>0</v>
      </c>
      <c r="B294">
        <v>293</v>
      </c>
      <c r="C294" t="s">
        <v>230</v>
      </c>
      <c r="D294" t="s">
        <v>230</v>
      </c>
      <c r="E294" t="s">
        <v>230</v>
      </c>
      <c r="F294" t="s">
        <v>230</v>
      </c>
      <c r="G294" t="s">
        <v>230</v>
      </c>
      <c r="H294" t="s">
        <v>230</v>
      </c>
      <c r="I294" t="s">
        <v>230</v>
      </c>
      <c r="J294" t="s">
        <v>230</v>
      </c>
      <c r="K294" t="s">
        <v>230</v>
      </c>
      <c r="L294" t="s">
        <v>230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row>
    <row r="295" spans="1:48">
      <c r="A295">
        <v>0</v>
      </c>
      <c r="B295">
        <v>294</v>
      </c>
      <c r="C295" t="s">
        <v>230</v>
      </c>
      <c r="D295" t="s">
        <v>230</v>
      </c>
      <c r="E295" t="s">
        <v>230</v>
      </c>
      <c r="F295" t="s">
        <v>230</v>
      </c>
      <c r="G295" t="s">
        <v>230</v>
      </c>
      <c r="H295" t="s">
        <v>230</v>
      </c>
      <c r="I295" t="s">
        <v>230</v>
      </c>
      <c r="J295" t="s">
        <v>230</v>
      </c>
      <c r="K295" t="s">
        <v>230</v>
      </c>
      <c r="L295" t="s">
        <v>230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row>
    <row r="296" spans="1:48">
      <c r="A296">
        <v>0</v>
      </c>
      <c r="B296">
        <v>295</v>
      </c>
      <c r="C296" t="s">
        <v>230</v>
      </c>
      <c r="D296" t="s">
        <v>230</v>
      </c>
      <c r="E296" t="s">
        <v>230</v>
      </c>
      <c r="F296" t="s">
        <v>230</v>
      </c>
      <c r="G296" t="s">
        <v>230</v>
      </c>
      <c r="H296" t="s">
        <v>230</v>
      </c>
      <c r="I296" t="s">
        <v>230</v>
      </c>
      <c r="J296" t="s">
        <v>230</v>
      </c>
      <c r="K296" t="s">
        <v>230</v>
      </c>
      <c r="L296" t="s">
        <v>230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row>
    <row r="297" spans="1:48">
      <c r="A297">
        <v>0</v>
      </c>
      <c r="B297">
        <v>296</v>
      </c>
      <c r="C297" t="s">
        <v>230</v>
      </c>
      <c r="D297" t="s">
        <v>230</v>
      </c>
      <c r="E297" t="s">
        <v>230</v>
      </c>
      <c r="F297" t="s">
        <v>230</v>
      </c>
      <c r="G297" t="s">
        <v>230</v>
      </c>
      <c r="H297" t="s">
        <v>230</v>
      </c>
      <c r="I297" t="s">
        <v>230</v>
      </c>
      <c r="J297" t="s">
        <v>230</v>
      </c>
      <c r="K297" t="s">
        <v>230</v>
      </c>
      <c r="L297" t="s">
        <v>230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row>
    <row r="298" spans="1:48">
      <c r="A298">
        <v>0</v>
      </c>
      <c r="B298">
        <v>297</v>
      </c>
      <c r="C298" t="s">
        <v>230</v>
      </c>
      <c r="D298" t="s">
        <v>230</v>
      </c>
      <c r="E298" t="s">
        <v>230</v>
      </c>
      <c r="F298" t="s">
        <v>230</v>
      </c>
      <c r="G298" t="s">
        <v>230</v>
      </c>
      <c r="H298" t="s">
        <v>230</v>
      </c>
      <c r="I298" t="s">
        <v>230</v>
      </c>
      <c r="J298" t="s">
        <v>230</v>
      </c>
      <c r="K298" t="s">
        <v>230</v>
      </c>
      <c r="L298" t="s">
        <v>230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row>
    <row r="299" spans="1:48">
      <c r="A299">
        <v>0</v>
      </c>
      <c r="B299">
        <v>298</v>
      </c>
      <c r="C299" t="s">
        <v>230</v>
      </c>
      <c r="D299" t="s">
        <v>230</v>
      </c>
      <c r="E299" t="s">
        <v>230</v>
      </c>
      <c r="F299" t="s">
        <v>230</v>
      </c>
      <c r="G299" t="s">
        <v>230</v>
      </c>
      <c r="H299" t="s">
        <v>230</v>
      </c>
      <c r="I299" t="s">
        <v>230</v>
      </c>
      <c r="J299" t="s">
        <v>230</v>
      </c>
      <c r="K299" t="s">
        <v>230</v>
      </c>
      <c r="L299" t="s">
        <v>230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row>
    <row r="300" spans="1:48">
      <c r="A300">
        <v>0</v>
      </c>
      <c r="B300">
        <v>299</v>
      </c>
      <c r="C300" t="s">
        <v>230</v>
      </c>
      <c r="D300" t="s">
        <v>230</v>
      </c>
      <c r="E300" t="s">
        <v>230</v>
      </c>
      <c r="F300" t="s">
        <v>230</v>
      </c>
      <c r="G300" t="s">
        <v>230</v>
      </c>
      <c r="H300" t="s">
        <v>230</v>
      </c>
      <c r="I300" t="s">
        <v>230</v>
      </c>
      <c r="J300" t="s">
        <v>230</v>
      </c>
      <c r="K300" t="s">
        <v>230</v>
      </c>
      <c r="L300" t="s">
        <v>230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row>
    <row r="301" spans="1:48">
      <c r="A301">
        <v>0</v>
      </c>
      <c r="B301">
        <v>300</v>
      </c>
      <c r="C301" t="s">
        <v>230</v>
      </c>
      <c r="D301" t="s">
        <v>230</v>
      </c>
      <c r="E301" t="s">
        <v>230</v>
      </c>
      <c r="F301" t="s">
        <v>230</v>
      </c>
      <c r="G301" t="s">
        <v>230</v>
      </c>
      <c r="H301" t="s">
        <v>230</v>
      </c>
      <c r="I301" t="s">
        <v>230</v>
      </c>
      <c r="J301" t="s">
        <v>230</v>
      </c>
      <c r="K301" t="s">
        <v>230</v>
      </c>
      <c r="L301" t="s">
        <v>230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row>
    <row r="302" spans="1:48">
      <c r="A302">
        <v>0</v>
      </c>
      <c r="B302">
        <v>301</v>
      </c>
      <c r="C302" t="s">
        <v>230</v>
      </c>
      <c r="D302" t="s">
        <v>230</v>
      </c>
      <c r="E302" t="s">
        <v>230</v>
      </c>
      <c r="F302" t="s">
        <v>230</v>
      </c>
      <c r="G302" t="s">
        <v>230</v>
      </c>
      <c r="H302" t="s">
        <v>230</v>
      </c>
      <c r="I302" t="s">
        <v>230</v>
      </c>
      <c r="J302" t="s">
        <v>230</v>
      </c>
      <c r="K302" t="s">
        <v>230</v>
      </c>
      <c r="L302" t="s">
        <v>230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row>
    <row r="303" spans="1:48">
      <c r="A303">
        <v>0</v>
      </c>
      <c r="B303">
        <v>302</v>
      </c>
      <c r="C303" t="s">
        <v>230</v>
      </c>
      <c r="D303" t="s">
        <v>230</v>
      </c>
      <c r="E303" t="s">
        <v>230</v>
      </c>
      <c r="F303" t="s">
        <v>230</v>
      </c>
      <c r="G303" t="s">
        <v>230</v>
      </c>
      <c r="H303" t="s">
        <v>230</v>
      </c>
      <c r="I303" t="s">
        <v>230</v>
      </c>
      <c r="J303" t="s">
        <v>230</v>
      </c>
      <c r="K303" t="s">
        <v>230</v>
      </c>
      <c r="L303" t="s">
        <v>230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row>
    <row r="304" spans="1:48">
      <c r="A304">
        <v>0</v>
      </c>
      <c r="B304">
        <v>303</v>
      </c>
      <c r="C304" t="s">
        <v>230</v>
      </c>
      <c r="D304" t="s">
        <v>230</v>
      </c>
      <c r="E304" t="s">
        <v>230</v>
      </c>
      <c r="F304" t="s">
        <v>230</v>
      </c>
      <c r="G304" t="s">
        <v>230</v>
      </c>
      <c r="H304" t="s">
        <v>230</v>
      </c>
      <c r="I304" t="s">
        <v>230</v>
      </c>
      <c r="J304" t="s">
        <v>230</v>
      </c>
      <c r="K304" t="s">
        <v>230</v>
      </c>
      <c r="L304" t="s">
        <v>230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row>
    <row r="305" spans="1:48">
      <c r="A305">
        <v>0</v>
      </c>
      <c r="B305">
        <v>304</v>
      </c>
      <c r="C305" t="s">
        <v>230</v>
      </c>
      <c r="D305" t="s">
        <v>230</v>
      </c>
      <c r="E305" t="s">
        <v>230</v>
      </c>
      <c r="F305" t="s">
        <v>230</v>
      </c>
      <c r="G305" t="s">
        <v>230</v>
      </c>
      <c r="H305" t="s">
        <v>230</v>
      </c>
      <c r="I305" t="s">
        <v>230</v>
      </c>
      <c r="J305" t="s">
        <v>230</v>
      </c>
      <c r="K305" t="s">
        <v>230</v>
      </c>
      <c r="L305" t="s">
        <v>230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row>
    <row r="306" spans="1:48">
      <c r="A306">
        <v>0</v>
      </c>
      <c r="B306">
        <v>305</v>
      </c>
      <c r="C306" t="s">
        <v>230</v>
      </c>
      <c r="D306" t="s">
        <v>230</v>
      </c>
      <c r="E306" t="s">
        <v>230</v>
      </c>
      <c r="F306" t="s">
        <v>230</v>
      </c>
      <c r="G306" t="s">
        <v>230</v>
      </c>
      <c r="H306" t="s">
        <v>230</v>
      </c>
      <c r="I306" t="s">
        <v>230</v>
      </c>
      <c r="J306" t="s">
        <v>230</v>
      </c>
      <c r="K306" t="s">
        <v>230</v>
      </c>
      <c r="L306" t="s">
        <v>230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row>
    <row r="307" spans="1:48">
      <c r="A307">
        <v>0</v>
      </c>
      <c r="B307">
        <v>306</v>
      </c>
      <c r="C307" t="s">
        <v>230</v>
      </c>
      <c r="D307" t="s">
        <v>230</v>
      </c>
      <c r="E307" t="s">
        <v>230</v>
      </c>
      <c r="F307" t="s">
        <v>230</v>
      </c>
      <c r="G307" t="s">
        <v>230</v>
      </c>
      <c r="H307" t="s">
        <v>230</v>
      </c>
      <c r="I307" t="s">
        <v>230</v>
      </c>
      <c r="J307" t="s">
        <v>230</v>
      </c>
      <c r="K307" t="s">
        <v>230</v>
      </c>
      <c r="L307" t="s">
        <v>230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row>
    <row r="308" spans="1:48">
      <c r="A308">
        <v>0</v>
      </c>
      <c r="B308">
        <v>307</v>
      </c>
      <c r="C308" t="s">
        <v>230</v>
      </c>
      <c r="D308" t="s">
        <v>230</v>
      </c>
      <c r="E308" t="s">
        <v>230</v>
      </c>
      <c r="F308" t="s">
        <v>230</v>
      </c>
      <c r="G308" t="s">
        <v>230</v>
      </c>
      <c r="H308" t="s">
        <v>230</v>
      </c>
      <c r="I308" t="s">
        <v>230</v>
      </c>
      <c r="J308" t="s">
        <v>230</v>
      </c>
      <c r="K308" t="s">
        <v>230</v>
      </c>
      <c r="L308" t="s">
        <v>230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row>
    <row r="309" spans="1:48">
      <c r="A309">
        <v>0</v>
      </c>
      <c r="B309">
        <v>308</v>
      </c>
      <c r="C309" t="s">
        <v>230</v>
      </c>
      <c r="D309" t="s">
        <v>230</v>
      </c>
      <c r="E309" t="s">
        <v>230</v>
      </c>
      <c r="F309" t="s">
        <v>230</v>
      </c>
      <c r="G309" t="s">
        <v>230</v>
      </c>
      <c r="H309" t="s">
        <v>230</v>
      </c>
      <c r="I309" t="s">
        <v>230</v>
      </c>
      <c r="J309" t="s">
        <v>230</v>
      </c>
      <c r="K309" t="s">
        <v>230</v>
      </c>
      <c r="L309" t="s">
        <v>230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row>
    <row r="310" spans="1:48">
      <c r="A310">
        <v>0</v>
      </c>
      <c r="B310">
        <v>309</v>
      </c>
      <c r="C310" t="s">
        <v>230</v>
      </c>
      <c r="D310" t="s">
        <v>230</v>
      </c>
      <c r="E310" t="s">
        <v>230</v>
      </c>
      <c r="F310" t="s">
        <v>230</v>
      </c>
      <c r="G310" t="s">
        <v>230</v>
      </c>
      <c r="H310" t="s">
        <v>230</v>
      </c>
      <c r="I310" t="s">
        <v>230</v>
      </c>
      <c r="J310" t="s">
        <v>230</v>
      </c>
      <c r="K310" t="s">
        <v>230</v>
      </c>
      <c r="L310" t="s">
        <v>230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row>
    <row r="311" spans="1:48">
      <c r="A311">
        <v>0</v>
      </c>
      <c r="B311">
        <v>310</v>
      </c>
      <c r="C311" t="s">
        <v>230</v>
      </c>
      <c r="D311" t="s">
        <v>230</v>
      </c>
      <c r="E311" t="s">
        <v>230</v>
      </c>
      <c r="F311" t="s">
        <v>230</v>
      </c>
      <c r="G311" t="s">
        <v>230</v>
      </c>
      <c r="H311" t="s">
        <v>230</v>
      </c>
      <c r="I311" t="s">
        <v>230</v>
      </c>
      <c r="J311" t="s">
        <v>230</v>
      </c>
      <c r="K311" t="s">
        <v>230</v>
      </c>
      <c r="L311" t="s">
        <v>230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row>
    <row r="312" spans="1:48">
      <c r="A312">
        <v>0</v>
      </c>
      <c r="B312">
        <v>311</v>
      </c>
      <c r="C312" t="s">
        <v>230</v>
      </c>
      <c r="D312" t="s">
        <v>230</v>
      </c>
      <c r="E312" t="s">
        <v>230</v>
      </c>
      <c r="F312" t="s">
        <v>230</v>
      </c>
      <c r="G312" t="s">
        <v>230</v>
      </c>
      <c r="H312" t="s">
        <v>230</v>
      </c>
      <c r="I312" t="s">
        <v>230</v>
      </c>
      <c r="J312" t="s">
        <v>230</v>
      </c>
      <c r="K312" t="s">
        <v>230</v>
      </c>
      <c r="L312" t="s">
        <v>230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row>
    <row r="313" spans="1:48">
      <c r="A313">
        <v>0</v>
      </c>
      <c r="B313">
        <v>312</v>
      </c>
      <c r="C313" t="s">
        <v>230</v>
      </c>
      <c r="D313" t="s">
        <v>230</v>
      </c>
      <c r="E313" t="s">
        <v>230</v>
      </c>
      <c r="F313" t="s">
        <v>230</v>
      </c>
      <c r="G313" t="s">
        <v>230</v>
      </c>
      <c r="H313" t="s">
        <v>230</v>
      </c>
      <c r="I313" t="s">
        <v>230</v>
      </c>
      <c r="J313" t="s">
        <v>230</v>
      </c>
      <c r="K313" t="s">
        <v>230</v>
      </c>
      <c r="L313" t="s">
        <v>230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row>
    <row r="314" spans="1:48">
      <c r="A314">
        <v>0</v>
      </c>
      <c r="B314">
        <v>313</v>
      </c>
      <c r="C314" t="s">
        <v>230</v>
      </c>
      <c r="D314" t="s">
        <v>230</v>
      </c>
      <c r="E314" t="s">
        <v>230</v>
      </c>
      <c r="F314" t="s">
        <v>230</v>
      </c>
      <c r="G314" t="s">
        <v>230</v>
      </c>
      <c r="H314" t="s">
        <v>230</v>
      </c>
      <c r="I314" t="s">
        <v>230</v>
      </c>
      <c r="J314" t="s">
        <v>230</v>
      </c>
      <c r="K314" t="s">
        <v>230</v>
      </c>
      <c r="L314" t="s">
        <v>230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row>
    <row r="315" spans="1:48">
      <c r="A315">
        <v>0</v>
      </c>
      <c r="B315">
        <v>314</v>
      </c>
      <c r="C315" t="s">
        <v>230</v>
      </c>
      <c r="D315" t="s">
        <v>230</v>
      </c>
      <c r="E315" t="s">
        <v>230</v>
      </c>
      <c r="F315" t="s">
        <v>230</v>
      </c>
      <c r="G315" t="s">
        <v>230</v>
      </c>
      <c r="H315" t="s">
        <v>230</v>
      </c>
      <c r="I315" t="s">
        <v>230</v>
      </c>
      <c r="J315" t="s">
        <v>230</v>
      </c>
      <c r="K315" t="s">
        <v>230</v>
      </c>
      <c r="L315" t="s">
        <v>230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row>
    <row r="316" spans="1:48">
      <c r="A316">
        <v>0</v>
      </c>
      <c r="B316">
        <v>315</v>
      </c>
      <c r="C316" t="s">
        <v>230</v>
      </c>
      <c r="D316" t="s">
        <v>230</v>
      </c>
      <c r="E316" t="s">
        <v>230</v>
      </c>
      <c r="F316" t="s">
        <v>230</v>
      </c>
      <c r="G316" t="s">
        <v>230</v>
      </c>
      <c r="H316" t="s">
        <v>230</v>
      </c>
      <c r="I316" t="s">
        <v>230</v>
      </c>
      <c r="J316" t="s">
        <v>230</v>
      </c>
      <c r="K316" t="s">
        <v>230</v>
      </c>
      <c r="L316" t="s">
        <v>230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row>
    <row r="317" spans="1:48">
      <c r="A317">
        <v>0</v>
      </c>
      <c r="B317">
        <v>316</v>
      </c>
      <c r="C317" t="s">
        <v>230</v>
      </c>
      <c r="D317" t="s">
        <v>230</v>
      </c>
      <c r="E317" t="s">
        <v>230</v>
      </c>
      <c r="F317" t="s">
        <v>230</v>
      </c>
      <c r="G317" t="s">
        <v>230</v>
      </c>
      <c r="H317" t="s">
        <v>230</v>
      </c>
      <c r="I317" t="s">
        <v>230</v>
      </c>
      <c r="J317" t="s">
        <v>230</v>
      </c>
      <c r="K317" t="s">
        <v>230</v>
      </c>
      <c r="L317" t="s">
        <v>230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row>
    <row r="318" spans="1:48">
      <c r="A318">
        <v>0</v>
      </c>
      <c r="B318">
        <v>317</v>
      </c>
      <c r="C318" t="s">
        <v>230</v>
      </c>
      <c r="D318" t="s">
        <v>230</v>
      </c>
      <c r="E318" t="s">
        <v>230</v>
      </c>
      <c r="F318" t="s">
        <v>230</v>
      </c>
      <c r="G318" t="s">
        <v>230</v>
      </c>
      <c r="H318" t="s">
        <v>230</v>
      </c>
      <c r="I318" t="s">
        <v>230</v>
      </c>
      <c r="J318" t="s">
        <v>230</v>
      </c>
      <c r="K318" t="s">
        <v>230</v>
      </c>
      <c r="L318" t="s">
        <v>230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row>
    <row r="319" spans="1:48">
      <c r="A319">
        <v>0</v>
      </c>
      <c r="B319">
        <v>318</v>
      </c>
      <c r="C319" t="s">
        <v>230</v>
      </c>
      <c r="D319" t="s">
        <v>230</v>
      </c>
      <c r="E319" t="s">
        <v>230</v>
      </c>
      <c r="F319" t="s">
        <v>230</v>
      </c>
      <c r="G319" t="s">
        <v>230</v>
      </c>
      <c r="H319" t="s">
        <v>230</v>
      </c>
      <c r="I319" t="s">
        <v>230</v>
      </c>
      <c r="J319" t="s">
        <v>230</v>
      </c>
      <c r="K319" t="s">
        <v>230</v>
      </c>
      <c r="L319" t="s">
        <v>230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row>
    <row r="320" spans="1:48">
      <c r="A320">
        <v>0</v>
      </c>
      <c r="B320">
        <v>319</v>
      </c>
      <c r="C320" t="s">
        <v>230</v>
      </c>
      <c r="D320" t="s">
        <v>230</v>
      </c>
      <c r="E320" t="s">
        <v>230</v>
      </c>
      <c r="F320" t="s">
        <v>230</v>
      </c>
      <c r="G320" t="s">
        <v>230</v>
      </c>
      <c r="H320" t="s">
        <v>230</v>
      </c>
      <c r="I320" t="s">
        <v>230</v>
      </c>
      <c r="J320" t="s">
        <v>230</v>
      </c>
      <c r="K320" t="s">
        <v>230</v>
      </c>
      <c r="L320" t="s">
        <v>230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row>
    <row r="321" spans="1:48">
      <c r="A321">
        <v>0</v>
      </c>
      <c r="B321">
        <v>320</v>
      </c>
      <c r="C321" t="s">
        <v>230</v>
      </c>
      <c r="D321" t="s">
        <v>230</v>
      </c>
      <c r="E321" t="s">
        <v>230</v>
      </c>
      <c r="F321" t="s">
        <v>230</v>
      </c>
      <c r="G321" t="s">
        <v>230</v>
      </c>
      <c r="H321" t="s">
        <v>230</v>
      </c>
      <c r="I321" t="s">
        <v>230</v>
      </c>
      <c r="J321" t="s">
        <v>230</v>
      </c>
      <c r="K321" t="s">
        <v>230</v>
      </c>
      <c r="L321" t="s">
        <v>230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row>
    <row r="322" spans="1:48">
      <c r="A322">
        <v>0</v>
      </c>
      <c r="B322">
        <v>321</v>
      </c>
      <c r="C322" t="s">
        <v>230</v>
      </c>
      <c r="D322" t="s">
        <v>230</v>
      </c>
      <c r="E322" t="s">
        <v>230</v>
      </c>
      <c r="F322" t="s">
        <v>230</v>
      </c>
      <c r="G322" t="s">
        <v>230</v>
      </c>
      <c r="H322" t="s">
        <v>230</v>
      </c>
      <c r="I322" t="s">
        <v>230</v>
      </c>
      <c r="J322" t="s">
        <v>230</v>
      </c>
      <c r="K322" t="s">
        <v>230</v>
      </c>
      <c r="L322" t="s">
        <v>230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row>
    <row r="323" spans="1:48">
      <c r="A323">
        <v>0</v>
      </c>
      <c r="B323">
        <v>322</v>
      </c>
      <c r="C323" t="s">
        <v>230</v>
      </c>
      <c r="D323" t="s">
        <v>230</v>
      </c>
      <c r="E323" t="s">
        <v>230</v>
      </c>
      <c r="F323" t="s">
        <v>230</v>
      </c>
      <c r="G323" t="s">
        <v>230</v>
      </c>
      <c r="H323" t="s">
        <v>230</v>
      </c>
      <c r="I323" t="s">
        <v>230</v>
      </c>
      <c r="J323" t="s">
        <v>230</v>
      </c>
      <c r="K323" t="s">
        <v>230</v>
      </c>
      <c r="L323" t="s">
        <v>230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row>
    <row r="324" spans="1:48">
      <c r="A324">
        <v>0</v>
      </c>
      <c r="B324">
        <v>323</v>
      </c>
      <c r="C324" t="s">
        <v>230</v>
      </c>
      <c r="D324" t="s">
        <v>230</v>
      </c>
      <c r="E324" t="s">
        <v>230</v>
      </c>
      <c r="F324" t="s">
        <v>230</v>
      </c>
      <c r="G324" t="s">
        <v>230</v>
      </c>
      <c r="H324" t="s">
        <v>230</v>
      </c>
      <c r="I324" t="s">
        <v>230</v>
      </c>
      <c r="J324" t="s">
        <v>230</v>
      </c>
      <c r="K324" t="s">
        <v>230</v>
      </c>
      <c r="L324" t="s">
        <v>230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row>
    <row r="325" spans="1:48">
      <c r="A325">
        <v>0</v>
      </c>
      <c r="B325">
        <v>324</v>
      </c>
      <c r="C325" t="s">
        <v>230</v>
      </c>
      <c r="D325" t="s">
        <v>230</v>
      </c>
      <c r="E325" t="s">
        <v>230</v>
      </c>
      <c r="F325" t="s">
        <v>230</v>
      </c>
      <c r="G325" t="s">
        <v>230</v>
      </c>
      <c r="H325" t="s">
        <v>230</v>
      </c>
      <c r="I325" t="s">
        <v>230</v>
      </c>
      <c r="J325" t="s">
        <v>230</v>
      </c>
      <c r="K325" t="s">
        <v>230</v>
      </c>
      <c r="L325" t="s">
        <v>230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row>
    <row r="326" spans="1:48">
      <c r="A326">
        <v>0</v>
      </c>
      <c r="B326">
        <v>325</v>
      </c>
      <c r="C326" t="s">
        <v>230</v>
      </c>
      <c r="D326" t="s">
        <v>230</v>
      </c>
      <c r="E326" t="s">
        <v>230</v>
      </c>
      <c r="F326" t="s">
        <v>230</v>
      </c>
      <c r="G326" t="s">
        <v>230</v>
      </c>
      <c r="H326" t="s">
        <v>230</v>
      </c>
      <c r="I326" t="s">
        <v>230</v>
      </c>
      <c r="J326" t="s">
        <v>230</v>
      </c>
      <c r="K326" t="s">
        <v>230</v>
      </c>
      <c r="L326" t="s">
        <v>230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row>
    <row r="327" spans="1:48">
      <c r="A327">
        <v>0</v>
      </c>
      <c r="B327">
        <v>326</v>
      </c>
      <c r="C327" t="s">
        <v>230</v>
      </c>
      <c r="D327" t="s">
        <v>230</v>
      </c>
      <c r="E327" t="s">
        <v>230</v>
      </c>
      <c r="F327" t="s">
        <v>230</v>
      </c>
      <c r="G327" t="s">
        <v>230</v>
      </c>
      <c r="H327" t="s">
        <v>230</v>
      </c>
      <c r="I327" t="s">
        <v>230</v>
      </c>
      <c r="J327" t="s">
        <v>230</v>
      </c>
      <c r="K327" t="s">
        <v>230</v>
      </c>
      <c r="L327" t="s">
        <v>230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row>
    <row r="328" spans="1:48">
      <c r="A328">
        <v>0</v>
      </c>
      <c r="B328">
        <v>327</v>
      </c>
      <c r="C328" t="s">
        <v>230</v>
      </c>
      <c r="D328" t="s">
        <v>230</v>
      </c>
      <c r="E328" t="s">
        <v>230</v>
      </c>
      <c r="F328" t="s">
        <v>230</v>
      </c>
      <c r="G328" t="s">
        <v>230</v>
      </c>
      <c r="H328" t="s">
        <v>230</v>
      </c>
      <c r="I328" t="s">
        <v>230</v>
      </c>
      <c r="J328" t="s">
        <v>230</v>
      </c>
      <c r="K328" t="s">
        <v>230</v>
      </c>
      <c r="L328" t="s">
        <v>230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row>
    <row r="329" spans="1:48">
      <c r="A329">
        <v>0</v>
      </c>
      <c r="B329">
        <v>328</v>
      </c>
      <c r="C329" t="s">
        <v>230</v>
      </c>
      <c r="D329" t="s">
        <v>230</v>
      </c>
      <c r="E329" t="s">
        <v>230</v>
      </c>
      <c r="F329" t="s">
        <v>230</v>
      </c>
      <c r="G329" t="s">
        <v>230</v>
      </c>
      <c r="H329" t="s">
        <v>230</v>
      </c>
      <c r="I329" t="s">
        <v>230</v>
      </c>
      <c r="J329" t="s">
        <v>230</v>
      </c>
      <c r="K329" t="s">
        <v>230</v>
      </c>
      <c r="L329" t="s">
        <v>230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row>
    <row r="330" spans="1:48">
      <c r="A330">
        <v>0</v>
      </c>
      <c r="B330">
        <v>329</v>
      </c>
      <c r="C330" t="s">
        <v>230</v>
      </c>
      <c r="D330" t="s">
        <v>230</v>
      </c>
      <c r="E330" t="s">
        <v>230</v>
      </c>
      <c r="F330" t="s">
        <v>230</v>
      </c>
      <c r="G330" t="s">
        <v>230</v>
      </c>
      <c r="H330" t="s">
        <v>230</v>
      </c>
      <c r="I330" t="s">
        <v>230</v>
      </c>
      <c r="J330" t="s">
        <v>230</v>
      </c>
      <c r="K330" t="s">
        <v>230</v>
      </c>
      <c r="L330" t="s">
        <v>230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row>
    <row r="331" spans="1:48">
      <c r="A331">
        <v>0</v>
      </c>
      <c r="B331">
        <v>330</v>
      </c>
      <c r="C331" t="s">
        <v>230</v>
      </c>
      <c r="D331" t="s">
        <v>230</v>
      </c>
      <c r="E331" t="s">
        <v>230</v>
      </c>
      <c r="F331" t="s">
        <v>230</v>
      </c>
      <c r="G331" t="s">
        <v>230</v>
      </c>
      <c r="H331" t="s">
        <v>230</v>
      </c>
      <c r="I331" t="s">
        <v>230</v>
      </c>
      <c r="J331" t="s">
        <v>230</v>
      </c>
      <c r="K331" t="s">
        <v>230</v>
      </c>
      <c r="L331" t="s">
        <v>230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row>
    <row r="332" spans="1:48">
      <c r="A332">
        <v>0</v>
      </c>
      <c r="B332">
        <v>331</v>
      </c>
      <c r="C332" t="s">
        <v>230</v>
      </c>
      <c r="D332" t="s">
        <v>230</v>
      </c>
      <c r="E332" t="s">
        <v>230</v>
      </c>
      <c r="F332" t="s">
        <v>230</v>
      </c>
      <c r="G332" t="s">
        <v>230</v>
      </c>
      <c r="H332" t="s">
        <v>230</v>
      </c>
      <c r="I332" t="s">
        <v>230</v>
      </c>
      <c r="J332" t="s">
        <v>230</v>
      </c>
      <c r="K332" t="s">
        <v>230</v>
      </c>
      <c r="L332" t="s">
        <v>230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row>
    <row r="333" spans="1:48">
      <c r="A333">
        <v>0</v>
      </c>
      <c r="B333">
        <v>332</v>
      </c>
      <c r="C333" t="s">
        <v>230</v>
      </c>
      <c r="D333" t="s">
        <v>230</v>
      </c>
      <c r="E333" t="s">
        <v>230</v>
      </c>
      <c r="F333" t="s">
        <v>230</v>
      </c>
      <c r="G333" t="s">
        <v>230</v>
      </c>
      <c r="H333" t="s">
        <v>230</v>
      </c>
      <c r="I333" t="s">
        <v>230</v>
      </c>
      <c r="J333" t="s">
        <v>230</v>
      </c>
      <c r="K333" t="s">
        <v>230</v>
      </c>
      <c r="L333" t="s">
        <v>230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row>
    <row r="334" spans="1:48">
      <c r="A334">
        <v>0</v>
      </c>
      <c r="B334">
        <v>333</v>
      </c>
      <c r="C334" t="s">
        <v>230</v>
      </c>
      <c r="D334" t="s">
        <v>230</v>
      </c>
      <c r="E334" t="s">
        <v>230</v>
      </c>
      <c r="F334" t="s">
        <v>230</v>
      </c>
      <c r="G334" t="s">
        <v>230</v>
      </c>
      <c r="H334" t="s">
        <v>230</v>
      </c>
      <c r="I334" t="s">
        <v>230</v>
      </c>
      <c r="J334" t="s">
        <v>230</v>
      </c>
      <c r="K334" t="s">
        <v>230</v>
      </c>
      <c r="L334" t="s">
        <v>230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row>
    <row r="335" spans="1:48">
      <c r="A335">
        <v>0</v>
      </c>
      <c r="B335">
        <v>334</v>
      </c>
      <c r="C335" t="s">
        <v>230</v>
      </c>
      <c r="D335" t="s">
        <v>230</v>
      </c>
      <c r="E335" t="s">
        <v>230</v>
      </c>
      <c r="F335" t="s">
        <v>230</v>
      </c>
      <c r="G335" t="s">
        <v>230</v>
      </c>
      <c r="H335" t="s">
        <v>230</v>
      </c>
      <c r="I335" t="s">
        <v>230</v>
      </c>
      <c r="J335" t="s">
        <v>230</v>
      </c>
      <c r="K335" t="s">
        <v>230</v>
      </c>
      <c r="L335" t="s">
        <v>230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row>
    <row r="336" spans="1:48">
      <c r="A336">
        <v>0</v>
      </c>
      <c r="B336">
        <v>335</v>
      </c>
      <c r="C336" t="s">
        <v>230</v>
      </c>
      <c r="D336" t="s">
        <v>230</v>
      </c>
      <c r="E336" t="s">
        <v>230</v>
      </c>
      <c r="F336" t="s">
        <v>230</v>
      </c>
      <c r="G336" t="s">
        <v>230</v>
      </c>
      <c r="H336" t="s">
        <v>230</v>
      </c>
      <c r="I336" t="s">
        <v>230</v>
      </c>
      <c r="J336" t="s">
        <v>230</v>
      </c>
      <c r="K336" t="s">
        <v>230</v>
      </c>
      <c r="L336" t="s">
        <v>230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row>
    <row r="337" spans="1:48">
      <c r="A337">
        <v>0</v>
      </c>
      <c r="B337">
        <v>336</v>
      </c>
      <c r="C337" t="s">
        <v>230</v>
      </c>
      <c r="D337" t="s">
        <v>230</v>
      </c>
      <c r="E337" t="s">
        <v>230</v>
      </c>
      <c r="F337" t="s">
        <v>230</v>
      </c>
      <c r="G337" t="s">
        <v>230</v>
      </c>
      <c r="H337" t="s">
        <v>230</v>
      </c>
      <c r="I337" t="s">
        <v>230</v>
      </c>
      <c r="J337" t="s">
        <v>230</v>
      </c>
      <c r="K337" t="s">
        <v>230</v>
      </c>
      <c r="L337" t="s">
        <v>230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row>
    <row r="338" spans="1:48">
      <c r="A338">
        <v>0</v>
      </c>
      <c r="B338">
        <v>337</v>
      </c>
      <c r="C338" t="s">
        <v>230</v>
      </c>
      <c r="D338" t="s">
        <v>230</v>
      </c>
      <c r="E338" t="s">
        <v>230</v>
      </c>
      <c r="F338" t="s">
        <v>230</v>
      </c>
      <c r="G338" t="s">
        <v>230</v>
      </c>
      <c r="H338" t="s">
        <v>230</v>
      </c>
      <c r="I338" t="s">
        <v>230</v>
      </c>
      <c r="J338" t="s">
        <v>230</v>
      </c>
      <c r="K338" t="s">
        <v>230</v>
      </c>
      <c r="L338" t="s">
        <v>230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row>
    <row r="339" spans="1:48">
      <c r="A339">
        <v>0</v>
      </c>
      <c r="B339">
        <v>338</v>
      </c>
      <c r="C339" t="s">
        <v>230</v>
      </c>
      <c r="D339" t="s">
        <v>230</v>
      </c>
      <c r="E339" t="s">
        <v>230</v>
      </c>
      <c r="F339" t="s">
        <v>230</v>
      </c>
      <c r="G339" t="s">
        <v>230</v>
      </c>
      <c r="H339" t="s">
        <v>230</v>
      </c>
      <c r="I339" t="s">
        <v>230</v>
      </c>
      <c r="J339" t="s">
        <v>230</v>
      </c>
      <c r="K339" t="s">
        <v>230</v>
      </c>
      <c r="L339" t="s">
        <v>230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row>
    <row r="340" spans="1:48">
      <c r="A340">
        <v>0</v>
      </c>
      <c r="B340">
        <v>339</v>
      </c>
      <c r="C340" t="s">
        <v>230</v>
      </c>
      <c r="D340" t="s">
        <v>230</v>
      </c>
      <c r="E340" t="s">
        <v>230</v>
      </c>
      <c r="F340" t="s">
        <v>230</v>
      </c>
      <c r="G340" t="s">
        <v>230</v>
      </c>
      <c r="H340" t="s">
        <v>230</v>
      </c>
      <c r="I340" t="s">
        <v>230</v>
      </c>
      <c r="J340" t="s">
        <v>230</v>
      </c>
      <c r="K340" t="s">
        <v>230</v>
      </c>
      <c r="L340" t="s">
        <v>230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row>
    <row r="341" spans="1:48">
      <c r="A341">
        <v>0</v>
      </c>
      <c r="B341">
        <v>340</v>
      </c>
      <c r="C341" t="s">
        <v>230</v>
      </c>
      <c r="D341" t="s">
        <v>230</v>
      </c>
      <c r="E341" t="s">
        <v>230</v>
      </c>
      <c r="F341" t="s">
        <v>230</v>
      </c>
      <c r="G341" t="s">
        <v>230</v>
      </c>
      <c r="H341" t="s">
        <v>230</v>
      </c>
      <c r="I341" t="s">
        <v>230</v>
      </c>
      <c r="J341" t="s">
        <v>230</v>
      </c>
      <c r="K341" t="s">
        <v>230</v>
      </c>
      <c r="L341" t="s">
        <v>230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row>
    <row r="342" spans="1:48">
      <c r="A342">
        <v>0</v>
      </c>
      <c r="B342">
        <v>341</v>
      </c>
      <c r="C342" t="s">
        <v>230</v>
      </c>
      <c r="D342" t="s">
        <v>230</v>
      </c>
      <c r="E342" t="s">
        <v>230</v>
      </c>
      <c r="F342" t="s">
        <v>230</v>
      </c>
      <c r="G342" t="s">
        <v>230</v>
      </c>
      <c r="H342" t="s">
        <v>230</v>
      </c>
      <c r="I342" t="s">
        <v>230</v>
      </c>
      <c r="J342" t="s">
        <v>230</v>
      </c>
      <c r="K342" t="s">
        <v>230</v>
      </c>
      <c r="L342" t="s">
        <v>230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row>
    <row r="343" spans="1:48">
      <c r="A343">
        <v>0</v>
      </c>
      <c r="B343">
        <v>342</v>
      </c>
      <c r="C343" t="s">
        <v>230</v>
      </c>
      <c r="D343" t="s">
        <v>230</v>
      </c>
      <c r="E343" t="s">
        <v>230</v>
      </c>
      <c r="F343" t="s">
        <v>230</v>
      </c>
      <c r="G343" t="s">
        <v>230</v>
      </c>
      <c r="H343" t="s">
        <v>230</v>
      </c>
      <c r="I343" t="s">
        <v>230</v>
      </c>
      <c r="J343" t="s">
        <v>230</v>
      </c>
      <c r="K343" t="s">
        <v>230</v>
      </c>
      <c r="L343" t="s">
        <v>230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row>
    <row r="344" spans="1:48">
      <c r="A344">
        <v>0</v>
      </c>
      <c r="B344">
        <v>343</v>
      </c>
      <c r="C344" t="s">
        <v>230</v>
      </c>
      <c r="D344" t="s">
        <v>230</v>
      </c>
      <c r="E344" t="s">
        <v>230</v>
      </c>
      <c r="F344" t="s">
        <v>230</v>
      </c>
      <c r="G344" t="s">
        <v>230</v>
      </c>
      <c r="H344" t="s">
        <v>230</v>
      </c>
      <c r="I344" t="s">
        <v>230</v>
      </c>
      <c r="J344" t="s">
        <v>230</v>
      </c>
      <c r="K344" t="s">
        <v>230</v>
      </c>
      <c r="L344" t="s">
        <v>230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row>
    <row r="345" spans="1:48">
      <c r="A345">
        <v>0</v>
      </c>
      <c r="B345">
        <v>344</v>
      </c>
      <c r="C345" t="s">
        <v>230</v>
      </c>
      <c r="D345" t="s">
        <v>230</v>
      </c>
      <c r="E345" t="s">
        <v>230</v>
      </c>
      <c r="F345" t="s">
        <v>230</v>
      </c>
      <c r="G345" t="s">
        <v>230</v>
      </c>
      <c r="H345" t="s">
        <v>230</v>
      </c>
      <c r="I345" t="s">
        <v>230</v>
      </c>
      <c r="J345" t="s">
        <v>230</v>
      </c>
      <c r="K345" t="s">
        <v>230</v>
      </c>
      <c r="L345" t="s">
        <v>230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row>
    <row r="346" spans="1:48">
      <c r="A346">
        <v>0</v>
      </c>
      <c r="B346">
        <v>345</v>
      </c>
      <c r="C346" t="s">
        <v>230</v>
      </c>
      <c r="D346" t="s">
        <v>230</v>
      </c>
      <c r="E346" t="s">
        <v>230</v>
      </c>
      <c r="F346" t="s">
        <v>230</v>
      </c>
      <c r="G346" t="s">
        <v>230</v>
      </c>
      <c r="H346" t="s">
        <v>230</v>
      </c>
      <c r="I346" t="s">
        <v>230</v>
      </c>
      <c r="J346" t="s">
        <v>230</v>
      </c>
      <c r="K346" t="s">
        <v>230</v>
      </c>
      <c r="L346" t="s">
        <v>230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row>
    <row r="347" spans="1:48">
      <c r="A347">
        <v>0</v>
      </c>
      <c r="B347">
        <v>346</v>
      </c>
      <c r="C347" t="s">
        <v>230</v>
      </c>
      <c r="D347" t="s">
        <v>230</v>
      </c>
      <c r="E347" t="s">
        <v>230</v>
      </c>
      <c r="F347" t="s">
        <v>230</v>
      </c>
      <c r="G347" t="s">
        <v>230</v>
      </c>
      <c r="H347" t="s">
        <v>230</v>
      </c>
      <c r="I347" t="s">
        <v>230</v>
      </c>
      <c r="J347" t="s">
        <v>230</v>
      </c>
      <c r="K347" t="s">
        <v>230</v>
      </c>
      <c r="L347" t="s">
        <v>230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row>
    <row r="348" spans="1:48">
      <c r="A348">
        <v>0</v>
      </c>
      <c r="B348">
        <v>347</v>
      </c>
      <c r="C348" t="s">
        <v>230</v>
      </c>
      <c r="D348" t="s">
        <v>230</v>
      </c>
      <c r="E348" t="s">
        <v>230</v>
      </c>
      <c r="F348" t="s">
        <v>230</v>
      </c>
      <c r="G348" t="s">
        <v>230</v>
      </c>
      <c r="H348" t="s">
        <v>230</v>
      </c>
      <c r="I348" t="s">
        <v>230</v>
      </c>
      <c r="J348" t="s">
        <v>230</v>
      </c>
      <c r="K348" t="s">
        <v>230</v>
      </c>
      <c r="L348" t="s">
        <v>230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row>
    <row r="349" spans="1:48">
      <c r="A349">
        <v>0</v>
      </c>
      <c r="B349">
        <v>348</v>
      </c>
      <c r="C349" t="s">
        <v>230</v>
      </c>
      <c r="D349" t="s">
        <v>230</v>
      </c>
      <c r="E349" t="s">
        <v>230</v>
      </c>
      <c r="F349" t="s">
        <v>230</v>
      </c>
      <c r="G349" t="s">
        <v>230</v>
      </c>
      <c r="H349" t="s">
        <v>230</v>
      </c>
      <c r="I349" t="s">
        <v>230</v>
      </c>
      <c r="J349" t="s">
        <v>230</v>
      </c>
      <c r="K349" t="s">
        <v>230</v>
      </c>
      <c r="L349" t="s">
        <v>230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row>
    <row r="350" spans="1:48">
      <c r="A350">
        <v>0</v>
      </c>
      <c r="B350">
        <v>349</v>
      </c>
      <c r="C350" t="s">
        <v>230</v>
      </c>
      <c r="D350" t="s">
        <v>230</v>
      </c>
      <c r="E350" t="s">
        <v>230</v>
      </c>
      <c r="F350" t="s">
        <v>230</v>
      </c>
      <c r="G350" t="s">
        <v>230</v>
      </c>
      <c r="H350" t="s">
        <v>230</v>
      </c>
      <c r="I350" t="s">
        <v>230</v>
      </c>
      <c r="J350" t="s">
        <v>230</v>
      </c>
      <c r="K350" t="s">
        <v>230</v>
      </c>
      <c r="L350" t="s">
        <v>230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row>
    <row r="351" spans="1:48">
      <c r="A351">
        <v>0</v>
      </c>
      <c r="B351">
        <v>350</v>
      </c>
      <c r="C351" t="s">
        <v>230</v>
      </c>
      <c r="D351" t="s">
        <v>230</v>
      </c>
      <c r="E351" t="s">
        <v>230</v>
      </c>
      <c r="F351" t="s">
        <v>230</v>
      </c>
      <c r="G351" t="s">
        <v>230</v>
      </c>
      <c r="H351" t="s">
        <v>230</v>
      </c>
      <c r="I351" t="s">
        <v>230</v>
      </c>
      <c r="J351" t="s">
        <v>230</v>
      </c>
      <c r="K351" t="s">
        <v>230</v>
      </c>
      <c r="L351" t="s">
        <v>230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row>
    <row r="352" spans="1:48">
      <c r="A352">
        <v>0</v>
      </c>
      <c r="B352">
        <v>351</v>
      </c>
      <c r="C352" t="s">
        <v>230</v>
      </c>
      <c r="D352" t="s">
        <v>230</v>
      </c>
      <c r="E352" t="s">
        <v>230</v>
      </c>
      <c r="F352" t="s">
        <v>230</v>
      </c>
      <c r="G352" t="s">
        <v>230</v>
      </c>
      <c r="H352" t="s">
        <v>230</v>
      </c>
      <c r="I352" t="s">
        <v>230</v>
      </c>
      <c r="J352" t="s">
        <v>230</v>
      </c>
      <c r="K352" t="s">
        <v>230</v>
      </c>
      <c r="L352" t="s">
        <v>230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row>
    <row r="353" spans="1:48">
      <c r="A353">
        <v>0</v>
      </c>
      <c r="B353">
        <v>352</v>
      </c>
      <c r="C353" t="s">
        <v>230</v>
      </c>
      <c r="D353" t="s">
        <v>230</v>
      </c>
      <c r="E353" t="s">
        <v>230</v>
      </c>
      <c r="F353" t="s">
        <v>230</v>
      </c>
      <c r="G353" t="s">
        <v>230</v>
      </c>
      <c r="H353" t="s">
        <v>230</v>
      </c>
      <c r="I353" t="s">
        <v>230</v>
      </c>
      <c r="J353" t="s">
        <v>230</v>
      </c>
      <c r="K353" t="s">
        <v>230</v>
      </c>
      <c r="L353" t="s">
        <v>230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row>
    <row r="354" spans="1:48">
      <c r="A354">
        <v>0</v>
      </c>
      <c r="B354">
        <v>353</v>
      </c>
      <c r="C354" t="s">
        <v>230</v>
      </c>
      <c r="D354" t="s">
        <v>230</v>
      </c>
      <c r="E354" t="s">
        <v>230</v>
      </c>
      <c r="F354" t="s">
        <v>230</v>
      </c>
      <c r="G354" t="s">
        <v>230</v>
      </c>
      <c r="H354" t="s">
        <v>230</v>
      </c>
      <c r="I354" t="s">
        <v>230</v>
      </c>
      <c r="J354" t="s">
        <v>230</v>
      </c>
      <c r="K354" t="s">
        <v>230</v>
      </c>
      <c r="L354" t="s">
        <v>230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row>
    <row r="355" spans="1:48">
      <c r="A355">
        <v>0</v>
      </c>
      <c r="B355">
        <v>354</v>
      </c>
      <c r="C355" t="s">
        <v>230</v>
      </c>
      <c r="D355" t="s">
        <v>230</v>
      </c>
      <c r="E355" t="s">
        <v>230</v>
      </c>
      <c r="F355" t="s">
        <v>230</v>
      </c>
      <c r="G355" t="s">
        <v>230</v>
      </c>
      <c r="H355" t="s">
        <v>230</v>
      </c>
      <c r="I355" t="s">
        <v>230</v>
      </c>
      <c r="J355" t="s">
        <v>230</v>
      </c>
      <c r="K355" t="s">
        <v>230</v>
      </c>
      <c r="L355" t="s">
        <v>230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row>
    <row r="356" spans="1:48">
      <c r="A356">
        <v>0</v>
      </c>
      <c r="B356">
        <v>355</v>
      </c>
      <c r="C356" t="s">
        <v>230</v>
      </c>
      <c r="D356" t="s">
        <v>230</v>
      </c>
      <c r="E356" t="s">
        <v>230</v>
      </c>
      <c r="F356" t="s">
        <v>230</v>
      </c>
      <c r="G356" t="s">
        <v>230</v>
      </c>
      <c r="H356" t="s">
        <v>230</v>
      </c>
      <c r="I356" t="s">
        <v>230</v>
      </c>
      <c r="J356" t="s">
        <v>230</v>
      </c>
      <c r="K356" t="s">
        <v>230</v>
      </c>
      <c r="L356" t="s">
        <v>230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row>
    <row r="357" spans="1:48">
      <c r="A357">
        <v>0</v>
      </c>
      <c r="B357">
        <v>356</v>
      </c>
      <c r="C357" t="s">
        <v>230</v>
      </c>
      <c r="D357" t="s">
        <v>230</v>
      </c>
      <c r="E357" t="s">
        <v>230</v>
      </c>
      <c r="F357" t="s">
        <v>230</v>
      </c>
      <c r="G357" t="s">
        <v>230</v>
      </c>
      <c r="H357" t="s">
        <v>230</v>
      </c>
      <c r="I357" t="s">
        <v>230</v>
      </c>
      <c r="J357" t="s">
        <v>230</v>
      </c>
      <c r="K357" t="s">
        <v>230</v>
      </c>
      <c r="L357" t="s">
        <v>230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row>
    <row r="358" spans="1:48">
      <c r="A358">
        <v>0</v>
      </c>
      <c r="B358">
        <v>357</v>
      </c>
      <c r="C358" t="s">
        <v>230</v>
      </c>
      <c r="D358" t="s">
        <v>230</v>
      </c>
      <c r="E358" t="s">
        <v>230</v>
      </c>
      <c r="F358" t="s">
        <v>230</v>
      </c>
      <c r="G358" t="s">
        <v>230</v>
      </c>
      <c r="H358" t="s">
        <v>230</v>
      </c>
      <c r="I358" t="s">
        <v>230</v>
      </c>
      <c r="J358" t="s">
        <v>230</v>
      </c>
      <c r="K358" t="s">
        <v>230</v>
      </c>
      <c r="L358" t="s">
        <v>230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row>
    <row r="359" spans="1:48">
      <c r="A359">
        <v>0</v>
      </c>
      <c r="B359">
        <v>358</v>
      </c>
      <c r="C359" t="s">
        <v>230</v>
      </c>
      <c r="D359" t="s">
        <v>230</v>
      </c>
      <c r="E359" t="s">
        <v>230</v>
      </c>
      <c r="F359" t="s">
        <v>230</v>
      </c>
      <c r="G359" t="s">
        <v>230</v>
      </c>
      <c r="H359" t="s">
        <v>230</v>
      </c>
      <c r="I359" t="s">
        <v>230</v>
      </c>
      <c r="J359" t="s">
        <v>230</v>
      </c>
      <c r="K359" t="s">
        <v>230</v>
      </c>
      <c r="L359" t="s">
        <v>230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row>
    <row r="360" spans="1:48">
      <c r="A360">
        <v>0</v>
      </c>
      <c r="B360">
        <v>359</v>
      </c>
      <c r="C360" t="s">
        <v>230</v>
      </c>
      <c r="D360" t="s">
        <v>230</v>
      </c>
      <c r="E360" t="s">
        <v>230</v>
      </c>
      <c r="F360" t="s">
        <v>230</v>
      </c>
      <c r="G360" t="s">
        <v>230</v>
      </c>
      <c r="H360" t="s">
        <v>230</v>
      </c>
      <c r="I360" t="s">
        <v>230</v>
      </c>
      <c r="J360" t="s">
        <v>230</v>
      </c>
      <c r="K360" t="s">
        <v>230</v>
      </c>
      <c r="L360" t="s">
        <v>230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row>
    <row r="361" spans="1:48">
      <c r="A361">
        <v>0</v>
      </c>
      <c r="B361">
        <v>360</v>
      </c>
      <c r="C361" t="s">
        <v>230</v>
      </c>
      <c r="D361" t="s">
        <v>230</v>
      </c>
      <c r="E361" t="s">
        <v>230</v>
      </c>
      <c r="F361" t="s">
        <v>230</v>
      </c>
      <c r="G361" t="s">
        <v>230</v>
      </c>
      <c r="H361" t="s">
        <v>230</v>
      </c>
      <c r="I361" t="s">
        <v>230</v>
      </c>
      <c r="J361" t="s">
        <v>230</v>
      </c>
      <c r="K361" t="s">
        <v>230</v>
      </c>
      <c r="L361" t="s">
        <v>230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row>
    <row r="362" spans="1:48">
      <c r="A362">
        <v>0</v>
      </c>
      <c r="B362">
        <v>361</v>
      </c>
      <c r="C362" t="s">
        <v>230</v>
      </c>
      <c r="D362" t="s">
        <v>230</v>
      </c>
      <c r="E362" t="s">
        <v>230</v>
      </c>
      <c r="F362" t="s">
        <v>230</v>
      </c>
      <c r="G362" t="s">
        <v>230</v>
      </c>
      <c r="H362" t="s">
        <v>230</v>
      </c>
      <c r="I362" t="s">
        <v>230</v>
      </c>
      <c r="J362" t="s">
        <v>230</v>
      </c>
      <c r="K362" t="s">
        <v>230</v>
      </c>
      <c r="L362" t="s">
        <v>230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row>
    <row r="363" spans="1:48">
      <c r="A363">
        <v>0</v>
      </c>
      <c r="B363">
        <v>362</v>
      </c>
      <c r="C363" t="s">
        <v>230</v>
      </c>
      <c r="D363" t="s">
        <v>230</v>
      </c>
      <c r="E363" t="s">
        <v>230</v>
      </c>
      <c r="F363" t="s">
        <v>230</v>
      </c>
      <c r="G363" t="s">
        <v>230</v>
      </c>
      <c r="H363" t="s">
        <v>230</v>
      </c>
      <c r="I363" t="s">
        <v>230</v>
      </c>
      <c r="J363" t="s">
        <v>230</v>
      </c>
      <c r="K363" t="s">
        <v>230</v>
      </c>
      <c r="L363" t="s">
        <v>230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row>
    <row r="364" spans="1:48">
      <c r="A364">
        <v>0</v>
      </c>
      <c r="B364">
        <v>363</v>
      </c>
      <c r="C364" t="s">
        <v>230</v>
      </c>
      <c r="D364" t="s">
        <v>230</v>
      </c>
      <c r="E364" t="s">
        <v>230</v>
      </c>
      <c r="F364" t="s">
        <v>230</v>
      </c>
      <c r="G364" t="s">
        <v>230</v>
      </c>
      <c r="H364" t="s">
        <v>230</v>
      </c>
      <c r="I364" t="s">
        <v>230</v>
      </c>
      <c r="J364" t="s">
        <v>230</v>
      </c>
      <c r="K364" t="s">
        <v>230</v>
      </c>
      <c r="L364" t="s">
        <v>230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row>
    <row r="365" spans="1:48">
      <c r="A365">
        <v>0</v>
      </c>
      <c r="B365">
        <v>364</v>
      </c>
      <c r="C365" t="s">
        <v>230</v>
      </c>
      <c r="D365" t="s">
        <v>230</v>
      </c>
      <c r="E365" t="s">
        <v>230</v>
      </c>
      <c r="F365" t="s">
        <v>230</v>
      </c>
      <c r="G365" t="s">
        <v>230</v>
      </c>
      <c r="H365" t="s">
        <v>230</v>
      </c>
      <c r="I365" t="s">
        <v>230</v>
      </c>
      <c r="J365" t="s">
        <v>230</v>
      </c>
      <c r="K365" t="s">
        <v>230</v>
      </c>
      <c r="L365" t="s">
        <v>230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row>
    <row r="366" spans="1:48">
      <c r="A366">
        <v>0</v>
      </c>
      <c r="B366">
        <v>365</v>
      </c>
      <c r="C366" t="s">
        <v>230</v>
      </c>
      <c r="D366" t="s">
        <v>230</v>
      </c>
      <c r="E366" t="s">
        <v>230</v>
      </c>
      <c r="F366" t="s">
        <v>230</v>
      </c>
      <c r="G366" t="s">
        <v>230</v>
      </c>
      <c r="H366" t="s">
        <v>230</v>
      </c>
      <c r="I366" t="s">
        <v>230</v>
      </c>
      <c r="J366" t="s">
        <v>230</v>
      </c>
      <c r="K366" t="s">
        <v>230</v>
      </c>
      <c r="L366" t="s">
        <v>230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row>
    <row r="367" spans="1:48">
      <c r="A367">
        <v>0</v>
      </c>
      <c r="B367">
        <v>366</v>
      </c>
      <c r="C367" t="s">
        <v>230</v>
      </c>
      <c r="D367" t="s">
        <v>230</v>
      </c>
      <c r="E367" t="s">
        <v>230</v>
      </c>
      <c r="F367" t="s">
        <v>230</v>
      </c>
      <c r="G367" t="s">
        <v>230</v>
      </c>
      <c r="H367" t="s">
        <v>230</v>
      </c>
      <c r="I367" t="s">
        <v>230</v>
      </c>
      <c r="J367" t="s">
        <v>230</v>
      </c>
      <c r="K367" t="s">
        <v>230</v>
      </c>
      <c r="L367" t="s">
        <v>230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row>
    <row r="368" spans="1:48">
      <c r="A368">
        <v>0</v>
      </c>
      <c r="B368">
        <v>367</v>
      </c>
      <c r="C368" t="s">
        <v>230</v>
      </c>
      <c r="D368" t="s">
        <v>230</v>
      </c>
      <c r="E368" t="s">
        <v>230</v>
      </c>
      <c r="F368" t="s">
        <v>230</v>
      </c>
      <c r="G368" t="s">
        <v>230</v>
      </c>
      <c r="H368" t="s">
        <v>230</v>
      </c>
      <c r="I368" t="s">
        <v>230</v>
      </c>
      <c r="J368" t="s">
        <v>230</v>
      </c>
      <c r="K368" t="s">
        <v>230</v>
      </c>
      <c r="L368" t="s">
        <v>230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row>
    <row r="369" spans="1:48">
      <c r="A369">
        <v>0</v>
      </c>
      <c r="B369">
        <v>368</v>
      </c>
      <c r="C369" t="s">
        <v>230</v>
      </c>
      <c r="D369" t="s">
        <v>230</v>
      </c>
      <c r="E369" t="s">
        <v>230</v>
      </c>
      <c r="F369" t="s">
        <v>230</v>
      </c>
      <c r="G369" t="s">
        <v>230</v>
      </c>
      <c r="H369" t="s">
        <v>230</v>
      </c>
      <c r="I369" t="s">
        <v>230</v>
      </c>
      <c r="J369" t="s">
        <v>230</v>
      </c>
      <c r="K369" t="s">
        <v>230</v>
      </c>
      <c r="L369" t="s">
        <v>230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row>
    <row r="370" spans="1:48">
      <c r="A370">
        <v>0</v>
      </c>
      <c r="B370">
        <v>369</v>
      </c>
      <c r="C370" t="s">
        <v>230</v>
      </c>
      <c r="D370" t="s">
        <v>230</v>
      </c>
      <c r="E370" t="s">
        <v>230</v>
      </c>
      <c r="F370" t="s">
        <v>230</v>
      </c>
      <c r="G370" t="s">
        <v>230</v>
      </c>
      <c r="H370" t="s">
        <v>230</v>
      </c>
      <c r="I370" t="s">
        <v>230</v>
      </c>
      <c r="J370" t="s">
        <v>230</v>
      </c>
      <c r="K370" t="s">
        <v>230</v>
      </c>
      <c r="L370" t="s">
        <v>230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row>
    <row r="371" spans="1:48">
      <c r="A371">
        <v>0</v>
      </c>
      <c r="B371">
        <v>370</v>
      </c>
      <c r="C371" t="s">
        <v>230</v>
      </c>
      <c r="D371" t="s">
        <v>230</v>
      </c>
      <c r="E371" t="s">
        <v>230</v>
      </c>
      <c r="F371" t="s">
        <v>230</v>
      </c>
      <c r="G371" t="s">
        <v>230</v>
      </c>
      <c r="H371" t="s">
        <v>230</v>
      </c>
      <c r="I371" t="s">
        <v>230</v>
      </c>
      <c r="J371" t="s">
        <v>230</v>
      </c>
      <c r="K371" t="s">
        <v>230</v>
      </c>
      <c r="L371" t="s">
        <v>230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row>
    <row r="372" spans="1:48">
      <c r="A372">
        <v>0</v>
      </c>
      <c r="B372">
        <v>371</v>
      </c>
      <c r="C372" t="s">
        <v>230</v>
      </c>
      <c r="D372" t="s">
        <v>230</v>
      </c>
      <c r="E372" t="s">
        <v>230</v>
      </c>
      <c r="F372" t="s">
        <v>230</v>
      </c>
      <c r="G372" t="s">
        <v>230</v>
      </c>
      <c r="H372" t="s">
        <v>230</v>
      </c>
      <c r="I372" t="s">
        <v>230</v>
      </c>
      <c r="J372" t="s">
        <v>230</v>
      </c>
      <c r="K372" t="s">
        <v>230</v>
      </c>
      <c r="L372" t="s">
        <v>230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row>
    <row r="373" spans="1:48">
      <c r="A373">
        <v>0</v>
      </c>
      <c r="B373">
        <v>372</v>
      </c>
      <c r="C373" t="s">
        <v>230</v>
      </c>
      <c r="D373" t="s">
        <v>230</v>
      </c>
      <c r="E373" t="s">
        <v>230</v>
      </c>
      <c r="F373" t="s">
        <v>230</v>
      </c>
      <c r="G373" t="s">
        <v>230</v>
      </c>
      <c r="H373" t="s">
        <v>230</v>
      </c>
      <c r="I373" t="s">
        <v>230</v>
      </c>
      <c r="J373" t="s">
        <v>230</v>
      </c>
      <c r="K373" t="s">
        <v>230</v>
      </c>
      <c r="L373" t="s">
        <v>230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row>
    <row r="374" spans="1:48">
      <c r="A374">
        <v>0</v>
      </c>
      <c r="B374">
        <v>373</v>
      </c>
      <c r="C374" t="s">
        <v>230</v>
      </c>
      <c r="D374" t="s">
        <v>230</v>
      </c>
      <c r="E374" t="s">
        <v>230</v>
      </c>
      <c r="F374" t="s">
        <v>230</v>
      </c>
      <c r="G374" t="s">
        <v>230</v>
      </c>
      <c r="H374" t="s">
        <v>230</v>
      </c>
      <c r="I374" t="s">
        <v>230</v>
      </c>
      <c r="J374" t="s">
        <v>230</v>
      </c>
      <c r="K374" t="s">
        <v>230</v>
      </c>
      <c r="L374" t="s">
        <v>230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row>
    <row r="375" spans="1:48">
      <c r="A375">
        <v>0</v>
      </c>
      <c r="B375">
        <v>374</v>
      </c>
      <c r="C375" t="s">
        <v>230</v>
      </c>
      <c r="D375" t="s">
        <v>230</v>
      </c>
      <c r="E375" t="s">
        <v>230</v>
      </c>
      <c r="F375" t="s">
        <v>230</v>
      </c>
      <c r="G375" t="s">
        <v>230</v>
      </c>
      <c r="H375" t="s">
        <v>230</v>
      </c>
      <c r="I375" t="s">
        <v>230</v>
      </c>
      <c r="J375" t="s">
        <v>230</v>
      </c>
      <c r="K375" t="s">
        <v>230</v>
      </c>
      <c r="L375" t="s">
        <v>230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row>
    <row r="376" spans="1:48">
      <c r="A376">
        <v>0</v>
      </c>
      <c r="B376">
        <v>375</v>
      </c>
      <c r="C376" t="s">
        <v>230</v>
      </c>
      <c r="D376" t="s">
        <v>230</v>
      </c>
      <c r="E376" t="s">
        <v>230</v>
      </c>
      <c r="F376" t="s">
        <v>230</v>
      </c>
      <c r="G376" t="s">
        <v>230</v>
      </c>
      <c r="H376" t="s">
        <v>230</v>
      </c>
      <c r="I376" t="s">
        <v>230</v>
      </c>
      <c r="J376" t="s">
        <v>230</v>
      </c>
      <c r="K376" t="s">
        <v>230</v>
      </c>
      <c r="L376" t="s">
        <v>230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row>
    <row r="377" spans="1:48">
      <c r="A377">
        <v>0</v>
      </c>
      <c r="B377">
        <v>376</v>
      </c>
      <c r="C377" t="s">
        <v>230</v>
      </c>
      <c r="D377" t="s">
        <v>230</v>
      </c>
      <c r="E377" t="s">
        <v>230</v>
      </c>
      <c r="F377" t="s">
        <v>230</v>
      </c>
      <c r="G377" t="s">
        <v>230</v>
      </c>
      <c r="H377" t="s">
        <v>230</v>
      </c>
      <c r="I377" t="s">
        <v>230</v>
      </c>
      <c r="J377" t="s">
        <v>230</v>
      </c>
      <c r="K377" t="s">
        <v>230</v>
      </c>
      <c r="L377" t="s">
        <v>230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row>
    <row r="378" spans="1:48">
      <c r="A378">
        <v>0</v>
      </c>
      <c r="B378">
        <v>377</v>
      </c>
      <c r="C378" t="s">
        <v>230</v>
      </c>
      <c r="D378" t="s">
        <v>230</v>
      </c>
      <c r="E378" t="s">
        <v>230</v>
      </c>
      <c r="F378" t="s">
        <v>230</v>
      </c>
      <c r="G378" t="s">
        <v>230</v>
      </c>
      <c r="H378" t="s">
        <v>230</v>
      </c>
      <c r="I378" t="s">
        <v>230</v>
      </c>
      <c r="J378" t="s">
        <v>230</v>
      </c>
      <c r="K378" t="s">
        <v>230</v>
      </c>
      <c r="L378" t="s">
        <v>230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row>
    <row r="379" spans="1:48">
      <c r="A379">
        <v>0</v>
      </c>
      <c r="B379">
        <v>378</v>
      </c>
      <c r="C379" t="s">
        <v>230</v>
      </c>
      <c r="D379" t="s">
        <v>230</v>
      </c>
      <c r="E379" t="s">
        <v>230</v>
      </c>
      <c r="F379" t="s">
        <v>230</v>
      </c>
      <c r="G379" t="s">
        <v>230</v>
      </c>
      <c r="H379" t="s">
        <v>230</v>
      </c>
      <c r="I379" t="s">
        <v>230</v>
      </c>
      <c r="J379" t="s">
        <v>230</v>
      </c>
      <c r="K379" t="s">
        <v>230</v>
      </c>
      <c r="L379" t="s">
        <v>230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row>
    <row r="380" spans="1:48">
      <c r="A380">
        <v>0</v>
      </c>
      <c r="B380">
        <v>379</v>
      </c>
      <c r="C380" t="s">
        <v>230</v>
      </c>
      <c r="D380" t="s">
        <v>230</v>
      </c>
      <c r="E380" t="s">
        <v>230</v>
      </c>
      <c r="F380" t="s">
        <v>230</v>
      </c>
      <c r="G380" t="s">
        <v>230</v>
      </c>
      <c r="H380" t="s">
        <v>230</v>
      </c>
      <c r="I380" t="s">
        <v>230</v>
      </c>
      <c r="J380" t="s">
        <v>230</v>
      </c>
      <c r="K380" t="s">
        <v>230</v>
      </c>
      <c r="L380" t="s">
        <v>230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row>
    <row r="381" spans="1:48">
      <c r="A381">
        <v>0</v>
      </c>
      <c r="B381">
        <v>380</v>
      </c>
      <c r="C381" t="s">
        <v>230</v>
      </c>
      <c r="D381" t="s">
        <v>230</v>
      </c>
      <c r="E381" t="s">
        <v>230</v>
      </c>
      <c r="F381" t="s">
        <v>230</v>
      </c>
      <c r="G381" t="s">
        <v>230</v>
      </c>
      <c r="H381" t="s">
        <v>230</v>
      </c>
      <c r="I381" t="s">
        <v>230</v>
      </c>
      <c r="J381" t="s">
        <v>230</v>
      </c>
      <c r="K381" t="s">
        <v>230</v>
      </c>
      <c r="L381" t="s">
        <v>230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row>
    <row r="382" spans="1:48">
      <c r="A382">
        <v>0</v>
      </c>
      <c r="B382">
        <v>381</v>
      </c>
      <c r="C382" t="s">
        <v>230</v>
      </c>
      <c r="D382" t="s">
        <v>230</v>
      </c>
      <c r="E382" t="s">
        <v>230</v>
      </c>
      <c r="F382" t="s">
        <v>230</v>
      </c>
      <c r="G382" t="s">
        <v>230</v>
      </c>
      <c r="H382" t="s">
        <v>230</v>
      </c>
      <c r="I382" t="s">
        <v>230</v>
      </c>
      <c r="J382" t="s">
        <v>230</v>
      </c>
      <c r="K382" t="s">
        <v>230</v>
      </c>
      <c r="L382" t="s">
        <v>230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row>
    <row r="383" spans="1:48">
      <c r="A383">
        <v>0</v>
      </c>
      <c r="B383">
        <v>382</v>
      </c>
      <c r="C383" t="s">
        <v>230</v>
      </c>
      <c r="D383" t="s">
        <v>230</v>
      </c>
      <c r="E383" t="s">
        <v>230</v>
      </c>
      <c r="F383" t="s">
        <v>230</v>
      </c>
      <c r="G383" t="s">
        <v>230</v>
      </c>
      <c r="H383" t="s">
        <v>230</v>
      </c>
      <c r="I383" t="s">
        <v>230</v>
      </c>
      <c r="J383" t="s">
        <v>230</v>
      </c>
      <c r="K383" t="s">
        <v>230</v>
      </c>
      <c r="L383" t="s">
        <v>230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row>
    <row r="384" spans="1:48">
      <c r="A384">
        <v>0</v>
      </c>
      <c r="B384">
        <v>383</v>
      </c>
      <c r="C384" t="s">
        <v>230</v>
      </c>
      <c r="D384" t="s">
        <v>230</v>
      </c>
      <c r="E384" t="s">
        <v>230</v>
      </c>
      <c r="F384" t="s">
        <v>230</v>
      </c>
      <c r="G384" t="s">
        <v>230</v>
      </c>
      <c r="H384" t="s">
        <v>230</v>
      </c>
      <c r="I384" t="s">
        <v>230</v>
      </c>
      <c r="J384" t="s">
        <v>230</v>
      </c>
      <c r="K384" t="s">
        <v>230</v>
      </c>
      <c r="L384" t="s">
        <v>230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row>
    <row r="385" spans="1:48">
      <c r="A385">
        <v>0</v>
      </c>
      <c r="B385">
        <v>384</v>
      </c>
      <c r="C385" t="s">
        <v>230</v>
      </c>
      <c r="D385" t="s">
        <v>230</v>
      </c>
      <c r="E385" t="s">
        <v>230</v>
      </c>
      <c r="F385" t="s">
        <v>230</v>
      </c>
      <c r="G385" t="s">
        <v>230</v>
      </c>
      <c r="H385" t="s">
        <v>230</v>
      </c>
      <c r="I385" t="s">
        <v>230</v>
      </c>
      <c r="J385" t="s">
        <v>230</v>
      </c>
      <c r="K385" t="s">
        <v>230</v>
      </c>
      <c r="L385" t="s">
        <v>230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row>
    <row r="386" spans="1:48">
      <c r="A386">
        <v>0</v>
      </c>
      <c r="B386">
        <v>385</v>
      </c>
      <c r="C386" t="s">
        <v>230</v>
      </c>
      <c r="D386" t="s">
        <v>230</v>
      </c>
      <c r="E386" t="s">
        <v>230</v>
      </c>
      <c r="F386" t="s">
        <v>230</v>
      </c>
      <c r="G386" t="s">
        <v>230</v>
      </c>
      <c r="H386" t="s">
        <v>230</v>
      </c>
      <c r="I386" t="s">
        <v>230</v>
      </c>
      <c r="J386" t="s">
        <v>230</v>
      </c>
      <c r="K386" t="s">
        <v>230</v>
      </c>
      <c r="L386" t="s">
        <v>230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row>
    <row r="387" spans="1:48">
      <c r="A387">
        <v>0</v>
      </c>
      <c r="B387">
        <v>386</v>
      </c>
      <c r="C387" t="s">
        <v>230</v>
      </c>
      <c r="D387" t="s">
        <v>230</v>
      </c>
      <c r="E387" t="s">
        <v>230</v>
      </c>
      <c r="F387" t="s">
        <v>230</v>
      </c>
      <c r="G387" t="s">
        <v>230</v>
      </c>
      <c r="H387" t="s">
        <v>230</v>
      </c>
      <c r="I387" t="s">
        <v>230</v>
      </c>
      <c r="J387" t="s">
        <v>230</v>
      </c>
      <c r="K387" t="s">
        <v>230</v>
      </c>
      <c r="L387" t="s">
        <v>230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row>
    <row r="388" spans="1:48">
      <c r="A388">
        <v>0</v>
      </c>
      <c r="B388">
        <v>387</v>
      </c>
      <c r="C388" t="s">
        <v>230</v>
      </c>
      <c r="D388" t="s">
        <v>230</v>
      </c>
      <c r="E388" t="s">
        <v>230</v>
      </c>
      <c r="F388" t="s">
        <v>230</v>
      </c>
      <c r="G388" t="s">
        <v>230</v>
      </c>
      <c r="H388" t="s">
        <v>230</v>
      </c>
      <c r="I388" t="s">
        <v>230</v>
      </c>
      <c r="J388" t="s">
        <v>230</v>
      </c>
      <c r="K388" t="s">
        <v>230</v>
      </c>
      <c r="L388" t="s">
        <v>230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row>
    <row r="389" spans="1:48">
      <c r="A389">
        <v>0</v>
      </c>
      <c r="B389">
        <v>388</v>
      </c>
      <c r="C389" t="s">
        <v>230</v>
      </c>
      <c r="D389" t="s">
        <v>230</v>
      </c>
      <c r="E389" t="s">
        <v>230</v>
      </c>
      <c r="F389" t="s">
        <v>230</v>
      </c>
      <c r="G389" t="s">
        <v>230</v>
      </c>
      <c r="H389" t="s">
        <v>230</v>
      </c>
      <c r="I389" t="s">
        <v>230</v>
      </c>
      <c r="J389" t="s">
        <v>230</v>
      </c>
      <c r="K389" t="s">
        <v>230</v>
      </c>
      <c r="L389" t="s">
        <v>230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row>
    <row r="390" spans="1:48">
      <c r="A390">
        <v>0</v>
      </c>
      <c r="B390">
        <v>389</v>
      </c>
      <c r="C390" t="s">
        <v>230</v>
      </c>
      <c r="D390" t="s">
        <v>230</v>
      </c>
      <c r="E390" t="s">
        <v>230</v>
      </c>
      <c r="F390" t="s">
        <v>230</v>
      </c>
      <c r="G390" t="s">
        <v>230</v>
      </c>
      <c r="H390" t="s">
        <v>230</v>
      </c>
      <c r="I390" t="s">
        <v>230</v>
      </c>
      <c r="J390" t="s">
        <v>230</v>
      </c>
      <c r="K390" t="s">
        <v>230</v>
      </c>
      <c r="L390" t="s">
        <v>230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row>
    <row r="391" spans="1:48">
      <c r="A391">
        <v>0</v>
      </c>
      <c r="B391">
        <v>390</v>
      </c>
      <c r="C391" t="s">
        <v>230</v>
      </c>
      <c r="D391" t="s">
        <v>230</v>
      </c>
      <c r="E391" t="s">
        <v>230</v>
      </c>
      <c r="F391" t="s">
        <v>230</v>
      </c>
      <c r="G391" t="s">
        <v>230</v>
      </c>
      <c r="H391" t="s">
        <v>230</v>
      </c>
      <c r="I391" t="s">
        <v>230</v>
      </c>
      <c r="J391" t="s">
        <v>230</v>
      </c>
      <c r="K391" t="s">
        <v>230</v>
      </c>
      <c r="L391" t="s">
        <v>230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row>
    <row r="392" spans="1:48">
      <c r="A392">
        <v>0</v>
      </c>
      <c r="B392">
        <v>391</v>
      </c>
      <c r="C392" t="s">
        <v>230</v>
      </c>
      <c r="D392" t="s">
        <v>230</v>
      </c>
      <c r="E392" t="s">
        <v>230</v>
      </c>
      <c r="F392" t="s">
        <v>230</v>
      </c>
      <c r="G392" t="s">
        <v>230</v>
      </c>
      <c r="H392" t="s">
        <v>230</v>
      </c>
      <c r="I392" t="s">
        <v>230</v>
      </c>
      <c r="J392" t="s">
        <v>230</v>
      </c>
      <c r="K392" t="s">
        <v>230</v>
      </c>
      <c r="L392" t="s">
        <v>230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row>
    <row r="393" spans="1:48">
      <c r="A393">
        <v>0</v>
      </c>
      <c r="B393">
        <v>392</v>
      </c>
      <c r="C393" t="s">
        <v>230</v>
      </c>
      <c r="D393" t="s">
        <v>230</v>
      </c>
      <c r="E393" t="s">
        <v>230</v>
      </c>
      <c r="F393" t="s">
        <v>230</v>
      </c>
      <c r="G393" t="s">
        <v>230</v>
      </c>
      <c r="H393" t="s">
        <v>230</v>
      </c>
      <c r="I393" t="s">
        <v>230</v>
      </c>
      <c r="J393" t="s">
        <v>230</v>
      </c>
      <c r="K393" t="s">
        <v>230</v>
      </c>
      <c r="L393" t="s">
        <v>230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row>
    <row r="394" spans="1:48">
      <c r="A394">
        <v>0</v>
      </c>
      <c r="B394">
        <v>393</v>
      </c>
      <c r="C394" t="s">
        <v>230</v>
      </c>
      <c r="D394" t="s">
        <v>230</v>
      </c>
      <c r="E394" t="s">
        <v>230</v>
      </c>
      <c r="F394" t="s">
        <v>230</v>
      </c>
      <c r="G394" t="s">
        <v>230</v>
      </c>
      <c r="H394" t="s">
        <v>230</v>
      </c>
      <c r="I394" t="s">
        <v>230</v>
      </c>
      <c r="J394" t="s">
        <v>230</v>
      </c>
      <c r="K394" t="s">
        <v>230</v>
      </c>
      <c r="L394" t="s">
        <v>230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row>
    <row r="395" spans="1:48">
      <c r="A395">
        <v>0</v>
      </c>
      <c r="B395">
        <v>394</v>
      </c>
      <c r="C395" t="s">
        <v>230</v>
      </c>
      <c r="D395" t="s">
        <v>230</v>
      </c>
      <c r="E395" t="s">
        <v>230</v>
      </c>
      <c r="F395" t="s">
        <v>230</v>
      </c>
      <c r="G395" t="s">
        <v>230</v>
      </c>
      <c r="H395" t="s">
        <v>230</v>
      </c>
      <c r="I395" t="s">
        <v>230</v>
      </c>
      <c r="J395" t="s">
        <v>230</v>
      </c>
      <c r="K395" t="s">
        <v>230</v>
      </c>
      <c r="L395" t="s">
        <v>230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row>
    <row r="396" spans="1:48">
      <c r="A396">
        <v>0</v>
      </c>
      <c r="B396">
        <v>395</v>
      </c>
      <c r="C396" t="s">
        <v>230</v>
      </c>
      <c r="D396" t="s">
        <v>230</v>
      </c>
      <c r="E396" t="s">
        <v>230</v>
      </c>
      <c r="F396" t="s">
        <v>230</v>
      </c>
      <c r="G396" t="s">
        <v>230</v>
      </c>
      <c r="H396" t="s">
        <v>230</v>
      </c>
      <c r="I396" t="s">
        <v>230</v>
      </c>
      <c r="J396" t="s">
        <v>230</v>
      </c>
      <c r="K396" t="s">
        <v>230</v>
      </c>
      <c r="L396" t="s">
        <v>230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row>
    <row r="397" spans="1:48">
      <c r="A397">
        <v>0</v>
      </c>
      <c r="B397">
        <v>396</v>
      </c>
      <c r="C397" t="s">
        <v>230</v>
      </c>
      <c r="D397" t="s">
        <v>230</v>
      </c>
      <c r="E397" t="s">
        <v>230</v>
      </c>
      <c r="F397" t="s">
        <v>230</v>
      </c>
      <c r="G397" t="s">
        <v>230</v>
      </c>
      <c r="H397" t="s">
        <v>230</v>
      </c>
      <c r="I397" t="s">
        <v>230</v>
      </c>
      <c r="J397" t="s">
        <v>230</v>
      </c>
      <c r="K397" t="s">
        <v>230</v>
      </c>
      <c r="L397" t="s">
        <v>230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row>
    <row r="398" spans="1:48">
      <c r="A398">
        <v>0</v>
      </c>
      <c r="B398">
        <v>397</v>
      </c>
      <c r="C398" t="s">
        <v>230</v>
      </c>
      <c r="D398" t="s">
        <v>230</v>
      </c>
      <c r="E398" t="s">
        <v>230</v>
      </c>
      <c r="F398" t="s">
        <v>230</v>
      </c>
      <c r="G398" t="s">
        <v>230</v>
      </c>
      <c r="H398" t="s">
        <v>230</v>
      </c>
      <c r="I398" t="s">
        <v>230</v>
      </c>
      <c r="J398" t="s">
        <v>230</v>
      </c>
      <c r="K398" t="s">
        <v>230</v>
      </c>
      <c r="L398" t="s">
        <v>230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row>
    <row r="399" spans="1:48">
      <c r="A399">
        <v>0</v>
      </c>
      <c r="B399">
        <v>398</v>
      </c>
      <c r="C399" t="s">
        <v>230</v>
      </c>
      <c r="D399" t="s">
        <v>230</v>
      </c>
      <c r="E399" t="s">
        <v>230</v>
      </c>
      <c r="F399" t="s">
        <v>230</v>
      </c>
      <c r="G399" t="s">
        <v>230</v>
      </c>
      <c r="H399" t="s">
        <v>230</v>
      </c>
      <c r="I399" t="s">
        <v>230</v>
      </c>
      <c r="J399" t="s">
        <v>230</v>
      </c>
      <c r="K399" t="s">
        <v>230</v>
      </c>
      <c r="L399" t="s">
        <v>230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row>
    <row r="400" spans="1:48">
      <c r="A400">
        <v>0</v>
      </c>
      <c r="B400">
        <v>399</v>
      </c>
      <c r="C400" t="s">
        <v>230</v>
      </c>
      <c r="D400" t="s">
        <v>230</v>
      </c>
      <c r="E400" t="s">
        <v>230</v>
      </c>
      <c r="F400" t="s">
        <v>230</v>
      </c>
      <c r="G400" t="s">
        <v>230</v>
      </c>
      <c r="H400" t="s">
        <v>230</v>
      </c>
      <c r="I400" t="s">
        <v>230</v>
      </c>
      <c r="J400" t="s">
        <v>230</v>
      </c>
      <c r="K400" t="s">
        <v>230</v>
      </c>
      <c r="L400" t="s">
        <v>230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row>
    <row r="401" spans="1:48">
      <c r="A401">
        <v>0</v>
      </c>
      <c r="B401">
        <v>400</v>
      </c>
      <c r="C401" t="s">
        <v>230</v>
      </c>
      <c r="D401" t="s">
        <v>230</v>
      </c>
      <c r="E401" t="s">
        <v>230</v>
      </c>
      <c r="F401" t="s">
        <v>230</v>
      </c>
      <c r="G401" t="s">
        <v>230</v>
      </c>
      <c r="H401" t="s">
        <v>230</v>
      </c>
      <c r="I401" t="s">
        <v>230</v>
      </c>
      <c r="J401" t="s">
        <v>230</v>
      </c>
      <c r="K401" t="s">
        <v>230</v>
      </c>
      <c r="L401" t="s">
        <v>230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row>
    <row r="402" spans="1:48">
      <c r="A402">
        <v>0</v>
      </c>
      <c r="B402">
        <v>401</v>
      </c>
      <c r="C402" t="s">
        <v>230</v>
      </c>
      <c r="D402" t="s">
        <v>230</v>
      </c>
      <c r="E402" t="s">
        <v>230</v>
      </c>
      <c r="F402" t="s">
        <v>230</v>
      </c>
      <c r="G402" t="s">
        <v>230</v>
      </c>
      <c r="H402" t="s">
        <v>230</v>
      </c>
      <c r="I402" t="s">
        <v>230</v>
      </c>
      <c r="J402" t="s">
        <v>230</v>
      </c>
      <c r="K402" t="s">
        <v>230</v>
      </c>
      <c r="L402" t="s">
        <v>230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row>
    <row r="403" spans="1:48">
      <c r="A403">
        <v>0</v>
      </c>
      <c r="B403">
        <v>402</v>
      </c>
      <c r="C403" t="s">
        <v>230</v>
      </c>
      <c r="D403" t="s">
        <v>230</v>
      </c>
      <c r="E403" t="s">
        <v>230</v>
      </c>
      <c r="F403" t="s">
        <v>230</v>
      </c>
      <c r="G403" t="s">
        <v>230</v>
      </c>
      <c r="H403" t="s">
        <v>230</v>
      </c>
      <c r="I403" t="s">
        <v>230</v>
      </c>
      <c r="J403" t="s">
        <v>230</v>
      </c>
      <c r="K403" t="s">
        <v>230</v>
      </c>
      <c r="L403" t="s">
        <v>230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row>
    <row r="404" spans="1:48">
      <c r="A404">
        <v>0</v>
      </c>
      <c r="B404">
        <v>403</v>
      </c>
      <c r="C404" t="s">
        <v>230</v>
      </c>
      <c r="D404" t="s">
        <v>230</v>
      </c>
      <c r="E404" t="s">
        <v>230</v>
      </c>
      <c r="F404" t="s">
        <v>230</v>
      </c>
      <c r="G404" t="s">
        <v>230</v>
      </c>
      <c r="H404" t="s">
        <v>230</v>
      </c>
      <c r="I404" t="s">
        <v>230</v>
      </c>
      <c r="J404" t="s">
        <v>230</v>
      </c>
      <c r="K404" t="s">
        <v>230</v>
      </c>
      <c r="L404" t="s">
        <v>230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row>
    <row r="405" spans="1:48">
      <c r="A405">
        <v>0</v>
      </c>
      <c r="B405">
        <v>404</v>
      </c>
      <c r="C405" t="s">
        <v>230</v>
      </c>
      <c r="D405" t="s">
        <v>230</v>
      </c>
      <c r="E405" t="s">
        <v>230</v>
      </c>
      <c r="F405" t="s">
        <v>230</v>
      </c>
      <c r="G405" t="s">
        <v>230</v>
      </c>
      <c r="H405" t="s">
        <v>230</v>
      </c>
      <c r="I405" t="s">
        <v>230</v>
      </c>
      <c r="J405" t="s">
        <v>230</v>
      </c>
      <c r="K405" t="s">
        <v>230</v>
      </c>
      <c r="L405" t="s">
        <v>230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row>
    <row r="406" spans="1:48">
      <c r="A406">
        <v>0</v>
      </c>
      <c r="B406">
        <v>405</v>
      </c>
      <c r="C406" t="s">
        <v>230</v>
      </c>
      <c r="D406" t="s">
        <v>230</v>
      </c>
      <c r="E406" t="s">
        <v>230</v>
      </c>
      <c r="F406" t="s">
        <v>230</v>
      </c>
      <c r="G406" t="s">
        <v>230</v>
      </c>
      <c r="H406" t="s">
        <v>230</v>
      </c>
      <c r="I406" t="s">
        <v>230</v>
      </c>
      <c r="J406" t="s">
        <v>230</v>
      </c>
      <c r="K406" t="s">
        <v>230</v>
      </c>
      <c r="L406" t="s">
        <v>230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row>
    <row r="407" spans="1:48">
      <c r="A407">
        <v>0</v>
      </c>
      <c r="B407">
        <v>406</v>
      </c>
      <c r="C407" t="s">
        <v>230</v>
      </c>
      <c r="D407" t="s">
        <v>230</v>
      </c>
      <c r="E407" t="s">
        <v>230</v>
      </c>
      <c r="F407" t="s">
        <v>230</v>
      </c>
      <c r="G407" t="s">
        <v>230</v>
      </c>
      <c r="H407" t="s">
        <v>230</v>
      </c>
      <c r="I407" t="s">
        <v>230</v>
      </c>
      <c r="J407" t="s">
        <v>230</v>
      </c>
      <c r="K407" t="s">
        <v>230</v>
      </c>
      <c r="L407" t="s">
        <v>230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row>
    <row r="408" spans="1:48">
      <c r="A408">
        <v>0</v>
      </c>
      <c r="B408">
        <v>407</v>
      </c>
      <c r="C408" t="s">
        <v>230</v>
      </c>
      <c r="D408" t="s">
        <v>230</v>
      </c>
      <c r="E408" t="s">
        <v>230</v>
      </c>
      <c r="F408" t="s">
        <v>230</v>
      </c>
      <c r="G408" t="s">
        <v>230</v>
      </c>
      <c r="H408" t="s">
        <v>230</v>
      </c>
      <c r="I408" t="s">
        <v>230</v>
      </c>
      <c r="J408" t="s">
        <v>230</v>
      </c>
      <c r="K408" t="s">
        <v>230</v>
      </c>
      <c r="L408" t="s">
        <v>230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row>
    <row r="409" spans="1:48">
      <c r="A409">
        <v>0</v>
      </c>
      <c r="B409">
        <v>408</v>
      </c>
      <c r="C409" t="s">
        <v>230</v>
      </c>
      <c r="D409" t="s">
        <v>230</v>
      </c>
      <c r="E409" t="s">
        <v>230</v>
      </c>
      <c r="F409" t="s">
        <v>230</v>
      </c>
      <c r="G409" t="s">
        <v>230</v>
      </c>
      <c r="H409" t="s">
        <v>230</v>
      </c>
      <c r="I409" t="s">
        <v>230</v>
      </c>
      <c r="J409" t="s">
        <v>230</v>
      </c>
      <c r="K409" t="s">
        <v>230</v>
      </c>
      <c r="L409" t="s">
        <v>230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row>
    <row r="410" spans="1:48">
      <c r="A410">
        <v>0</v>
      </c>
      <c r="B410">
        <v>409</v>
      </c>
      <c r="C410" t="s">
        <v>230</v>
      </c>
      <c r="D410" t="s">
        <v>230</v>
      </c>
      <c r="E410" t="s">
        <v>230</v>
      </c>
      <c r="F410" t="s">
        <v>230</v>
      </c>
      <c r="G410" t="s">
        <v>230</v>
      </c>
      <c r="H410" t="s">
        <v>230</v>
      </c>
      <c r="I410" t="s">
        <v>230</v>
      </c>
      <c r="J410" t="s">
        <v>230</v>
      </c>
      <c r="K410" t="s">
        <v>230</v>
      </c>
      <c r="L410" t="s">
        <v>230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row>
    <row r="411" spans="1:48">
      <c r="A411">
        <v>0</v>
      </c>
      <c r="B411">
        <v>410</v>
      </c>
      <c r="C411" t="s">
        <v>230</v>
      </c>
      <c r="D411" t="s">
        <v>230</v>
      </c>
      <c r="E411" t="s">
        <v>230</v>
      </c>
      <c r="F411" t="s">
        <v>230</v>
      </c>
      <c r="G411" t="s">
        <v>230</v>
      </c>
      <c r="H411" t="s">
        <v>230</v>
      </c>
      <c r="I411" t="s">
        <v>230</v>
      </c>
      <c r="J411" t="s">
        <v>230</v>
      </c>
      <c r="K411" t="s">
        <v>230</v>
      </c>
      <c r="L411" t="s">
        <v>230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row>
    <row r="412" spans="1:48">
      <c r="A412">
        <v>0</v>
      </c>
      <c r="B412">
        <v>411</v>
      </c>
      <c r="C412" t="s">
        <v>230</v>
      </c>
      <c r="D412" t="s">
        <v>230</v>
      </c>
      <c r="E412" t="s">
        <v>230</v>
      </c>
      <c r="F412" t="s">
        <v>230</v>
      </c>
      <c r="G412" t="s">
        <v>230</v>
      </c>
      <c r="H412" t="s">
        <v>230</v>
      </c>
      <c r="I412" t="s">
        <v>230</v>
      </c>
      <c r="J412" t="s">
        <v>230</v>
      </c>
      <c r="K412" t="s">
        <v>230</v>
      </c>
      <c r="L412" t="s">
        <v>230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row>
    <row r="413" spans="1:48">
      <c r="A413">
        <v>0</v>
      </c>
      <c r="B413">
        <v>412</v>
      </c>
      <c r="C413" t="s">
        <v>230</v>
      </c>
      <c r="D413" t="s">
        <v>230</v>
      </c>
      <c r="E413" t="s">
        <v>230</v>
      </c>
      <c r="F413" t="s">
        <v>230</v>
      </c>
      <c r="G413" t="s">
        <v>230</v>
      </c>
      <c r="H413" t="s">
        <v>230</v>
      </c>
      <c r="I413" t="s">
        <v>230</v>
      </c>
      <c r="J413" t="s">
        <v>230</v>
      </c>
      <c r="K413" t="s">
        <v>230</v>
      </c>
      <c r="L413" t="s">
        <v>230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row>
    <row r="414" spans="1:48">
      <c r="A414">
        <v>0</v>
      </c>
      <c r="B414">
        <v>413</v>
      </c>
      <c r="C414" t="s">
        <v>230</v>
      </c>
      <c r="D414" t="s">
        <v>230</v>
      </c>
      <c r="E414" t="s">
        <v>230</v>
      </c>
      <c r="F414" t="s">
        <v>230</v>
      </c>
      <c r="G414" t="s">
        <v>230</v>
      </c>
      <c r="H414" t="s">
        <v>230</v>
      </c>
      <c r="I414" t="s">
        <v>230</v>
      </c>
      <c r="J414" t="s">
        <v>230</v>
      </c>
      <c r="K414" t="s">
        <v>230</v>
      </c>
      <c r="L414" t="s">
        <v>230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row>
    <row r="415" spans="1:48">
      <c r="A415">
        <v>0</v>
      </c>
      <c r="B415">
        <v>414</v>
      </c>
      <c r="C415" t="s">
        <v>230</v>
      </c>
      <c r="D415" t="s">
        <v>230</v>
      </c>
      <c r="E415" t="s">
        <v>230</v>
      </c>
      <c r="F415" t="s">
        <v>230</v>
      </c>
      <c r="G415" t="s">
        <v>230</v>
      </c>
      <c r="H415" t="s">
        <v>230</v>
      </c>
      <c r="I415" t="s">
        <v>230</v>
      </c>
      <c r="J415" t="s">
        <v>230</v>
      </c>
      <c r="K415" t="s">
        <v>230</v>
      </c>
      <c r="L415" t="s">
        <v>230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row>
    <row r="416" spans="1:48">
      <c r="A416">
        <v>0</v>
      </c>
      <c r="B416">
        <v>415</v>
      </c>
      <c r="C416" t="s">
        <v>230</v>
      </c>
      <c r="D416" t="s">
        <v>230</v>
      </c>
      <c r="E416" t="s">
        <v>230</v>
      </c>
      <c r="F416" t="s">
        <v>230</v>
      </c>
      <c r="G416" t="s">
        <v>230</v>
      </c>
      <c r="H416" t="s">
        <v>230</v>
      </c>
      <c r="I416" t="s">
        <v>230</v>
      </c>
      <c r="J416" t="s">
        <v>230</v>
      </c>
      <c r="K416" t="s">
        <v>230</v>
      </c>
      <c r="L416" t="s">
        <v>230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row>
    <row r="417" spans="1:48">
      <c r="A417">
        <v>0</v>
      </c>
      <c r="B417">
        <v>416</v>
      </c>
      <c r="C417" t="s">
        <v>230</v>
      </c>
      <c r="D417" t="s">
        <v>230</v>
      </c>
      <c r="E417" t="s">
        <v>230</v>
      </c>
      <c r="F417" t="s">
        <v>230</v>
      </c>
      <c r="G417" t="s">
        <v>230</v>
      </c>
      <c r="H417" t="s">
        <v>230</v>
      </c>
      <c r="I417" t="s">
        <v>230</v>
      </c>
      <c r="J417" t="s">
        <v>230</v>
      </c>
      <c r="K417" t="s">
        <v>230</v>
      </c>
      <c r="L417" t="s">
        <v>230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row>
    <row r="418" spans="1:48">
      <c r="A418">
        <v>0</v>
      </c>
      <c r="B418">
        <v>417</v>
      </c>
      <c r="C418" t="s">
        <v>230</v>
      </c>
      <c r="D418" t="s">
        <v>230</v>
      </c>
      <c r="E418" t="s">
        <v>230</v>
      </c>
      <c r="F418" t="s">
        <v>230</v>
      </c>
      <c r="G418" t="s">
        <v>230</v>
      </c>
      <c r="H418" t="s">
        <v>230</v>
      </c>
      <c r="I418" t="s">
        <v>230</v>
      </c>
      <c r="J418" t="s">
        <v>230</v>
      </c>
      <c r="K418" t="s">
        <v>230</v>
      </c>
      <c r="L418" t="s">
        <v>230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row>
    <row r="419" spans="1:48">
      <c r="A419">
        <v>0</v>
      </c>
      <c r="B419">
        <v>418</v>
      </c>
      <c r="C419" t="s">
        <v>230</v>
      </c>
      <c r="D419" t="s">
        <v>230</v>
      </c>
      <c r="E419" t="s">
        <v>230</v>
      </c>
      <c r="F419" t="s">
        <v>230</v>
      </c>
      <c r="G419" t="s">
        <v>230</v>
      </c>
      <c r="H419" t="s">
        <v>230</v>
      </c>
      <c r="I419" t="s">
        <v>230</v>
      </c>
      <c r="J419" t="s">
        <v>230</v>
      </c>
      <c r="K419" t="s">
        <v>230</v>
      </c>
      <c r="L419" t="s">
        <v>230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row>
    <row r="420" spans="1:48">
      <c r="A420">
        <v>0</v>
      </c>
      <c r="B420">
        <v>419</v>
      </c>
      <c r="C420" t="s">
        <v>230</v>
      </c>
      <c r="D420" t="s">
        <v>230</v>
      </c>
      <c r="E420" t="s">
        <v>230</v>
      </c>
      <c r="F420" t="s">
        <v>230</v>
      </c>
      <c r="G420" t="s">
        <v>230</v>
      </c>
      <c r="H420" t="s">
        <v>230</v>
      </c>
      <c r="I420" t="s">
        <v>230</v>
      </c>
      <c r="J420" t="s">
        <v>230</v>
      </c>
      <c r="K420" t="s">
        <v>230</v>
      </c>
      <c r="L420" t="s">
        <v>230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row>
    <row r="421" spans="1:48">
      <c r="A421">
        <v>0</v>
      </c>
      <c r="B421">
        <v>420</v>
      </c>
      <c r="C421" t="s">
        <v>230</v>
      </c>
      <c r="D421" t="s">
        <v>230</v>
      </c>
      <c r="E421" t="s">
        <v>230</v>
      </c>
      <c r="F421" t="s">
        <v>230</v>
      </c>
      <c r="G421" t="s">
        <v>230</v>
      </c>
      <c r="H421" t="s">
        <v>230</v>
      </c>
      <c r="I421" t="s">
        <v>230</v>
      </c>
      <c r="J421" t="s">
        <v>230</v>
      </c>
      <c r="K421" t="s">
        <v>230</v>
      </c>
      <c r="L421" t="s">
        <v>230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row>
    <row r="422" spans="1:48">
      <c r="A422">
        <v>0</v>
      </c>
      <c r="B422">
        <v>421</v>
      </c>
      <c r="C422" t="s">
        <v>230</v>
      </c>
      <c r="D422" t="s">
        <v>230</v>
      </c>
      <c r="E422" t="s">
        <v>230</v>
      </c>
      <c r="F422" t="s">
        <v>230</v>
      </c>
      <c r="G422" t="s">
        <v>230</v>
      </c>
      <c r="H422" t="s">
        <v>230</v>
      </c>
      <c r="I422" t="s">
        <v>230</v>
      </c>
      <c r="J422" t="s">
        <v>230</v>
      </c>
      <c r="K422" t="s">
        <v>230</v>
      </c>
      <c r="L422" t="s">
        <v>230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row>
    <row r="423" spans="1:48">
      <c r="A423">
        <v>0</v>
      </c>
      <c r="B423">
        <v>422</v>
      </c>
      <c r="C423" t="s">
        <v>230</v>
      </c>
      <c r="D423" t="s">
        <v>230</v>
      </c>
      <c r="E423" t="s">
        <v>230</v>
      </c>
      <c r="F423" t="s">
        <v>230</v>
      </c>
      <c r="G423" t="s">
        <v>230</v>
      </c>
      <c r="H423" t="s">
        <v>230</v>
      </c>
      <c r="I423" t="s">
        <v>230</v>
      </c>
      <c r="J423" t="s">
        <v>230</v>
      </c>
      <c r="K423" t="s">
        <v>230</v>
      </c>
      <c r="L423" t="s">
        <v>230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row>
    <row r="424" spans="1:48">
      <c r="A424">
        <v>0</v>
      </c>
      <c r="B424">
        <v>423</v>
      </c>
      <c r="C424" t="s">
        <v>230</v>
      </c>
      <c r="D424" t="s">
        <v>230</v>
      </c>
      <c r="E424" t="s">
        <v>230</v>
      </c>
      <c r="F424" t="s">
        <v>230</v>
      </c>
      <c r="G424" t="s">
        <v>230</v>
      </c>
      <c r="H424" t="s">
        <v>230</v>
      </c>
      <c r="I424" t="s">
        <v>230</v>
      </c>
      <c r="J424" t="s">
        <v>230</v>
      </c>
      <c r="K424" t="s">
        <v>230</v>
      </c>
      <c r="L424" t="s">
        <v>230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row>
    <row r="425" spans="1:48">
      <c r="A425">
        <v>0</v>
      </c>
      <c r="B425">
        <v>424</v>
      </c>
      <c r="C425" t="s">
        <v>230</v>
      </c>
      <c r="D425" t="s">
        <v>230</v>
      </c>
      <c r="E425" t="s">
        <v>230</v>
      </c>
      <c r="F425" t="s">
        <v>230</v>
      </c>
      <c r="G425" t="s">
        <v>230</v>
      </c>
      <c r="H425" t="s">
        <v>230</v>
      </c>
      <c r="I425" t="s">
        <v>230</v>
      </c>
      <c r="J425" t="s">
        <v>230</v>
      </c>
      <c r="K425" t="s">
        <v>230</v>
      </c>
      <c r="L425" t="s">
        <v>230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row>
    <row r="426" spans="1:48">
      <c r="A426">
        <v>0</v>
      </c>
      <c r="B426">
        <v>425</v>
      </c>
      <c r="C426" t="s">
        <v>230</v>
      </c>
      <c r="D426" t="s">
        <v>230</v>
      </c>
      <c r="E426" t="s">
        <v>230</v>
      </c>
      <c r="F426" t="s">
        <v>230</v>
      </c>
      <c r="G426" t="s">
        <v>230</v>
      </c>
      <c r="H426" t="s">
        <v>230</v>
      </c>
      <c r="I426" t="s">
        <v>230</v>
      </c>
      <c r="J426" t="s">
        <v>230</v>
      </c>
      <c r="K426" t="s">
        <v>230</v>
      </c>
      <c r="L426" t="s">
        <v>230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row>
    <row r="427" spans="1:48">
      <c r="A427">
        <v>0</v>
      </c>
      <c r="B427">
        <v>426</v>
      </c>
      <c r="C427" t="s">
        <v>230</v>
      </c>
      <c r="D427" t="s">
        <v>230</v>
      </c>
      <c r="E427" t="s">
        <v>230</v>
      </c>
      <c r="F427" t="s">
        <v>230</v>
      </c>
      <c r="G427" t="s">
        <v>230</v>
      </c>
      <c r="H427" t="s">
        <v>230</v>
      </c>
      <c r="I427" t="s">
        <v>230</v>
      </c>
      <c r="J427" t="s">
        <v>230</v>
      </c>
      <c r="K427" t="s">
        <v>230</v>
      </c>
      <c r="L427" t="s">
        <v>230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row>
    <row r="428" spans="1:48">
      <c r="A428">
        <v>0</v>
      </c>
      <c r="B428">
        <v>427</v>
      </c>
      <c r="C428" t="s">
        <v>230</v>
      </c>
      <c r="D428" t="s">
        <v>230</v>
      </c>
      <c r="E428" t="s">
        <v>230</v>
      </c>
      <c r="F428" t="s">
        <v>230</v>
      </c>
      <c r="G428" t="s">
        <v>230</v>
      </c>
      <c r="H428" t="s">
        <v>230</v>
      </c>
      <c r="I428" t="s">
        <v>230</v>
      </c>
      <c r="J428" t="s">
        <v>230</v>
      </c>
      <c r="K428" t="s">
        <v>230</v>
      </c>
      <c r="L428" t="s">
        <v>230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row>
    <row r="429" spans="1:48">
      <c r="A429">
        <v>0</v>
      </c>
      <c r="B429">
        <v>428</v>
      </c>
      <c r="C429" t="s">
        <v>230</v>
      </c>
      <c r="D429" t="s">
        <v>230</v>
      </c>
      <c r="E429" t="s">
        <v>230</v>
      </c>
      <c r="F429" t="s">
        <v>230</v>
      </c>
      <c r="G429" t="s">
        <v>230</v>
      </c>
      <c r="H429" t="s">
        <v>230</v>
      </c>
      <c r="I429" t="s">
        <v>230</v>
      </c>
      <c r="J429" t="s">
        <v>230</v>
      </c>
      <c r="K429" t="s">
        <v>230</v>
      </c>
      <c r="L429" t="s">
        <v>230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row>
    <row r="430" spans="1:48">
      <c r="A430">
        <v>0</v>
      </c>
      <c r="B430">
        <v>429</v>
      </c>
      <c r="C430" t="s">
        <v>230</v>
      </c>
      <c r="D430" t="s">
        <v>230</v>
      </c>
      <c r="E430" t="s">
        <v>230</v>
      </c>
      <c r="F430" t="s">
        <v>230</v>
      </c>
      <c r="G430" t="s">
        <v>230</v>
      </c>
      <c r="H430" t="s">
        <v>230</v>
      </c>
      <c r="I430" t="s">
        <v>230</v>
      </c>
      <c r="J430" t="s">
        <v>230</v>
      </c>
      <c r="K430" t="s">
        <v>230</v>
      </c>
      <c r="L430" t="s">
        <v>230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row>
    <row r="431" spans="1:48">
      <c r="A431">
        <v>0</v>
      </c>
      <c r="B431">
        <v>430</v>
      </c>
      <c r="C431" t="s">
        <v>230</v>
      </c>
      <c r="D431" t="s">
        <v>230</v>
      </c>
      <c r="E431" t="s">
        <v>230</v>
      </c>
      <c r="F431" t="s">
        <v>230</v>
      </c>
      <c r="G431" t="s">
        <v>230</v>
      </c>
      <c r="H431" t="s">
        <v>230</v>
      </c>
      <c r="I431" t="s">
        <v>230</v>
      </c>
      <c r="J431" t="s">
        <v>230</v>
      </c>
      <c r="K431" t="s">
        <v>230</v>
      </c>
      <c r="L431" t="s">
        <v>230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row>
    <row r="432" spans="1:48">
      <c r="A432">
        <v>0</v>
      </c>
      <c r="B432">
        <v>431</v>
      </c>
      <c r="C432" t="s">
        <v>230</v>
      </c>
      <c r="D432" t="s">
        <v>230</v>
      </c>
      <c r="E432" t="s">
        <v>230</v>
      </c>
      <c r="F432" t="s">
        <v>230</v>
      </c>
      <c r="G432" t="s">
        <v>230</v>
      </c>
      <c r="H432" t="s">
        <v>230</v>
      </c>
      <c r="I432" t="s">
        <v>230</v>
      </c>
      <c r="J432" t="s">
        <v>230</v>
      </c>
      <c r="K432" t="s">
        <v>230</v>
      </c>
      <c r="L432" t="s">
        <v>230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row>
    <row r="433" spans="1:48">
      <c r="A433">
        <v>0</v>
      </c>
      <c r="B433">
        <v>432</v>
      </c>
      <c r="C433" t="s">
        <v>230</v>
      </c>
      <c r="D433" t="s">
        <v>230</v>
      </c>
      <c r="E433" t="s">
        <v>230</v>
      </c>
      <c r="F433" t="s">
        <v>230</v>
      </c>
      <c r="G433" t="s">
        <v>230</v>
      </c>
      <c r="H433" t="s">
        <v>230</v>
      </c>
      <c r="I433" t="s">
        <v>230</v>
      </c>
      <c r="J433" t="s">
        <v>230</v>
      </c>
      <c r="K433" t="s">
        <v>230</v>
      </c>
      <c r="L433" t="s">
        <v>230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row>
    <row r="434" spans="1:48">
      <c r="A434">
        <v>0</v>
      </c>
      <c r="B434">
        <v>433</v>
      </c>
      <c r="C434" t="s">
        <v>230</v>
      </c>
      <c r="D434" t="s">
        <v>230</v>
      </c>
      <c r="E434" t="s">
        <v>230</v>
      </c>
      <c r="F434" t="s">
        <v>230</v>
      </c>
      <c r="G434" t="s">
        <v>230</v>
      </c>
      <c r="H434" t="s">
        <v>230</v>
      </c>
      <c r="I434" t="s">
        <v>230</v>
      </c>
      <c r="J434" t="s">
        <v>230</v>
      </c>
      <c r="K434" t="s">
        <v>230</v>
      </c>
      <c r="L434" t="s">
        <v>230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row>
    <row r="435" spans="1:48">
      <c r="A435">
        <v>0</v>
      </c>
      <c r="B435">
        <v>434</v>
      </c>
      <c r="C435" t="s">
        <v>230</v>
      </c>
      <c r="D435" t="s">
        <v>230</v>
      </c>
      <c r="E435" t="s">
        <v>230</v>
      </c>
      <c r="F435" t="s">
        <v>230</v>
      </c>
      <c r="G435" t="s">
        <v>230</v>
      </c>
      <c r="H435" t="s">
        <v>230</v>
      </c>
      <c r="I435" t="s">
        <v>230</v>
      </c>
      <c r="J435" t="s">
        <v>230</v>
      </c>
      <c r="K435" t="s">
        <v>230</v>
      </c>
      <c r="L435" t="s">
        <v>230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row>
    <row r="436" spans="1:48">
      <c r="A436">
        <v>0</v>
      </c>
      <c r="B436">
        <v>435</v>
      </c>
      <c r="C436" t="s">
        <v>230</v>
      </c>
      <c r="D436" t="s">
        <v>230</v>
      </c>
      <c r="E436" t="s">
        <v>230</v>
      </c>
      <c r="F436" t="s">
        <v>230</v>
      </c>
      <c r="G436" t="s">
        <v>230</v>
      </c>
      <c r="H436" t="s">
        <v>230</v>
      </c>
      <c r="I436" t="s">
        <v>230</v>
      </c>
      <c r="J436" t="s">
        <v>230</v>
      </c>
      <c r="K436" t="s">
        <v>230</v>
      </c>
      <c r="L436" t="s">
        <v>230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row>
    <row r="437" spans="1:48">
      <c r="A437">
        <v>0</v>
      </c>
      <c r="B437">
        <v>436</v>
      </c>
      <c r="C437" t="s">
        <v>230</v>
      </c>
      <c r="D437" t="s">
        <v>230</v>
      </c>
      <c r="E437" t="s">
        <v>230</v>
      </c>
      <c r="F437" t="s">
        <v>230</v>
      </c>
      <c r="G437" t="s">
        <v>230</v>
      </c>
      <c r="H437" t="s">
        <v>230</v>
      </c>
      <c r="I437" t="s">
        <v>230</v>
      </c>
      <c r="J437" t="s">
        <v>230</v>
      </c>
      <c r="K437" t="s">
        <v>230</v>
      </c>
      <c r="L437" t="s">
        <v>230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row>
    <row r="438" spans="1:48">
      <c r="A438">
        <v>0</v>
      </c>
      <c r="B438">
        <v>437</v>
      </c>
      <c r="C438" t="s">
        <v>230</v>
      </c>
      <c r="D438" t="s">
        <v>230</v>
      </c>
      <c r="E438" t="s">
        <v>230</v>
      </c>
      <c r="F438" t="s">
        <v>230</v>
      </c>
      <c r="G438" t="s">
        <v>230</v>
      </c>
      <c r="H438" t="s">
        <v>230</v>
      </c>
      <c r="I438" t="s">
        <v>230</v>
      </c>
      <c r="J438" t="s">
        <v>230</v>
      </c>
      <c r="K438" t="s">
        <v>230</v>
      </c>
      <c r="L438" t="s">
        <v>230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row>
    <row r="439" spans="1:48">
      <c r="A439">
        <v>0</v>
      </c>
      <c r="B439">
        <v>438</v>
      </c>
      <c r="C439" t="s">
        <v>230</v>
      </c>
      <c r="D439" t="s">
        <v>230</v>
      </c>
      <c r="E439" t="s">
        <v>230</v>
      </c>
      <c r="F439" t="s">
        <v>230</v>
      </c>
      <c r="G439" t="s">
        <v>230</v>
      </c>
      <c r="H439" t="s">
        <v>230</v>
      </c>
      <c r="I439" t="s">
        <v>230</v>
      </c>
      <c r="J439" t="s">
        <v>230</v>
      </c>
      <c r="K439" t="s">
        <v>230</v>
      </c>
      <c r="L439" t="s">
        <v>230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row>
    <row r="440" spans="1:48">
      <c r="A440">
        <v>0</v>
      </c>
      <c r="B440">
        <v>439</v>
      </c>
      <c r="C440" t="s">
        <v>230</v>
      </c>
      <c r="D440" t="s">
        <v>230</v>
      </c>
      <c r="E440" t="s">
        <v>230</v>
      </c>
      <c r="F440" t="s">
        <v>230</v>
      </c>
      <c r="G440" t="s">
        <v>230</v>
      </c>
      <c r="H440" t="s">
        <v>230</v>
      </c>
      <c r="I440" t="s">
        <v>230</v>
      </c>
      <c r="J440" t="s">
        <v>230</v>
      </c>
      <c r="K440" t="s">
        <v>230</v>
      </c>
      <c r="L440" t="s">
        <v>230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row>
    <row r="441" spans="1:48">
      <c r="A441">
        <v>0</v>
      </c>
      <c r="B441">
        <v>440</v>
      </c>
      <c r="C441" t="s">
        <v>230</v>
      </c>
      <c r="D441" t="s">
        <v>230</v>
      </c>
      <c r="E441" t="s">
        <v>230</v>
      </c>
      <c r="F441" t="s">
        <v>230</v>
      </c>
      <c r="G441" t="s">
        <v>230</v>
      </c>
      <c r="H441" t="s">
        <v>230</v>
      </c>
      <c r="I441" t="s">
        <v>230</v>
      </c>
      <c r="J441" t="s">
        <v>230</v>
      </c>
      <c r="K441" t="s">
        <v>230</v>
      </c>
      <c r="L441" t="s">
        <v>230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row>
    <row r="442" spans="1:48">
      <c r="A442">
        <v>0</v>
      </c>
      <c r="B442">
        <v>441</v>
      </c>
      <c r="C442" t="s">
        <v>230</v>
      </c>
      <c r="D442" t="s">
        <v>230</v>
      </c>
      <c r="E442" t="s">
        <v>230</v>
      </c>
      <c r="F442" t="s">
        <v>230</v>
      </c>
      <c r="G442" t="s">
        <v>230</v>
      </c>
      <c r="H442" t="s">
        <v>230</v>
      </c>
      <c r="I442" t="s">
        <v>230</v>
      </c>
      <c r="J442" t="s">
        <v>230</v>
      </c>
      <c r="K442" t="s">
        <v>230</v>
      </c>
      <c r="L442" t="s">
        <v>230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row>
    <row r="443" spans="1:48">
      <c r="A443">
        <v>0</v>
      </c>
      <c r="B443">
        <v>442</v>
      </c>
      <c r="C443" t="s">
        <v>230</v>
      </c>
      <c r="D443" t="s">
        <v>230</v>
      </c>
      <c r="E443" t="s">
        <v>230</v>
      </c>
      <c r="F443" t="s">
        <v>230</v>
      </c>
      <c r="G443" t="s">
        <v>230</v>
      </c>
      <c r="H443" t="s">
        <v>230</v>
      </c>
      <c r="I443" t="s">
        <v>230</v>
      </c>
      <c r="J443" t="s">
        <v>230</v>
      </c>
      <c r="K443" t="s">
        <v>230</v>
      </c>
      <c r="L443" t="s">
        <v>230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row>
    <row r="444" spans="1:48">
      <c r="A444">
        <v>0</v>
      </c>
      <c r="B444">
        <v>443</v>
      </c>
      <c r="C444" t="s">
        <v>230</v>
      </c>
      <c r="D444" t="s">
        <v>230</v>
      </c>
      <c r="E444" t="s">
        <v>230</v>
      </c>
      <c r="F444" t="s">
        <v>230</v>
      </c>
      <c r="G444" t="s">
        <v>230</v>
      </c>
      <c r="H444" t="s">
        <v>230</v>
      </c>
      <c r="I444" t="s">
        <v>230</v>
      </c>
      <c r="J444" t="s">
        <v>230</v>
      </c>
      <c r="K444" t="s">
        <v>230</v>
      </c>
      <c r="L444" t="s">
        <v>230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row>
    <row r="445" spans="1:48">
      <c r="A445">
        <v>0</v>
      </c>
      <c r="B445">
        <v>444</v>
      </c>
      <c r="C445" t="s">
        <v>230</v>
      </c>
      <c r="D445" t="s">
        <v>230</v>
      </c>
      <c r="E445" t="s">
        <v>230</v>
      </c>
      <c r="F445" t="s">
        <v>230</v>
      </c>
      <c r="G445" t="s">
        <v>230</v>
      </c>
      <c r="H445" t="s">
        <v>230</v>
      </c>
      <c r="I445" t="s">
        <v>230</v>
      </c>
      <c r="J445" t="s">
        <v>230</v>
      </c>
      <c r="K445" t="s">
        <v>230</v>
      </c>
      <c r="L445" t="s">
        <v>230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row>
    <row r="446" spans="1:48">
      <c r="A446">
        <v>0</v>
      </c>
      <c r="B446">
        <v>445</v>
      </c>
      <c r="C446" t="s">
        <v>230</v>
      </c>
      <c r="D446" t="s">
        <v>230</v>
      </c>
      <c r="E446" t="s">
        <v>230</v>
      </c>
      <c r="F446" t="s">
        <v>230</v>
      </c>
      <c r="G446" t="s">
        <v>230</v>
      </c>
      <c r="H446" t="s">
        <v>230</v>
      </c>
      <c r="I446" t="s">
        <v>230</v>
      </c>
      <c r="J446" t="s">
        <v>230</v>
      </c>
      <c r="K446" t="s">
        <v>230</v>
      </c>
      <c r="L446" t="s">
        <v>230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row>
    <row r="447" spans="1:48">
      <c r="A447">
        <v>0</v>
      </c>
      <c r="B447">
        <v>446</v>
      </c>
      <c r="C447" t="s">
        <v>230</v>
      </c>
      <c r="D447" t="s">
        <v>230</v>
      </c>
      <c r="E447" t="s">
        <v>230</v>
      </c>
      <c r="F447" t="s">
        <v>230</v>
      </c>
      <c r="G447" t="s">
        <v>230</v>
      </c>
      <c r="H447" t="s">
        <v>230</v>
      </c>
      <c r="I447" t="s">
        <v>230</v>
      </c>
      <c r="J447" t="s">
        <v>230</v>
      </c>
      <c r="K447" t="s">
        <v>230</v>
      </c>
      <c r="L447" t="s">
        <v>230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row>
    <row r="448" spans="1:48">
      <c r="A448">
        <v>0</v>
      </c>
      <c r="B448">
        <v>447</v>
      </c>
      <c r="C448" t="s">
        <v>230</v>
      </c>
      <c r="D448" t="s">
        <v>230</v>
      </c>
      <c r="E448" t="s">
        <v>230</v>
      </c>
      <c r="F448" t="s">
        <v>230</v>
      </c>
      <c r="G448" t="s">
        <v>230</v>
      </c>
      <c r="H448" t="s">
        <v>230</v>
      </c>
      <c r="I448" t="s">
        <v>230</v>
      </c>
      <c r="J448" t="s">
        <v>230</v>
      </c>
      <c r="K448" t="s">
        <v>230</v>
      </c>
      <c r="L448" t="s">
        <v>230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row>
    <row r="449" spans="1:48">
      <c r="A449">
        <v>0</v>
      </c>
      <c r="B449">
        <v>448</v>
      </c>
      <c r="C449" t="s">
        <v>230</v>
      </c>
      <c r="D449" t="s">
        <v>230</v>
      </c>
      <c r="E449" t="s">
        <v>230</v>
      </c>
      <c r="F449" t="s">
        <v>230</v>
      </c>
      <c r="G449" t="s">
        <v>230</v>
      </c>
      <c r="H449" t="s">
        <v>230</v>
      </c>
      <c r="I449" t="s">
        <v>230</v>
      </c>
      <c r="J449" t="s">
        <v>230</v>
      </c>
      <c r="K449" t="s">
        <v>230</v>
      </c>
      <c r="L449" t="s">
        <v>230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row>
    <row r="450" spans="1:48">
      <c r="A450">
        <v>0</v>
      </c>
      <c r="B450">
        <v>449</v>
      </c>
      <c r="C450" t="s">
        <v>230</v>
      </c>
      <c r="D450" t="s">
        <v>230</v>
      </c>
      <c r="E450" t="s">
        <v>230</v>
      </c>
      <c r="F450" t="s">
        <v>230</v>
      </c>
      <c r="G450" t="s">
        <v>230</v>
      </c>
      <c r="H450" t="s">
        <v>230</v>
      </c>
      <c r="I450" t="s">
        <v>230</v>
      </c>
      <c r="J450" t="s">
        <v>230</v>
      </c>
      <c r="K450" t="s">
        <v>230</v>
      </c>
      <c r="L450" t="s">
        <v>230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row>
    <row r="451" spans="1:48">
      <c r="A451">
        <v>0</v>
      </c>
      <c r="B451">
        <v>450</v>
      </c>
      <c r="C451" t="s">
        <v>230</v>
      </c>
      <c r="D451" t="s">
        <v>230</v>
      </c>
      <c r="E451" t="s">
        <v>230</v>
      </c>
      <c r="F451" t="s">
        <v>230</v>
      </c>
      <c r="G451" t="s">
        <v>230</v>
      </c>
      <c r="H451" t="s">
        <v>230</v>
      </c>
      <c r="I451" t="s">
        <v>230</v>
      </c>
      <c r="J451" t="s">
        <v>230</v>
      </c>
      <c r="K451" t="s">
        <v>230</v>
      </c>
      <c r="L451" t="s">
        <v>230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row>
    <row r="452" spans="1:48">
      <c r="A452">
        <v>0</v>
      </c>
      <c r="B452">
        <v>451</v>
      </c>
      <c r="C452" t="s">
        <v>230</v>
      </c>
      <c r="D452" t="s">
        <v>230</v>
      </c>
      <c r="E452" t="s">
        <v>230</v>
      </c>
      <c r="F452" t="s">
        <v>230</v>
      </c>
      <c r="G452" t="s">
        <v>230</v>
      </c>
      <c r="H452" t="s">
        <v>230</v>
      </c>
      <c r="I452" t="s">
        <v>230</v>
      </c>
      <c r="J452" t="s">
        <v>230</v>
      </c>
      <c r="K452" t="s">
        <v>230</v>
      </c>
      <c r="L452" t="s">
        <v>230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row>
    <row r="453" spans="1:48">
      <c r="A453">
        <v>0</v>
      </c>
      <c r="B453">
        <v>452</v>
      </c>
      <c r="C453" t="s">
        <v>230</v>
      </c>
      <c r="D453" t="s">
        <v>230</v>
      </c>
      <c r="E453" t="s">
        <v>230</v>
      </c>
      <c r="F453" t="s">
        <v>230</v>
      </c>
      <c r="G453" t="s">
        <v>230</v>
      </c>
      <c r="H453" t="s">
        <v>230</v>
      </c>
      <c r="I453" t="s">
        <v>230</v>
      </c>
      <c r="J453" t="s">
        <v>230</v>
      </c>
      <c r="K453" t="s">
        <v>230</v>
      </c>
      <c r="L453" t="s">
        <v>230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row>
    <row r="454" spans="1:48">
      <c r="A454">
        <v>0</v>
      </c>
      <c r="B454">
        <v>453</v>
      </c>
      <c r="C454" t="s">
        <v>230</v>
      </c>
      <c r="D454" t="s">
        <v>230</v>
      </c>
      <c r="E454" t="s">
        <v>230</v>
      </c>
      <c r="F454" t="s">
        <v>230</v>
      </c>
      <c r="G454" t="s">
        <v>230</v>
      </c>
      <c r="H454" t="s">
        <v>230</v>
      </c>
      <c r="I454" t="s">
        <v>230</v>
      </c>
      <c r="J454" t="s">
        <v>230</v>
      </c>
      <c r="K454" t="s">
        <v>230</v>
      </c>
      <c r="L454" t="s">
        <v>230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row>
    <row r="455" spans="1:48">
      <c r="A455">
        <v>0</v>
      </c>
      <c r="B455">
        <v>454</v>
      </c>
      <c r="C455" t="s">
        <v>230</v>
      </c>
      <c r="D455" t="s">
        <v>230</v>
      </c>
      <c r="E455" t="s">
        <v>230</v>
      </c>
      <c r="F455" t="s">
        <v>230</v>
      </c>
      <c r="G455" t="s">
        <v>230</v>
      </c>
      <c r="H455" t="s">
        <v>230</v>
      </c>
      <c r="I455" t="s">
        <v>230</v>
      </c>
      <c r="J455" t="s">
        <v>230</v>
      </c>
      <c r="K455" t="s">
        <v>230</v>
      </c>
      <c r="L455" t="s">
        <v>230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row>
    <row r="456" spans="1:48">
      <c r="A456">
        <v>0</v>
      </c>
      <c r="B456">
        <v>455</v>
      </c>
      <c r="C456" t="s">
        <v>230</v>
      </c>
      <c r="D456" t="s">
        <v>230</v>
      </c>
      <c r="E456" t="s">
        <v>230</v>
      </c>
      <c r="F456" t="s">
        <v>230</v>
      </c>
      <c r="G456" t="s">
        <v>230</v>
      </c>
      <c r="H456" t="s">
        <v>230</v>
      </c>
      <c r="I456" t="s">
        <v>230</v>
      </c>
      <c r="J456" t="s">
        <v>230</v>
      </c>
      <c r="K456" t="s">
        <v>230</v>
      </c>
      <c r="L456" t="s">
        <v>230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row>
    <row r="457" spans="1:48">
      <c r="A457">
        <v>0</v>
      </c>
      <c r="B457">
        <v>456</v>
      </c>
      <c r="C457" t="s">
        <v>230</v>
      </c>
      <c r="D457" t="s">
        <v>230</v>
      </c>
      <c r="E457" t="s">
        <v>230</v>
      </c>
      <c r="F457" t="s">
        <v>230</v>
      </c>
      <c r="G457" t="s">
        <v>230</v>
      </c>
      <c r="H457" t="s">
        <v>230</v>
      </c>
      <c r="I457" t="s">
        <v>230</v>
      </c>
      <c r="J457" t="s">
        <v>230</v>
      </c>
      <c r="K457" t="s">
        <v>230</v>
      </c>
      <c r="L457" t="s">
        <v>230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row>
    <row r="458" spans="1:48">
      <c r="A458">
        <v>0</v>
      </c>
      <c r="B458">
        <v>457</v>
      </c>
      <c r="C458" t="s">
        <v>230</v>
      </c>
      <c r="D458" t="s">
        <v>230</v>
      </c>
      <c r="E458" t="s">
        <v>230</v>
      </c>
      <c r="F458" t="s">
        <v>230</v>
      </c>
      <c r="G458" t="s">
        <v>230</v>
      </c>
      <c r="H458" t="s">
        <v>230</v>
      </c>
      <c r="I458" t="s">
        <v>230</v>
      </c>
      <c r="J458" t="s">
        <v>230</v>
      </c>
      <c r="K458" t="s">
        <v>230</v>
      </c>
      <c r="L458" t="s">
        <v>230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row>
    <row r="459" spans="1:48">
      <c r="A459">
        <v>0</v>
      </c>
      <c r="B459">
        <v>458</v>
      </c>
      <c r="C459" t="s">
        <v>230</v>
      </c>
      <c r="D459" t="s">
        <v>230</v>
      </c>
      <c r="E459" t="s">
        <v>230</v>
      </c>
      <c r="F459" t="s">
        <v>230</v>
      </c>
      <c r="G459" t="s">
        <v>230</v>
      </c>
      <c r="H459" t="s">
        <v>230</v>
      </c>
      <c r="I459" t="s">
        <v>230</v>
      </c>
      <c r="J459" t="s">
        <v>230</v>
      </c>
      <c r="K459" t="s">
        <v>230</v>
      </c>
      <c r="L459" t="s">
        <v>230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row>
    <row r="460" spans="1:48">
      <c r="A460">
        <v>0</v>
      </c>
      <c r="B460">
        <v>459</v>
      </c>
      <c r="C460" t="s">
        <v>230</v>
      </c>
      <c r="D460" t="s">
        <v>230</v>
      </c>
      <c r="E460" t="s">
        <v>230</v>
      </c>
      <c r="F460" t="s">
        <v>230</v>
      </c>
      <c r="G460" t="s">
        <v>230</v>
      </c>
      <c r="H460" t="s">
        <v>230</v>
      </c>
      <c r="I460" t="s">
        <v>230</v>
      </c>
      <c r="J460" t="s">
        <v>230</v>
      </c>
      <c r="K460" t="s">
        <v>230</v>
      </c>
      <c r="L460" t="s">
        <v>230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row>
    <row r="461" spans="1:48">
      <c r="A461">
        <v>0</v>
      </c>
      <c r="B461">
        <v>460</v>
      </c>
      <c r="C461" t="s">
        <v>230</v>
      </c>
      <c r="D461" t="s">
        <v>230</v>
      </c>
      <c r="E461" t="s">
        <v>230</v>
      </c>
      <c r="F461" t="s">
        <v>230</v>
      </c>
      <c r="G461" t="s">
        <v>230</v>
      </c>
      <c r="H461" t="s">
        <v>230</v>
      </c>
      <c r="I461" t="s">
        <v>230</v>
      </c>
      <c r="J461" t="s">
        <v>230</v>
      </c>
      <c r="K461" t="s">
        <v>230</v>
      </c>
      <c r="L461" t="s">
        <v>230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row>
    <row r="462" spans="1:48">
      <c r="A462">
        <v>0</v>
      </c>
      <c r="B462">
        <v>461</v>
      </c>
      <c r="C462" t="s">
        <v>230</v>
      </c>
      <c r="D462" t="s">
        <v>230</v>
      </c>
      <c r="E462" t="s">
        <v>230</v>
      </c>
      <c r="F462" t="s">
        <v>230</v>
      </c>
      <c r="G462" t="s">
        <v>230</v>
      </c>
      <c r="H462" t="s">
        <v>230</v>
      </c>
      <c r="I462" t="s">
        <v>230</v>
      </c>
      <c r="J462" t="s">
        <v>230</v>
      </c>
      <c r="K462" t="s">
        <v>230</v>
      </c>
      <c r="L462" t="s">
        <v>230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row>
    <row r="463" spans="1:48">
      <c r="A463">
        <v>0</v>
      </c>
      <c r="B463">
        <v>462</v>
      </c>
      <c r="C463" t="s">
        <v>230</v>
      </c>
      <c r="D463" t="s">
        <v>230</v>
      </c>
      <c r="E463" t="s">
        <v>230</v>
      </c>
      <c r="F463" t="s">
        <v>230</v>
      </c>
      <c r="G463" t="s">
        <v>230</v>
      </c>
      <c r="H463" t="s">
        <v>230</v>
      </c>
      <c r="I463" t="s">
        <v>230</v>
      </c>
      <c r="J463" t="s">
        <v>230</v>
      </c>
      <c r="K463" t="s">
        <v>230</v>
      </c>
      <c r="L463" t="s">
        <v>230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row>
    <row r="464" spans="1:48">
      <c r="A464">
        <v>0</v>
      </c>
      <c r="B464">
        <v>463</v>
      </c>
      <c r="C464" t="s">
        <v>230</v>
      </c>
      <c r="D464" t="s">
        <v>230</v>
      </c>
      <c r="E464" t="s">
        <v>230</v>
      </c>
      <c r="F464" t="s">
        <v>230</v>
      </c>
      <c r="G464" t="s">
        <v>230</v>
      </c>
      <c r="H464" t="s">
        <v>230</v>
      </c>
      <c r="I464" t="s">
        <v>230</v>
      </c>
      <c r="J464" t="s">
        <v>230</v>
      </c>
      <c r="K464" t="s">
        <v>230</v>
      </c>
      <c r="L464" t="s">
        <v>230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row>
    <row r="465" spans="1:48">
      <c r="A465">
        <v>0</v>
      </c>
      <c r="B465">
        <v>464</v>
      </c>
      <c r="C465" t="s">
        <v>230</v>
      </c>
      <c r="D465" t="s">
        <v>230</v>
      </c>
      <c r="E465" t="s">
        <v>230</v>
      </c>
      <c r="F465" t="s">
        <v>230</v>
      </c>
      <c r="G465" t="s">
        <v>230</v>
      </c>
      <c r="H465" t="s">
        <v>230</v>
      </c>
      <c r="I465" t="s">
        <v>230</v>
      </c>
      <c r="J465" t="s">
        <v>230</v>
      </c>
      <c r="K465" t="s">
        <v>230</v>
      </c>
      <c r="L465" t="s">
        <v>230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row>
    <row r="466" spans="1:48">
      <c r="A466">
        <v>0</v>
      </c>
      <c r="B466">
        <v>465</v>
      </c>
      <c r="C466" t="s">
        <v>230</v>
      </c>
      <c r="D466" t="s">
        <v>230</v>
      </c>
      <c r="E466" t="s">
        <v>230</v>
      </c>
      <c r="F466" t="s">
        <v>230</v>
      </c>
      <c r="G466" t="s">
        <v>230</v>
      </c>
      <c r="H466" t="s">
        <v>230</v>
      </c>
      <c r="I466" t="s">
        <v>230</v>
      </c>
      <c r="J466" t="s">
        <v>230</v>
      </c>
      <c r="K466" t="s">
        <v>230</v>
      </c>
      <c r="L466" t="s">
        <v>230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row>
    <row r="467" spans="1:48">
      <c r="A467">
        <v>0</v>
      </c>
      <c r="B467">
        <v>466</v>
      </c>
      <c r="C467" t="s">
        <v>230</v>
      </c>
      <c r="D467" t="s">
        <v>230</v>
      </c>
      <c r="E467" t="s">
        <v>230</v>
      </c>
      <c r="F467" t="s">
        <v>230</v>
      </c>
      <c r="G467" t="s">
        <v>230</v>
      </c>
      <c r="H467" t="s">
        <v>230</v>
      </c>
      <c r="I467" t="s">
        <v>230</v>
      </c>
      <c r="J467" t="s">
        <v>230</v>
      </c>
      <c r="K467" t="s">
        <v>230</v>
      </c>
      <c r="L467" t="s">
        <v>230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row>
    <row r="468" spans="1:48">
      <c r="A468">
        <v>0</v>
      </c>
      <c r="B468">
        <v>467</v>
      </c>
      <c r="C468" t="s">
        <v>230</v>
      </c>
      <c r="D468" t="s">
        <v>230</v>
      </c>
      <c r="E468" t="s">
        <v>230</v>
      </c>
      <c r="F468" t="s">
        <v>230</v>
      </c>
      <c r="G468" t="s">
        <v>230</v>
      </c>
      <c r="H468" t="s">
        <v>230</v>
      </c>
      <c r="I468" t="s">
        <v>230</v>
      </c>
      <c r="J468" t="s">
        <v>230</v>
      </c>
      <c r="K468" t="s">
        <v>230</v>
      </c>
      <c r="L468" t="s">
        <v>230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row>
    <row r="469" spans="1:48">
      <c r="A469">
        <v>0</v>
      </c>
      <c r="B469">
        <v>468</v>
      </c>
      <c r="C469" t="s">
        <v>230</v>
      </c>
      <c r="D469" t="s">
        <v>230</v>
      </c>
      <c r="E469" t="s">
        <v>230</v>
      </c>
      <c r="F469" t="s">
        <v>230</v>
      </c>
      <c r="G469" t="s">
        <v>230</v>
      </c>
      <c r="H469" t="s">
        <v>230</v>
      </c>
      <c r="I469" t="s">
        <v>230</v>
      </c>
      <c r="J469" t="s">
        <v>230</v>
      </c>
      <c r="K469" t="s">
        <v>230</v>
      </c>
      <c r="L469" t="s">
        <v>230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row>
    <row r="470" spans="1:48">
      <c r="A470">
        <v>0</v>
      </c>
      <c r="B470">
        <v>469</v>
      </c>
      <c r="C470" t="s">
        <v>230</v>
      </c>
      <c r="D470" t="s">
        <v>230</v>
      </c>
      <c r="E470" t="s">
        <v>230</v>
      </c>
      <c r="F470" t="s">
        <v>230</v>
      </c>
      <c r="G470" t="s">
        <v>230</v>
      </c>
      <c r="H470" t="s">
        <v>230</v>
      </c>
      <c r="I470" t="s">
        <v>230</v>
      </c>
      <c r="J470" t="s">
        <v>230</v>
      </c>
      <c r="K470" t="s">
        <v>230</v>
      </c>
      <c r="L470" t="s">
        <v>230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row>
    <row r="471" spans="1:48">
      <c r="A471">
        <v>0</v>
      </c>
      <c r="B471">
        <v>470</v>
      </c>
      <c r="C471" t="s">
        <v>230</v>
      </c>
      <c r="D471" t="s">
        <v>230</v>
      </c>
      <c r="E471" t="s">
        <v>230</v>
      </c>
      <c r="F471" t="s">
        <v>230</v>
      </c>
      <c r="G471" t="s">
        <v>230</v>
      </c>
      <c r="H471" t="s">
        <v>230</v>
      </c>
      <c r="I471" t="s">
        <v>230</v>
      </c>
      <c r="J471" t="s">
        <v>230</v>
      </c>
      <c r="K471" t="s">
        <v>230</v>
      </c>
      <c r="L471" t="s">
        <v>230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row>
    <row r="472" spans="1:48">
      <c r="A472">
        <v>0</v>
      </c>
      <c r="B472">
        <v>471</v>
      </c>
      <c r="C472" t="s">
        <v>230</v>
      </c>
      <c r="D472" t="s">
        <v>230</v>
      </c>
      <c r="E472" t="s">
        <v>230</v>
      </c>
      <c r="F472" t="s">
        <v>230</v>
      </c>
      <c r="G472" t="s">
        <v>230</v>
      </c>
      <c r="H472" t="s">
        <v>230</v>
      </c>
      <c r="I472" t="s">
        <v>230</v>
      </c>
      <c r="J472" t="s">
        <v>230</v>
      </c>
      <c r="K472" t="s">
        <v>230</v>
      </c>
      <c r="L472" t="s">
        <v>230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row>
    <row r="473" spans="1:48">
      <c r="A473">
        <v>0</v>
      </c>
      <c r="B473">
        <v>472</v>
      </c>
      <c r="C473" t="s">
        <v>230</v>
      </c>
      <c r="D473" t="s">
        <v>230</v>
      </c>
      <c r="E473" t="s">
        <v>230</v>
      </c>
      <c r="F473" t="s">
        <v>230</v>
      </c>
      <c r="G473" t="s">
        <v>230</v>
      </c>
      <c r="H473" t="s">
        <v>230</v>
      </c>
      <c r="I473" t="s">
        <v>230</v>
      </c>
      <c r="J473" t="s">
        <v>230</v>
      </c>
      <c r="K473" t="s">
        <v>230</v>
      </c>
      <c r="L473" t="s">
        <v>230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row>
    <row r="474" spans="1:48">
      <c r="A474">
        <v>0</v>
      </c>
      <c r="B474">
        <v>473</v>
      </c>
      <c r="C474" t="s">
        <v>230</v>
      </c>
      <c r="D474" t="s">
        <v>230</v>
      </c>
      <c r="E474" t="s">
        <v>230</v>
      </c>
      <c r="F474" t="s">
        <v>230</v>
      </c>
      <c r="G474" t="s">
        <v>230</v>
      </c>
      <c r="H474" t="s">
        <v>230</v>
      </c>
      <c r="I474" t="s">
        <v>230</v>
      </c>
      <c r="J474" t="s">
        <v>230</v>
      </c>
      <c r="K474" t="s">
        <v>230</v>
      </c>
      <c r="L474" t="s">
        <v>230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row>
    <row r="475" spans="1:48">
      <c r="A475">
        <v>0</v>
      </c>
      <c r="B475">
        <v>474</v>
      </c>
      <c r="C475" t="s">
        <v>230</v>
      </c>
      <c r="D475" t="s">
        <v>230</v>
      </c>
      <c r="E475" t="s">
        <v>230</v>
      </c>
      <c r="F475" t="s">
        <v>230</v>
      </c>
      <c r="G475" t="s">
        <v>230</v>
      </c>
      <c r="H475" t="s">
        <v>230</v>
      </c>
      <c r="I475" t="s">
        <v>230</v>
      </c>
      <c r="J475" t="s">
        <v>230</v>
      </c>
      <c r="K475" t="s">
        <v>230</v>
      </c>
      <c r="L475" t="s">
        <v>230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row>
    <row r="476" spans="1:48">
      <c r="A476">
        <v>0</v>
      </c>
      <c r="B476">
        <v>475</v>
      </c>
      <c r="C476" t="s">
        <v>230</v>
      </c>
      <c r="D476" t="s">
        <v>230</v>
      </c>
      <c r="E476" t="s">
        <v>230</v>
      </c>
      <c r="F476" t="s">
        <v>230</v>
      </c>
      <c r="G476" t="s">
        <v>230</v>
      </c>
      <c r="H476" t="s">
        <v>230</v>
      </c>
      <c r="I476" t="s">
        <v>230</v>
      </c>
      <c r="J476" t="s">
        <v>230</v>
      </c>
      <c r="K476" t="s">
        <v>230</v>
      </c>
      <c r="L476" t="s">
        <v>230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row>
    <row r="477" spans="1:48">
      <c r="A477">
        <v>0</v>
      </c>
      <c r="B477">
        <v>476</v>
      </c>
      <c r="C477" t="s">
        <v>230</v>
      </c>
      <c r="D477" t="s">
        <v>230</v>
      </c>
      <c r="E477" t="s">
        <v>230</v>
      </c>
      <c r="F477" t="s">
        <v>230</v>
      </c>
      <c r="G477" t="s">
        <v>230</v>
      </c>
      <c r="H477" t="s">
        <v>230</v>
      </c>
      <c r="I477" t="s">
        <v>230</v>
      </c>
      <c r="J477" t="s">
        <v>230</v>
      </c>
      <c r="K477" t="s">
        <v>230</v>
      </c>
      <c r="L477" t="s">
        <v>230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c r="AV477">
        <v>0</v>
      </c>
    </row>
    <row r="478" spans="1:48">
      <c r="A478">
        <v>0</v>
      </c>
      <c r="B478">
        <v>477</v>
      </c>
      <c r="C478" t="s">
        <v>230</v>
      </c>
      <c r="D478" t="s">
        <v>230</v>
      </c>
      <c r="E478" t="s">
        <v>230</v>
      </c>
      <c r="F478" t="s">
        <v>230</v>
      </c>
      <c r="G478" t="s">
        <v>230</v>
      </c>
      <c r="H478" t="s">
        <v>230</v>
      </c>
      <c r="I478" t="s">
        <v>230</v>
      </c>
      <c r="J478" t="s">
        <v>230</v>
      </c>
      <c r="K478" t="s">
        <v>230</v>
      </c>
      <c r="L478" t="s">
        <v>230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row>
    <row r="479" spans="1:48">
      <c r="A479">
        <v>0</v>
      </c>
      <c r="B479">
        <v>478</v>
      </c>
      <c r="C479" t="s">
        <v>230</v>
      </c>
      <c r="D479" t="s">
        <v>230</v>
      </c>
      <c r="E479" t="s">
        <v>230</v>
      </c>
      <c r="F479" t="s">
        <v>230</v>
      </c>
      <c r="G479" t="s">
        <v>230</v>
      </c>
      <c r="H479" t="s">
        <v>230</v>
      </c>
      <c r="I479" t="s">
        <v>230</v>
      </c>
      <c r="J479" t="s">
        <v>230</v>
      </c>
      <c r="K479" t="s">
        <v>230</v>
      </c>
      <c r="L479" t="s">
        <v>230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row>
    <row r="480" spans="1:48">
      <c r="A480">
        <v>0</v>
      </c>
      <c r="B480">
        <v>479</v>
      </c>
      <c r="C480" t="s">
        <v>230</v>
      </c>
      <c r="D480" t="s">
        <v>230</v>
      </c>
      <c r="E480" t="s">
        <v>230</v>
      </c>
      <c r="F480" t="s">
        <v>230</v>
      </c>
      <c r="G480" t="s">
        <v>230</v>
      </c>
      <c r="H480" t="s">
        <v>230</v>
      </c>
      <c r="I480" t="s">
        <v>230</v>
      </c>
      <c r="J480" t="s">
        <v>230</v>
      </c>
      <c r="K480" t="s">
        <v>230</v>
      </c>
      <c r="L480" t="s">
        <v>230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row>
    <row r="481" spans="1:48">
      <c r="A481">
        <v>0</v>
      </c>
      <c r="B481">
        <v>480</v>
      </c>
      <c r="C481" t="s">
        <v>230</v>
      </c>
      <c r="D481" t="s">
        <v>230</v>
      </c>
      <c r="E481" t="s">
        <v>230</v>
      </c>
      <c r="F481" t="s">
        <v>230</v>
      </c>
      <c r="G481" t="s">
        <v>230</v>
      </c>
      <c r="H481" t="s">
        <v>230</v>
      </c>
      <c r="I481" t="s">
        <v>230</v>
      </c>
      <c r="J481" t="s">
        <v>230</v>
      </c>
      <c r="K481" t="s">
        <v>230</v>
      </c>
      <c r="L481" t="s">
        <v>230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c r="AV481">
        <v>0</v>
      </c>
    </row>
    <row r="482" spans="1:48">
      <c r="A482">
        <v>0</v>
      </c>
      <c r="B482">
        <v>481</v>
      </c>
      <c r="C482" t="s">
        <v>230</v>
      </c>
      <c r="D482" t="s">
        <v>230</v>
      </c>
      <c r="E482" t="s">
        <v>230</v>
      </c>
      <c r="F482" t="s">
        <v>230</v>
      </c>
      <c r="G482" t="s">
        <v>230</v>
      </c>
      <c r="H482" t="s">
        <v>230</v>
      </c>
      <c r="I482" t="s">
        <v>230</v>
      </c>
      <c r="J482" t="s">
        <v>230</v>
      </c>
      <c r="K482" t="s">
        <v>230</v>
      </c>
      <c r="L482" t="s">
        <v>230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row>
    <row r="483" spans="1:48">
      <c r="A483">
        <v>0</v>
      </c>
      <c r="B483">
        <v>482</v>
      </c>
      <c r="C483" t="s">
        <v>230</v>
      </c>
      <c r="D483" t="s">
        <v>230</v>
      </c>
      <c r="E483" t="s">
        <v>230</v>
      </c>
      <c r="F483" t="s">
        <v>230</v>
      </c>
      <c r="G483" t="s">
        <v>230</v>
      </c>
      <c r="H483" t="s">
        <v>230</v>
      </c>
      <c r="I483" t="s">
        <v>230</v>
      </c>
      <c r="J483" t="s">
        <v>230</v>
      </c>
      <c r="K483" t="s">
        <v>230</v>
      </c>
      <c r="L483" t="s">
        <v>230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row>
    <row r="484" spans="1:48">
      <c r="A484">
        <v>0</v>
      </c>
      <c r="B484">
        <v>483</v>
      </c>
      <c r="C484" t="s">
        <v>230</v>
      </c>
      <c r="D484" t="s">
        <v>230</v>
      </c>
      <c r="E484" t="s">
        <v>230</v>
      </c>
      <c r="F484" t="s">
        <v>230</v>
      </c>
      <c r="G484" t="s">
        <v>230</v>
      </c>
      <c r="H484" t="s">
        <v>230</v>
      </c>
      <c r="I484" t="s">
        <v>230</v>
      </c>
      <c r="J484" t="s">
        <v>230</v>
      </c>
      <c r="K484" t="s">
        <v>230</v>
      </c>
      <c r="L484" t="s">
        <v>230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row>
    <row r="485" spans="1:48">
      <c r="A485">
        <v>0</v>
      </c>
      <c r="B485">
        <v>484</v>
      </c>
      <c r="C485" t="s">
        <v>230</v>
      </c>
      <c r="D485" t="s">
        <v>230</v>
      </c>
      <c r="E485" t="s">
        <v>230</v>
      </c>
      <c r="F485" t="s">
        <v>230</v>
      </c>
      <c r="G485" t="s">
        <v>230</v>
      </c>
      <c r="H485" t="s">
        <v>230</v>
      </c>
      <c r="I485" t="s">
        <v>230</v>
      </c>
      <c r="J485" t="s">
        <v>230</v>
      </c>
      <c r="K485" t="s">
        <v>230</v>
      </c>
      <c r="L485" t="s">
        <v>230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row>
    <row r="486" spans="1:48">
      <c r="A486">
        <v>0</v>
      </c>
      <c r="B486">
        <v>485</v>
      </c>
      <c r="C486" t="s">
        <v>230</v>
      </c>
      <c r="D486" t="s">
        <v>230</v>
      </c>
      <c r="E486" t="s">
        <v>230</v>
      </c>
      <c r="F486" t="s">
        <v>230</v>
      </c>
      <c r="G486" t="s">
        <v>230</v>
      </c>
      <c r="H486" t="s">
        <v>230</v>
      </c>
      <c r="I486" t="s">
        <v>230</v>
      </c>
      <c r="J486" t="s">
        <v>230</v>
      </c>
      <c r="K486" t="s">
        <v>230</v>
      </c>
      <c r="L486" t="s">
        <v>230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row>
    <row r="487" spans="1:48">
      <c r="A487">
        <v>0</v>
      </c>
      <c r="B487">
        <v>486</v>
      </c>
      <c r="C487" t="s">
        <v>230</v>
      </c>
      <c r="D487" t="s">
        <v>230</v>
      </c>
      <c r="E487" t="s">
        <v>230</v>
      </c>
      <c r="F487" t="s">
        <v>230</v>
      </c>
      <c r="G487" t="s">
        <v>230</v>
      </c>
      <c r="H487" t="s">
        <v>230</v>
      </c>
      <c r="I487" t="s">
        <v>230</v>
      </c>
      <c r="J487" t="s">
        <v>230</v>
      </c>
      <c r="K487" t="s">
        <v>230</v>
      </c>
      <c r="L487" t="s">
        <v>230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row>
    <row r="488" spans="1:48">
      <c r="A488">
        <v>0</v>
      </c>
      <c r="B488">
        <v>487</v>
      </c>
      <c r="C488" t="s">
        <v>230</v>
      </c>
      <c r="D488" t="s">
        <v>230</v>
      </c>
      <c r="E488" t="s">
        <v>230</v>
      </c>
      <c r="F488" t="s">
        <v>230</v>
      </c>
      <c r="G488" t="s">
        <v>230</v>
      </c>
      <c r="H488" t="s">
        <v>230</v>
      </c>
      <c r="I488" t="s">
        <v>230</v>
      </c>
      <c r="J488" t="s">
        <v>230</v>
      </c>
      <c r="K488" t="s">
        <v>230</v>
      </c>
      <c r="L488" t="s">
        <v>230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row>
    <row r="489" spans="1:48">
      <c r="A489">
        <v>0</v>
      </c>
      <c r="B489">
        <v>488</v>
      </c>
      <c r="C489" t="s">
        <v>230</v>
      </c>
      <c r="D489" t="s">
        <v>230</v>
      </c>
      <c r="E489" t="s">
        <v>230</v>
      </c>
      <c r="F489" t="s">
        <v>230</v>
      </c>
      <c r="G489" t="s">
        <v>230</v>
      </c>
      <c r="H489" t="s">
        <v>230</v>
      </c>
      <c r="I489" t="s">
        <v>230</v>
      </c>
      <c r="J489" t="s">
        <v>230</v>
      </c>
      <c r="K489" t="s">
        <v>230</v>
      </c>
      <c r="L489" t="s">
        <v>230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row>
    <row r="490" spans="1:48">
      <c r="A490">
        <v>0</v>
      </c>
      <c r="B490">
        <v>489</v>
      </c>
      <c r="C490" t="s">
        <v>230</v>
      </c>
      <c r="D490" t="s">
        <v>230</v>
      </c>
      <c r="E490" t="s">
        <v>230</v>
      </c>
      <c r="F490" t="s">
        <v>230</v>
      </c>
      <c r="G490" t="s">
        <v>230</v>
      </c>
      <c r="H490" t="s">
        <v>230</v>
      </c>
      <c r="I490" t="s">
        <v>230</v>
      </c>
      <c r="J490" t="s">
        <v>230</v>
      </c>
      <c r="K490" t="s">
        <v>230</v>
      </c>
      <c r="L490" t="s">
        <v>230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row>
    <row r="491" spans="1:48">
      <c r="A491">
        <v>0</v>
      </c>
      <c r="B491">
        <v>490</v>
      </c>
      <c r="C491" t="s">
        <v>230</v>
      </c>
      <c r="D491" t="s">
        <v>230</v>
      </c>
      <c r="E491" t="s">
        <v>230</v>
      </c>
      <c r="F491" t="s">
        <v>230</v>
      </c>
      <c r="G491" t="s">
        <v>230</v>
      </c>
      <c r="H491" t="s">
        <v>230</v>
      </c>
      <c r="I491" t="s">
        <v>230</v>
      </c>
      <c r="J491" t="s">
        <v>230</v>
      </c>
      <c r="K491" t="s">
        <v>230</v>
      </c>
      <c r="L491" t="s">
        <v>230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row>
    <row r="492" spans="1:48">
      <c r="A492">
        <v>0</v>
      </c>
      <c r="B492">
        <v>491</v>
      </c>
      <c r="C492" t="s">
        <v>230</v>
      </c>
      <c r="D492" t="s">
        <v>230</v>
      </c>
      <c r="E492" t="s">
        <v>230</v>
      </c>
      <c r="F492" t="s">
        <v>230</v>
      </c>
      <c r="G492" t="s">
        <v>230</v>
      </c>
      <c r="H492" t="s">
        <v>230</v>
      </c>
      <c r="I492" t="s">
        <v>230</v>
      </c>
      <c r="J492" t="s">
        <v>230</v>
      </c>
      <c r="K492" t="s">
        <v>230</v>
      </c>
      <c r="L492" t="s">
        <v>230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row>
    <row r="493" spans="1:48">
      <c r="A493">
        <v>0</v>
      </c>
      <c r="B493">
        <v>492</v>
      </c>
      <c r="C493" t="s">
        <v>230</v>
      </c>
      <c r="D493" t="s">
        <v>230</v>
      </c>
      <c r="E493" t="s">
        <v>230</v>
      </c>
      <c r="F493" t="s">
        <v>230</v>
      </c>
      <c r="G493" t="s">
        <v>230</v>
      </c>
      <c r="H493" t="s">
        <v>230</v>
      </c>
      <c r="I493" t="s">
        <v>230</v>
      </c>
      <c r="J493" t="s">
        <v>230</v>
      </c>
      <c r="K493" t="s">
        <v>230</v>
      </c>
      <c r="L493" t="s">
        <v>230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row>
    <row r="494" spans="1:48">
      <c r="A494">
        <v>0</v>
      </c>
      <c r="B494">
        <v>493</v>
      </c>
      <c r="C494" t="s">
        <v>230</v>
      </c>
      <c r="D494" t="s">
        <v>230</v>
      </c>
      <c r="E494" t="s">
        <v>230</v>
      </c>
      <c r="F494" t="s">
        <v>230</v>
      </c>
      <c r="G494" t="s">
        <v>230</v>
      </c>
      <c r="H494" t="s">
        <v>230</v>
      </c>
      <c r="I494" t="s">
        <v>230</v>
      </c>
      <c r="J494" t="s">
        <v>230</v>
      </c>
      <c r="K494" t="s">
        <v>230</v>
      </c>
      <c r="L494" t="s">
        <v>230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row>
    <row r="495" spans="1:48">
      <c r="A495">
        <v>0</v>
      </c>
      <c r="B495">
        <v>494</v>
      </c>
      <c r="C495" t="s">
        <v>230</v>
      </c>
      <c r="D495" t="s">
        <v>230</v>
      </c>
      <c r="E495" t="s">
        <v>230</v>
      </c>
      <c r="F495" t="s">
        <v>230</v>
      </c>
      <c r="G495" t="s">
        <v>230</v>
      </c>
      <c r="H495" t="s">
        <v>230</v>
      </c>
      <c r="I495" t="s">
        <v>230</v>
      </c>
      <c r="J495" t="s">
        <v>230</v>
      </c>
      <c r="K495" t="s">
        <v>230</v>
      </c>
      <c r="L495" t="s">
        <v>230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row>
    <row r="496" spans="1:48">
      <c r="A496">
        <v>0</v>
      </c>
      <c r="B496">
        <v>495</v>
      </c>
      <c r="C496" t="s">
        <v>230</v>
      </c>
      <c r="D496" t="s">
        <v>230</v>
      </c>
      <c r="E496" t="s">
        <v>230</v>
      </c>
      <c r="F496" t="s">
        <v>230</v>
      </c>
      <c r="G496" t="s">
        <v>230</v>
      </c>
      <c r="H496" t="s">
        <v>230</v>
      </c>
      <c r="I496" t="s">
        <v>230</v>
      </c>
      <c r="J496" t="s">
        <v>230</v>
      </c>
      <c r="K496" t="s">
        <v>230</v>
      </c>
      <c r="L496" t="s">
        <v>230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row>
    <row r="497" spans="1:48">
      <c r="A497">
        <v>0</v>
      </c>
      <c r="B497">
        <v>496</v>
      </c>
      <c r="C497" t="s">
        <v>230</v>
      </c>
      <c r="D497" t="s">
        <v>230</v>
      </c>
      <c r="E497" t="s">
        <v>230</v>
      </c>
      <c r="F497" t="s">
        <v>230</v>
      </c>
      <c r="G497" t="s">
        <v>230</v>
      </c>
      <c r="H497" t="s">
        <v>230</v>
      </c>
      <c r="I497" t="s">
        <v>230</v>
      </c>
      <c r="J497" t="s">
        <v>230</v>
      </c>
      <c r="K497" t="s">
        <v>230</v>
      </c>
      <c r="L497" t="s">
        <v>230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row>
    <row r="498" spans="1:48">
      <c r="A498">
        <v>0</v>
      </c>
      <c r="B498">
        <v>497</v>
      </c>
      <c r="C498" t="s">
        <v>230</v>
      </c>
      <c r="D498" t="s">
        <v>230</v>
      </c>
      <c r="E498" t="s">
        <v>230</v>
      </c>
      <c r="F498" t="s">
        <v>230</v>
      </c>
      <c r="G498" t="s">
        <v>230</v>
      </c>
      <c r="H498" t="s">
        <v>230</v>
      </c>
      <c r="I498" t="s">
        <v>230</v>
      </c>
      <c r="J498" t="s">
        <v>230</v>
      </c>
      <c r="K498" t="s">
        <v>230</v>
      </c>
      <c r="L498" t="s">
        <v>230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row>
    <row r="499" spans="1:48">
      <c r="A499">
        <v>0</v>
      </c>
      <c r="B499">
        <v>498</v>
      </c>
      <c r="C499" t="s">
        <v>230</v>
      </c>
      <c r="D499" t="s">
        <v>230</v>
      </c>
      <c r="E499" t="s">
        <v>230</v>
      </c>
      <c r="F499" t="s">
        <v>230</v>
      </c>
      <c r="G499" t="s">
        <v>230</v>
      </c>
      <c r="H499" t="s">
        <v>230</v>
      </c>
      <c r="I499" t="s">
        <v>230</v>
      </c>
      <c r="J499" t="s">
        <v>230</v>
      </c>
      <c r="K499" t="s">
        <v>230</v>
      </c>
      <c r="L499" t="s">
        <v>230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row>
    <row r="500" spans="1:48">
      <c r="A500">
        <v>0</v>
      </c>
      <c r="B500">
        <v>499</v>
      </c>
      <c r="C500" t="s">
        <v>230</v>
      </c>
      <c r="D500" t="s">
        <v>230</v>
      </c>
      <c r="E500" t="s">
        <v>230</v>
      </c>
      <c r="F500" t="s">
        <v>230</v>
      </c>
      <c r="G500" t="s">
        <v>230</v>
      </c>
      <c r="H500" t="s">
        <v>230</v>
      </c>
      <c r="I500" t="s">
        <v>230</v>
      </c>
      <c r="J500" t="s">
        <v>230</v>
      </c>
      <c r="K500" t="s">
        <v>230</v>
      </c>
      <c r="L500" t="s">
        <v>230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row>
    <row r="501" spans="1:48">
      <c r="A501">
        <v>0</v>
      </c>
      <c r="B501">
        <v>500</v>
      </c>
      <c r="C501" t="s">
        <v>230</v>
      </c>
      <c r="D501" t="s">
        <v>230</v>
      </c>
      <c r="E501" t="s">
        <v>230</v>
      </c>
      <c r="F501" t="s">
        <v>230</v>
      </c>
      <c r="G501" t="s">
        <v>230</v>
      </c>
      <c r="H501" t="s">
        <v>230</v>
      </c>
      <c r="I501" t="s">
        <v>230</v>
      </c>
      <c r="J501" t="s">
        <v>230</v>
      </c>
      <c r="K501" t="s">
        <v>230</v>
      </c>
      <c r="L501" t="s">
        <v>230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c r="AS501">
        <v>0</v>
      </c>
      <c r="AT501">
        <v>0</v>
      </c>
      <c r="AU501">
        <v>0</v>
      </c>
      <c r="AV501">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01"/>
  <sheetViews>
    <sheetView topLeftCell="A201" workbookViewId="0">
      <selection activeCell="A201" sqref="A201"/>
    </sheetView>
  </sheetViews>
  <sheetFormatPr baseColWidth="10" defaultColWidth="8.83203125" defaultRowHeight="14" x14ac:dyDescent="0"/>
  <sheetData>
    <row r="1" spans="1:54">
      <c r="A1" s="1" t="s">
        <v>163</v>
      </c>
      <c r="B1" s="1" t="s">
        <v>164</v>
      </c>
      <c r="C1" s="1" t="s">
        <v>165</v>
      </c>
      <c r="D1" s="1" t="s">
        <v>166</v>
      </c>
      <c r="E1" s="1" t="s">
        <v>167</v>
      </c>
      <c r="F1" s="1" t="s">
        <v>168</v>
      </c>
      <c r="G1" s="1" t="s">
        <v>169</v>
      </c>
      <c r="H1" s="1" t="s">
        <v>170</v>
      </c>
      <c r="I1" s="1" t="s">
        <v>171</v>
      </c>
      <c r="J1" s="1" t="s">
        <v>172</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row>
    <row r="2" spans="1:54">
      <c r="A2">
        <v>1</v>
      </c>
      <c r="B2" t="s">
        <v>18</v>
      </c>
      <c r="C2" t="s">
        <v>173</v>
      </c>
      <c r="D2" t="s">
        <v>39</v>
      </c>
      <c r="E2" t="s">
        <v>174</v>
      </c>
      <c r="F2" t="s">
        <v>175</v>
      </c>
      <c r="G2">
        <v>0</v>
      </c>
      <c r="H2">
        <v>0</v>
      </c>
      <c r="I2">
        <v>0</v>
      </c>
      <c r="J2">
        <v>0</v>
      </c>
      <c r="K2">
        <v>0</v>
      </c>
      <c r="L2">
        <v>0</v>
      </c>
      <c r="M2">
        <v>0</v>
      </c>
      <c r="N2">
        <v>413003</v>
      </c>
      <c r="O2">
        <v>514005</v>
      </c>
      <c r="P2">
        <v>654654</v>
      </c>
      <c r="Q2">
        <v>847794</v>
      </c>
      <c r="R2">
        <v>919989</v>
      </c>
      <c r="S2">
        <v>1067618</v>
      </c>
      <c r="T2">
        <v>1088434</v>
      </c>
      <c r="U2">
        <v>1123768</v>
      </c>
      <c r="V2">
        <v>1082778</v>
      </c>
      <c r="W2">
        <v>1266606</v>
      </c>
      <c r="X2">
        <v>1333719</v>
      </c>
      <c r="Y2">
        <v>1436243</v>
      </c>
      <c r="Z2">
        <v>1495079</v>
      </c>
      <c r="AA2">
        <v>1538781</v>
      </c>
      <c r="AB2">
        <v>1599781</v>
      </c>
      <c r="AC2">
        <v>1569946</v>
      </c>
      <c r="AD2">
        <v>1495599</v>
      </c>
      <c r="AE2">
        <v>1607766</v>
      </c>
      <c r="AF2">
        <v>1759292</v>
      </c>
      <c r="AG2">
        <v>1811987</v>
      </c>
      <c r="AH2">
        <v>2112137</v>
      </c>
      <c r="AI2">
        <v>2213287</v>
      </c>
      <c r="AJ2">
        <v>2043334</v>
      </c>
      <c r="AK2">
        <v>2230353</v>
      </c>
      <c r="AL2">
        <v>4269524</v>
      </c>
      <c r="AM2">
        <v>6138312</v>
      </c>
      <c r="AN2">
        <v>8277289</v>
      </c>
      <c r="AO2">
        <v>9764491</v>
      </c>
      <c r="AP2">
        <v>10406054</v>
      </c>
      <c r="AQ2">
        <v>12428838</v>
      </c>
      <c r="AR2">
        <v>14265402</v>
      </c>
      <c r="AS2">
        <v>14274269</v>
      </c>
      <c r="AT2">
        <v>13110489</v>
      </c>
      <c r="AU2">
        <v>12047221</v>
      </c>
      <c r="AV2">
        <v>12229334</v>
      </c>
      <c r="AW2">
        <v>0</v>
      </c>
      <c r="AX2">
        <v>0</v>
      </c>
      <c r="AY2">
        <v>0</v>
      </c>
      <c r="AZ2">
        <v>0</v>
      </c>
      <c r="BA2">
        <v>0</v>
      </c>
      <c r="BB2">
        <v>0</v>
      </c>
    </row>
    <row r="3" spans="1:54">
      <c r="A3">
        <v>2</v>
      </c>
      <c r="B3" t="s">
        <v>18</v>
      </c>
      <c r="C3" t="s">
        <v>173</v>
      </c>
      <c r="D3" t="s">
        <v>37</v>
      </c>
      <c r="E3" t="s">
        <v>64</v>
      </c>
      <c r="F3" t="s">
        <v>94</v>
      </c>
      <c r="G3" t="s">
        <v>176</v>
      </c>
      <c r="H3" t="s">
        <v>177</v>
      </c>
      <c r="I3">
        <v>0</v>
      </c>
      <c r="J3">
        <v>0</v>
      </c>
      <c r="K3">
        <v>0</v>
      </c>
      <c r="L3">
        <v>0</v>
      </c>
      <c r="M3">
        <v>0</v>
      </c>
      <c r="N3">
        <v>675230</v>
      </c>
      <c r="O3">
        <v>645060</v>
      </c>
      <c r="P3">
        <v>567782</v>
      </c>
      <c r="Q3">
        <v>478150</v>
      </c>
      <c r="R3">
        <v>839413</v>
      </c>
      <c r="S3">
        <v>626183</v>
      </c>
      <c r="T3">
        <v>802773</v>
      </c>
      <c r="U3">
        <v>1088876</v>
      </c>
      <c r="V3">
        <v>1241955</v>
      </c>
      <c r="W3">
        <v>1057274</v>
      </c>
      <c r="X3">
        <v>1310150</v>
      </c>
      <c r="Y3">
        <v>1514959</v>
      </c>
      <c r="Z3">
        <v>2317365</v>
      </c>
      <c r="AA3">
        <v>2641959</v>
      </c>
      <c r="AB3">
        <v>2340211</v>
      </c>
      <c r="AC3">
        <v>734358</v>
      </c>
      <c r="AD3">
        <v>623541</v>
      </c>
      <c r="AE3">
        <v>1072254</v>
      </c>
      <c r="AF3">
        <v>936196</v>
      </c>
      <c r="AG3">
        <v>2415190</v>
      </c>
      <c r="AH3">
        <v>2076441</v>
      </c>
      <c r="AI3">
        <v>3648860</v>
      </c>
      <c r="AJ3">
        <v>3878627</v>
      </c>
      <c r="AK3">
        <v>4287336</v>
      </c>
      <c r="AL3">
        <v>4662120</v>
      </c>
      <c r="AM3">
        <v>3578538</v>
      </c>
      <c r="AN3">
        <v>1979785</v>
      </c>
      <c r="AO3">
        <v>3501884</v>
      </c>
      <c r="AP3">
        <v>3490592</v>
      </c>
      <c r="AQ3">
        <v>4679038</v>
      </c>
      <c r="AR3">
        <v>6142089</v>
      </c>
      <c r="AS3">
        <v>3806624</v>
      </c>
      <c r="AT3">
        <v>1098129</v>
      </c>
      <c r="AU3">
        <v>849148</v>
      </c>
      <c r="AV3">
        <v>562376</v>
      </c>
      <c r="AW3">
        <v>0</v>
      </c>
      <c r="AX3">
        <v>0</v>
      </c>
      <c r="AY3">
        <v>0</v>
      </c>
      <c r="AZ3">
        <v>0</v>
      </c>
      <c r="BA3">
        <v>0</v>
      </c>
      <c r="BB3">
        <v>0</v>
      </c>
    </row>
    <row r="4" spans="1:54">
      <c r="A4">
        <v>3</v>
      </c>
      <c r="B4" t="s">
        <v>18</v>
      </c>
      <c r="C4" t="s">
        <v>173</v>
      </c>
      <c r="D4" t="s">
        <v>37</v>
      </c>
      <c r="E4" t="s">
        <v>65</v>
      </c>
      <c r="F4" t="s">
        <v>178</v>
      </c>
      <c r="G4">
        <v>0</v>
      </c>
      <c r="H4" t="s">
        <v>177</v>
      </c>
      <c r="I4">
        <v>0</v>
      </c>
      <c r="J4">
        <v>0</v>
      </c>
      <c r="K4">
        <v>0</v>
      </c>
      <c r="L4">
        <v>0</v>
      </c>
      <c r="M4">
        <v>0</v>
      </c>
      <c r="N4">
        <v>-1312</v>
      </c>
      <c r="O4">
        <v>483</v>
      </c>
      <c r="P4">
        <v>-7693</v>
      </c>
      <c r="Q4">
        <v>11350</v>
      </c>
      <c r="R4">
        <v>-9696</v>
      </c>
      <c r="S4">
        <v>-19281</v>
      </c>
      <c r="T4">
        <v>-22227</v>
      </c>
      <c r="U4">
        <v>-4615</v>
      </c>
      <c r="V4">
        <v>25806</v>
      </c>
      <c r="W4">
        <v>6102</v>
      </c>
      <c r="X4">
        <v>-4054</v>
      </c>
      <c r="Y4">
        <v>-14499</v>
      </c>
      <c r="Z4">
        <v>-34365</v>
      </c>
      <c r="AA4">
        <v>-67035</v>
      </c>
      <c r="AB4">
        <v>-12830</v>
      </c>
      <c r="AC4">
        <v>-41780</v>
      </c>
      <c r="AD4">
        <v>-24592</v>
      </c>
      <c r="AE4">
        <v>-69903</v>
      </c>
      <c r="AF4">
        <v>-57072</v>
      </c>
      <c r="AG4">
        <v>-54778</v>
      </c>
      <c r="AH4">
        <v>12731</v>
      </c>
      <c r="AI4">
        <v>41894</v>
      </c>
      <c r="AJ4">
        <v>52345</v>
      </c>
      <c r="AK4">
        <v>-491869</v>
      </c>
      <c r="AL4">
        <v>-422117</v>
      </c>
      <c r="AM4">
        <v>3071649</v>
      </c>
      <c r="AN4">
        <v>3798415</v>
      </c>
      <c r="AO4">
        <v>-1394996</v>
      </c>
      <c r="AP4">
        <v>-2698071</v>
      </c>
      <c r="AQ4">
        <v>-1612911</v>
      </c>
      <c r="AR4">
        <v>-2266702</v>
      </c>
      <c r="AS4">
        <v>-2402775</v>
      </c>
      <c r="AT4">
        <v>-1757691</v>
      </c>
      <c r="AU4">
        <v>-1814103</v>
      </c>
      <c r="AV4">
        <v>-1803717</v>
      </c>
      <c r="AW4">
        <v>0</v>
      </c>
      <c r="AX4">
        <v>0</v>
      </c>
      <c r="AY4">
        <v>0</v>
      </c>
      <c r="AZ4">
        <v>0</v>
      </c>
      <c r="BA4">
        <v>0</v>
      </c>
      <c r="BB4">
        <v>0</v>
      </c>
    </row>
    <row r="5" spans="1:54">
      <c r="A5">
        <v>4</v>
      </c>
      <c r="B5" t="s">
        <v>18</v>
      </c>
      <c r="C5" t="s">
        <v>181</v>
      </c>
      <c r="D5" t="s">
        <v>28</v>
      </c>
      <c r="E5" t="s">
        <v>29</v>
      </c>
      <c r="F5" t="s">
        <v>499</v>
      </c>
      <c r="G5">
        <v>0</v>
      </c>
      <c r="H5">
        <v>0</v>
      </c>
      <c r="I5">
        <v>0</v>
      </c>
      <c r="J5">
        <v>0</v>
      </c>
      <c r="K5">
        <v>0</v>
      </c>
      <c r="L5">
        <v>0</v>
      </c>
      <c r="M5">
        <v>0</v>
      </c>
      <c r="N5">
        <v>6447503</v>
      </c>
      <c r="O5">
        <v>7392898</v>
      </c>
      <c r="P5">
        <v>8469988</v>
      </c>
      <c r="Q5">
        <v>9783483</v>
      </c>
      <c r="R5">
        <v>11087901</v>
      </c>
      <c r="S5">
        <v>12838627</v>
      </c>
      <c r="T5">
        <v>14957343</v>
      </c>
      <c r="U5">
        <v>16637907</v>
      </c>
      <c r="V5">
        <v>18985958</v>
      </c>
      <c r="W5">
        <v>21197451</v>
      </c>
      <c r="X5">
        <v>24635201</v>
      </c>
      <c r="Y5">
        <v>27356376</v>
      </c>
      <c r="Z5">
        <v>28773346</v>
      </c>
      <c r="AA5">
        <v>29630809</v>
      </c>
      <c r="AB5">
        <v>32270345</v>
      </c>
      <c r="AC5">
        <v>35856854</v>
      </c>
      <c r="AD5">
        <v>37510101</v>
      </c>
      <c r="AE5">
        <v>39946460</v>
      </c>
      <c r="AF5">
        <v>42478621</v>
      </c>
      <c r="AG5">
        <v>45598065</v>
      </c>
      <c r="AH5">
        <v>48805439</v>
      </c>
      <c r="AI5">
        <v>52370212</v>
      </c>
      <c r="AJ5">
        <v>54615236</v>
      </c>
      <c r="AK5">
        <v>55471298</v>
      </c>
      <c r="AL5">
        <v>56326158</v>
      </c>
      <c r="AM5">
        <v>59102100</v>
      </c>
      <c r="AN5">
        <v>62573844</v>
      </c>
      <c r="AO5">
        <v>68029762</v>
      </c>
      <c r="AP5">
        <v>72752623</v>
      </c>
      <c r="AQ5">
        <v>75096191</v>
      </c>
      <c r="AR5">
        <v>73100366</v>
      </c>
      <c r="AS5">
        <v>73243350</v>
      </c>
      <c r="AT5">
        <v>72688217</v>
      </c>
      <c r="AU5">
        <v>73009430</v>
      </c>
      <c r="AV5">
        <v>74749653</v>
      </c>
      <c r="AW5">
        <v>0</v>
      </c>
      <c r="AX5">
        <v>0</v>
      </c>
      <c r="AY5">
        <v>0</v>
      </c>
      <c r="AZ5">
        <v>0</v>
      </c>
      <c r="BA5">
        <v>0</v>
      </c>
      <c r="BB5">
        <v>0</v>
      </c>
    </row>
    <row r="6" spans="1:54">
      <c r="A6">
        <v>5</v>
      </c>
      <c r="B6" t="s">
        <v>18</v>
      </c>
      <c r="C6" t="s">
        <v>179</v>
      </c>
      <c r="D6" t="s">
        <v>44</v>
      </c>
      <c r="E6" t="s">
        <v>46</v>
      </c>
      <c r="F6">
        <v>0</v>
      </c>
      <c r="G6">
        <v>0</v>
      </c>
      <c r="H6">
        <v>0</v>
      </c>
      <c r="I6">
        <v>0</v>
      </c>
      <c r="J6" t="s">
        <v>317</v>
      </c>
      <c r="K6">
        <v>0</v>
      </c>
      <c r="L6">
        <v>0</v>
      </c>
      <c r="M6">
        <v>0</v>
      </c>
      <c r="N6">
        <v>23510656</v>
      </c>
      <c r="O6">
        <v>26311278</v>
      </c>
      <c r="P6">
        <v>28045349</v>
      </c>
      <c r="Q6">
        <v>29011915</v>
      </c>
      <c r="R6">
        <v>31250795</v>
      </c>
      <c r="S6">
        <v>34782333</v>
      </c>
      <c r="T6">
        <v>37474836</v>
      </c>
      <c r="U6">
        <v>39829454</v>
      </c>
      <c r="V6">
        <v>41023776</v>
      </c>
      <c r="W6">
        <v>43500898</v>
      </c>
      <c r="X6">
        <v>47078872</v>
      </c>
      <c r="Y6">
        <v>49897850</v>
      </c>
      <c r="Z6">
        <v>52109177</v>
      </c>
      <c r="AA6">
        <v>53153548</v>
      </c>
      <c r="AB6">
        <v>53811952</v>
      </c>
      <c r="AC6">
        <v>57297710</v>
      </c>
      <c r="AD6">
        <v>59189988</v>
      </c>
      <c r="AE6">
        <v>61829911</v>
      </c>
      <c r="AF6">
        <v>65370084</v>
      </c>
      <c r="AG6">
        <v>72049963</v>
      </c>
      <c r="AH6">
        <v>79059205</v>
      </c>
      <c r="AI6">
        <v>87021971</v>
      </c>
      <c r="AJ6">
        <v>95495625</v>
      </c>
      <c r="AK6">
        <v>97355570</v>
      </c>
      <c r="AL6">
        <v>101943499</v>
      </c>
      <c r="AM6">
        <v>105406713</v>
      </c>
      <c r="AN6">
        <v>109562107</v>
      </c>
      <c r="AO6">
        <v>117501686</v>
      </c>
      <c r="AP6">
        <v>129954447</v>
      </c>
      <c r="AQ6">
        <v>135155241</v>
      </c>
      <c r="AR6">
        <v>137999872</v>
      </c>
      <c r="AS6">
        <v>139241220</v>
      </c>
      <c r="AT6">
        <v>160615261</v>
      </c>
      <c r="AU6">
        <v>158986758</v>
      </c>
      <c r="AV6">
        <v>164109632</v>
      </c>
      <c r="AW6">
        <v>0</v>
      </c>
      <c r="AX6">
        <v>0</v>
      </c>
      <c r="AY6">
        <v>0</v>
      </c>
      <c r="AZ6">
        <v>0</v>
      </c>
      <c r="BA6">
        <v>0</v>
      </c>
      <c r="BB6">
        <v>0</v>
      </c>
    </row>
    <row r="7" spans="1:54">
      <c r="A7">
        <v>6</v>
      </c>
      <c r="B7" t="s">
        <v>18</v>
      </c>
      <c r="C7" t="s">
        <v>179</v>
      </c>
      <c r="D7" t="s">
        <v>44</v>
      </c>
      <c r="E7" t="s">
        <v>180</v>
      </c>
      <c r="F7">
        <v>0</v>
      </c>
      <c r="G7">
        <v>0</v>
      </c>
      <c r="H7">
        <v>0</v>
      </c>
      <c r="I7">
        <v>0</v>
      </c>
      <c r="J7">
        <v>0</v>
      </c>
      <c r="K7">
        <v>0</v>
      </c>
      <c r="L7">
        <v>0</v>
      </c>
      <c r="M7">
        <v>0</v>
      </c>
      <c r="N7">
        <v>4065379</v>
      </c>
      <c r="O7">
        <v>4625515</v>
      </c>
      <c r="P7">
        <v>4297114</v>
      </c>
      <c r="Q7">
        <v>4320241</v>
      </c>
      <c r="R7">
        <v>4665088</v>
      </c>
      <c r="S7">
        <v>5078962</v>
      </c>
      <c r="T7">
        <v>5450213</v>
      </c>
      <c r="U7">
        <v>5661542</v>
      </c>
      <c r="V7">
        <v>6258943</v>
      </c>
      <c r="W7">
        <v>6938755</v>
      </c>
      <c r="X7">
        <v>7792504</v>
      </c>
      <c r="Y7">
        <v>7378770</v>
      </c>
      <c r="Z7">
        <v>7523916</v>
      </c>
      <c r="AA7">
        <v>7658044</v>
      </c>
      <c r="AB7">
        <v>8455719</v>
      </c>
      <c r="AC7">
        <v>8919302</v>
      </c>
      <c r="AD7">
        <v>9548790</v>
      </c>
      <c r="AE7">
        <v>9655880</v>
      </c>
      <c r="AF7">
        <v>10016008</v>
      </c>
      <c r="AG7">
        <v>10588597</v>
      </c>
      <c r="AH7">
        <v>11366309</v>
      </c>
      <c r="AI7">
        <v>12869995</v>
      </c>
      <c r="AJ7">
        <v>13002294</v>
      </c>
      <c r="AK7">
        <v>14227143</v>
      </c>
      <c r="AL7">
        <v>14447537</v>
      </c>
      <c r="AM7">
        <v>14698332</v>
      </c>
      <c r="AN7">
        <v>15709305</v>
      </c>
      <c r="AO7">
        <v>15258062</v>
      </c>
      <c r="AP7">
        <v>16166696</v>
      </c>
      <c r="AQ7">
        <v>16406879</v>
      </c>
      <c r="AR7">
        <v>18036759</v>
      </c>
      <c r="AS7">
        <v>17729311</v>
      </c>
      <c r="AT7">
        <v>17017087</v>
      </c>
      <c r="AU7">
        <v>17184618</v>
      </c>
      <c r="AV7">
        <v>18265875</v>
      </c>
      <c r="AW7">
        <v>0</v>
      </c>
      <c r="AX7">
        <v>0</v>
      </c>
      <c r="AY7">
        <v>0</v>
      </c>
      <c r="AZ7">
        <v>0</v>
      </c>
      <c r="BA7">
        <v>0</v>
      </c>
      <c r="BB7">
        <v>0</v>
      </c>
    </row>
    <row r="8" spans="1:54">
      <c r="A8">
        <v>7</v>
      </c>
      <c r="B8" t="s">
        <v>18</v>
      </c>
      <c r="C8" t="s">
        <v>173</v>
      </c>
      <c r="D8" t="s">
        <v>39</v>
      </c>
      <c r="E8" t="s">
        <v>20</v>
      </c>
      <c r="F8">
        <v>0</v>
      </c>
      <c r="G8">
        <v>0</v>
      </c>
      <c r="H8">
        <v>0</v>
      </c>
      <c r="I8">
        <v>0</v>
      </c>
      <c r="J8">
        <v>0</v>
      </c>
      <c r="K8">
        <v>0</v>
      </c>
      <c r="L8">
        <v>0</v>
      </c>
      <c r="M8">
        <v>0</v>
      </c>
      <c r="N8">
        <v>2008792</v>
      </c>
      <c r="O8">
        <v>2276431</v>
      </c>
      <c r="P8">
        <v>2285868</v>
      </c>
      <c r="Q8">
        <v>2473187</v>
      </c>
      <c r="R8">
        <v>2555711</v>
      </c>
      <c r="S8">
        <v>2592119</v>
      </c>
      <c r="T8">
        <v>2707220</v>
      </c>
      <c r="U8">
        <v>2751691</v>
      </c>
      <c r="V8">
        <v>2853110</v>
      </c>
      <c r="W8">
        <v>2947169</v>
      </c>
      <c r="X8">
        <v>3014354</v>
      </c>
      <c r="Y8">
        <v>3249688</v>
      </c>
      <c r="Z8">
        <v>3716776</v>
      </c>
      <c r="AA8">
        <v>3945023</v>
      </c>
      <c r="AB8">
        <v>4070807</v>
      </c>
      <c r="AC8">
        <v>3946014</v>
      </c>
      <c r="AD8">
        <v>3930611</v>
      </c>
      <c r="AE8">
        <v>4009035</v>
      </c>
      <c r="AF8">
        <v>4133183</v>
      </c>
      <c r="AG8">
        <v>4130347</v>
      </c>
      <c r="AH8">
        <v>4177665</v>
      </c>
      <c r="AI8">
        <v>4358830</v>
      </c>
      <c r="AJ8">
        <v>5082130</v>
      </c>
      <c r="AK8">
        <v>5267050</v>
      </c>
      <c r="AL8">
        <v>4363626</v>
      </c>
      <c r="AM8">
        <v>4264545</v>
      </c>
      <c r="AN8">
        <v>4556093</v>
      </c>
      <c r="AO8">
        <v>3982904</v>
      </c>
      <c r="AP8">
        <v>4054823</v>
      </c>
      <c r="AQ8">
        <v>4569908</v>
      </c>
      <c r="AR8">
        <v>5156720</v>
      </c>
      <c r="AS8">
        <v>5255857</v>
      </c>
      <c r="AT8">
        <v>5116142</v>
      </c>
      <c r="AU8">
        <v>4900837</v>
      </c>
      <c r="AV8">
        <v>4400029</v>
      </c>
      <c r="AW8">
        <v>0</v>
      </c>
      <c r="AX8">
        <v>0</v>
      </c>
      <c r="AY8">
        <v>0</v>
      </c>
      <c r="AZ8">
        <v>0</v>
      </c>
      <c r="BA8">
        <v>0</v>
      </c>
      <c r="BB8">
        <v>0</v>
      </c>
    </row>
    <row r="9" spans="1:54">
      <c r="A9">
        <v>8</v>
      </c>
      <c r="B9" t="s">
        <v>18</v>
      </c>
      <c r="C9" t="s">
        <v>181</v>
      </c>
      <c r="D9" t="s">
        <v>28</v>
      </c>
      <c r="E9" t="s">
        <v>31</v>
      </c>
      <c r="F9">
        <v>0</v>
      </c>
      <c r="G9">
        <v>0</v>
      </c>
      <c r="H9">
        <v>0</v>
      </c>
      <c r="I9">
        <v>0</v>
      </c>
      <c r="J9">
        <v>0</v>
      </c>
      <c r="K9">
        <v>0</v>
      </c>
      <c r="L9">
        <v>0</v>
      </c>
      <c r="M9">
        <v>0</v>
      </c>
      <c r="N9">
        <v>5718232</v>
      </c>
      <c r="O9">
        <v>6335761</v>
      </c>
      <c r="P9">
        <v>7025556</v>
      </c>
      <c r="Q9">
        <v>7582075</v>
      </c>
      <c r="R9">
        <v>8201727</v>
      </c>
      <c r="S9">
        <v>8916631</v>
      </c>
      <c r="T9">
        <v>9586526</v>
      </c>
      <c r="U9">
        <v>10452893</v>
      </c>
      <c r="V9">
        <v>11752856</v>
      </c>
      <c r="W9">
        <v>11932217</v>
      </c>
      <c r="X9">
        <v>13186081</v>
      </c>
      <c r="Y9">
        <v>13796137</v>
      </c>
      <c r="Z9">
        <v>14750658</v>
      </c>
      <c r="AA9">
        <v>15372647</v>
      </c>
      <c r="AB9">
        <v>16122797</v>
      </c>
      <c r="AC9">
        <v>17009481</v>
      </c>
      <c r="AD9">
        <v>17708772</v>
      </c>
      <c r="AE9">
        <v>19407253</v>
      </c>
      <c r="AF9">
        <v>20268863</v>
      </c>
      <c r="AG9">
        <v>21262103</v>
      </c>
      <c r="AH9">
        <v>23101931</v>
      </c>
      <c r="AI9">
        <v>24970060</v>
      </c>
      <c r="AJ9">
        <v>25997621</v>
      </c>
      <c r="AK9">
        <v>26337576</v>
      </c>
      <c r="AL9">
        <v>28990555</v>
      </c>
      <c r="AM9">
        <v>30830112</v>
      </c>
      <c r="AN9">
        <v>33654566</v>
      </c>
      <c r="AO9">
        <v>36687551</v>
      </c>
      <c r="AP9">
        <v>39304874</v>
      </c>
      <c r="AQ9">
        <v>40886465</v>
      </c>
      <c r="AR9">
        <v>41334646</v>
      </c>
      <c r="AS9">
        <v>41380619</v>
      </c>
      <c r="AT9">
        <v>42450083</v>
      </c>
      <c r="AU9">
        <v>42550864</v>
      </c>
      <c r="AV9">
        <v>44140260</v>
      </c>
      <c r="AW9">
        <v>0</v>
      </c>
      <c r="AX9">
        <v>0</v>
      </c>
      <c r="AY9">
        <v>0</v>
      </c>
      <c r="AZ9">
        <v>0</v>
      </c>
      <c r="BA9">
        <v>0</v>
      </c>
      <c r="BB9">
        <v>0</v>
      </c>
    </row>
    <row r="10" spans="1:54">
      <c r="A10">
        <v>9</v>
      </c>
      <c r="B10" t="s">
        <v>18</v>
      </c>
      <c r="C10" t="s">
        <v>181</v>
      </c>
      <c r="D10" t="s">
        <v>28</v>
      </c>
      <c r="E10" t="s">
        <v>30</v>
      </c>
      <c r="F10">
        <v>0</v>
      </c>
      <c r="G10">
        <v>0</v>
      </c>
      <c r="H10">
        <v>0</v>
      </c>
      <c r="I10">
        <v>0</v>
      </c>
      <c r="J10">
        <v>0</v>
      </c>
      <c r="K10">
        <v>0</v>
      </c>
      <c r="L10">
        <v>0</v>
      </c>
      <c r="M10">
        <v>0</v>
      </c>
      <c r="N10">
        <v>2587613</v>
      </c>
      <c r="O10">
        <v>2649660</v>
      </c>
      <c r="P10">
        <v>4752288</v>
      </c>
      <c r="Q10">
        <v>7007431</v>
      </c>
      <c r="R10">
        <v>7648866</v>
      </c>
      <c r="S10">
        <v>8437125</v>
      </c>
      <c r="T10">
        <v>9303842</v>
      </c>
      <c r="U10">
        <v>10103225</v>
      </c>
      <c r="V10">
        <v>11213374</v>
      </c>
      <c r="W10">
        <v>12586861</v>
      </c>
      <c r="X10">
        <v>14107500</v>
      </c>
      <c r="Y10">
        <v>15377798</v>
      </c>
      <c r="Z10">
        <v>16458980</v>
      </c>
      <c r="AA10">
        <v>16992532</v>
      </c>
      <c r="AB10">
        <v>17877217</v>
      </c>
      <c r="AC10">
        <v>19168153</v>
      </c>
      <c r="AD10">
        <v>20453777</v>
      </c>
      <c r="AE10">
        <v>21645774</v>
      </c>
      <c r="AF10">
        <v>23573382</v>
      </c>
      <c r="AG10">
        <v>25316294</v>
      </c>
      <c r="AH10">
        <v>27032180</v>
      </c>
      <c r="AI10">
        <v>29203901</v>
      </c>
      <c r="AJ10">
        <v>31210148</v>
      </c>
      <c r="AK10">
        <v>32460282</v>
      </c>
      <c r="AL10">
        <v>33054300</v>
      </c>
      <c r="AM10">
        <v>35060379</v>
      </c>
      <c r="AN10">
        <v>36991723</v>
      </c>
      <c r="AO10">
        <v>38696825</v>
      </c>
      <c r="AP10">
        <v>41100373</v>
      </c>
      <c r="AQ10">
        <v>42756817</v>
      </c>
      <c r="AR10">
        <v>43038929</v>
      </c>
      <c r="AS10">
        <v>42925983</v>
      </c>
      <c r="AT10">
        <v>43187152</v>
      </c>
      <c r="AU10">
        <v>42556541</v>
      </c>
      <c r="AV10">
        <v>44050275</v>
      </c>
      <c r="AW10">
        <v>0</v>
      </c>
      <c r="AX10">
        <v>0</v>
      </c>
      <c r="AY10">
        <v>0</v>
      </c>
      <c r="AZ10">
        <v>0</v>
      </c>
      <c r="BA10">
        <v>0</v>
      </c>
      <c r="BB10">
        <v>0</v>
      </c>
    </row>
    <row r="11" spans="1:54">
      <c r="A11">
        <v>10</v>
      </c>
      <c r="B11" t="s">
        <v>18</v>
      </c>
      <c r="C11" t="s">
        <v>173</v>
      </c>
      <c r="D11" t="s">
        <v>38</v>
      </c>
      <c r="E11" t="s">
        <v>56</v>
      </c>
      <c r="F11">
        <v>0</v>
      </c>
      <c r="G11">
        <v>0</v>
      </c>
      <c r="H11">
        <v>0</v>
      </c>
      <c r="I11" t="s">
        <v>182</v>
      </c>
      <c r="J11">
        <v>0</v>
      </c>
      <c r="K11">
        <v>0</v>
      </c>
      <c r="L11">
        <v>0</v>
      </c>
      <c r="M11">
        <v>0</v>
      </c>
      <c r="N11">
        <v>8386679</v>
      </c>
      <c r="O11">
        <v>9770841</v>
      </c>
      <c r="P11">
        <v>10473389</v>
      </c>
      <c r="Q11">
        <v>11298102</v>
      </c>
      <c r="R11">
        <v>12276521</v>
      </c>
      <c r="S11">
        <v>13710925</v>
      </c>
      <c r="T11">
        <v>15549541</v>
      </c>
      <c r="U11">
        <v>16903423</v>
      </c>
      <c r="V11">
        <v>18487825</v>
      </c>
      <c r="W11">
        <v>20684388</v>
      </c>
      <c r="X11">
        <v>24222735</v>
      </c>
      <c r="Y11">
        <v>26705604</v>
      </c>
      <c r="Z11">
        <v>29616547</v>
      </c>
      <c r="AA11">
        <v>32290647</v>
      </c>
      <c r="AB11">
        <v>35328725</v>
      </c>
      <c r="AC11">
        <v>38019973</v>
      </c>
      <c r="AD11">
        <v>40165568</v>
      </c>
      <c r="AE11">
        <v>42242162</v>
      </c>
      <c r="AF11">
        <v>44390577</v>
      </c>
      <c r="AG11">
        <v>47627722</v>
      </c>
      <c r="AH11">
        <v>51365588</v>
      </c>
      <c r="AI11">
        <v>53464954</v>
      </c>
      <c r="AJ11">
        <v>59455759</v>
      </c>
      <c r="AK11">
        <v>61703413</v>
      </c>
      <c r="AL11">
        <v>64373318</v>
      </c>
      <c r="AM11">
        <v>66637076</v>
      </c>
      <c r="AN11">
        <v>69044659</v>
      </c>
      <c r="AO11">
        <v>74276735</v>
      </c>
      <c r="AP11">
        <v>79790721</v>
      </c>
      <c r="AQ11">
        <v>83096261</v>
      </c>
      <c r="AR11">
        <v>81382671</v>
      </c>
      <c r="AS11">
        <v>82392437</v>
      </c>
      <c r="AT11">
        <v>84991898</v>
      </c>
      <c r="AU11">
        <v>86510671</v>
      </c>
      <c r="AV11">
        <v>89733631</v>
      </c>
      <c r="AW11">
        <v>0</v>
      </c>
      <c r="AX11">
        <v>0</v>
      </c>
      <c r="AY11">
        <v>0</v>
      </c>
      <c r="AZ11">
        <v>0</v>
      </c>
      <c r="BA11">
        <v>0</v>
      </c>
      <c r="BB11">
        <v>0</v>
      </c>
    </row>
    <row r="12" spans="1:54">
      <c r="A12">
        <v>11</v>
      </c>
      <c r="B12" t="s">
        <v>18</v>
      </c>
      <c r="C12" t="s">
        <v>173</v>
      </c>
      <c r="D12" t="s">
        <v>38</v>
      </c>
      <c r="E12" t="s">
        <v>57</v>
      </c>
      <c r="F12" t="s">
        <v>183</v>
      </c>
      <c r="G12">
        <v>0</v>
      </c>
      <c r="H12" t="s">
        <v>177</v>
      </c>
      <c r="I12" t="s">
        <v>182</v>
      </c>
      <c r="J12">
        <v>0</v>
      </c>
      <c r="K12">
        <v>0</v>
      </c>
      <c r="L12">
        <v>0</v>
      </c>
      <c r="M12">
        <v>0</v>
      </c>
      <c r="N12">
        <v>5351753</v>
      </c>
      <c r="O12">
        <v>4607346</v>
      </c>
      <c r="P12">
        <v>5574218</v>
      </c>
      <c r="Q12">
        <v>6761092</v>
      </c>
      <c r="R12">
        <v>6563867</v>
      </c>
      <c r="S12">
        <v>7403874</v>
      </c>
      <c r="T12">
        <v>7508709</v>
      </c>
      <c r="U12">
        <v>7616632</v>
      </c>
      <c r="V12">
        <v>9170117</v>
      </c>
      <c r="W12">
        <v>9304547</v>
      </c>
      <c r="X12">
        <v>9348662</v>
      </c>
      <c r="Y12">
        <v>9317039</v>
      </c>
      <c r="Z12">
        <v>5197166</v>
      </c>
      <c r="AA12">
        <v>5146026</v>
      </c>
      <c r="AB12">
        <v>2876132</v>
      </c>
      <c r="AC12">
        <v>2537463</v>
      </c>
      <c r="AD12">
        <v>1829253</v>
      </c>
      <c r="AE12">
        <v>189439</v>
      </c>
      <c r="AF12">
        <v>1773144</v>
      </c>
      <c r="AG12">
        <v>2218035</v>
      </c>
      <c r="AH12">
        <v>3952878</v>
      </c>
      <c r="AI12">
        <v>2644936</v>
      </c>
      <c r="AJ12">
        <v>2906344</v>
      </c>
      <c r="AK12">
        <v>3599804</v>
      </c>
      <c r="AL12">
        <v>4067421</v>
      </c>
      <c r="AM12">
        <v>4276601</v>
      </c>
      <c r="AN12">
        <v>5924929</v>
      </c>
      <c r="AO12">
        <v>7993441</v>
      </c>
      <c r="AP12">
        <v>14034845</v>
      </c>
      <c r="AQ12">
        <v>15441568</v>
      </c>
      <c r="AR12">
        <v>13719138</v>
      </c>
      <c r="AS12">
        <v>14597376</v>
      </c>
      <c r="AT12">
        <v>14162596</v>
      </c>
      <c r="AU12">
        <v>10631900</v>
      </c>
      <c r="AV12">
        <v>12505424</v>
      </c>
      <c r="AW12">
        <v>0</v>
      </c>
      <c r="AX12">
        <v>0</v>
      </c>
      <c r="AY12">
        <v>0</v>
      </c>
      <c r="AZ12">
        <v>0</v>
      </c>
      <c r="BA12">
        <v>0</v>
      </c>
      <c r="BB12">
        <v>0</v>
      </c>
    </row>
    <row r="13" spans="1:54">
      <c r="A13">
        <v>12</v>
      </c>
      <c r="B13" t="s">
        <v>18</v>
      </c>
      <c r="C13" t="s">
        <v>173</v>
      </c>
      <c r="D13" t="s">
        <v>37</v>
      </c>
      <c r="E13" t="s">
        <v>64</v>
      </c>
      <c r="F13" t="s">
        <v>95</v>
      </c>
      <c r="G13" t="s">
        <v>123</v>
      </c>
      <c r="H13">
        <v>0</v>
      </c>
      <c r="I13">
        <v>0</v>
      </c>
      <c r="J13">
        <v>0</v>
      </c>
      <c r="K13">
        <v>0</v>
      </c>
      <c r="L13">
        <v>0</v>
      </c>
      <c r="M13">
        <v>0</v>
      </c>
      <c r="N13">
        <v>31862805</v>
      </c>
      <c r="O13">
        <v>33075437</v>
      </c>
      <c r="P13">
        <v>32932700</v>
      </c>
      <c r="Q13">
        <v>34845750</v>
      </c>
      <c r="R13">
        <v>37458901</v>
      </c>
      <c r="S13">
        <v>42847930</v>
      </c>
      <c r="T13">
        <v>46809717</v>
      </c>
      <c r="U13">
        <v>49477412</v>
      </c>
      <c r="V13">
        <v>52105672</v>
      </c>
      <c r="W13">
        <v>54400689</v>
      </c>
      <c r="X13">
        <v>57258562</v>
      </c>
      <c r="Y13">
        <v>60710578</v>
      </c>
      <c r="Z13">
        <v>62738500</v>
      </c>
      <c r="AA13">
        <v>63618265</v>
      </c>
      <c r="AB13">
        <v>67018644</v>
      </c>
      <c r="AC13">
        <v>72021240</v>
      </c>
      <c r="AD13">
        <v>73844940</v>
      </c>
      <c r="AE13">
        <v>76462365</v>
      </c>
      <c r="AF13">
        <v>81667278</v>
      </c>
      <c r="AG13">
        <v>86395756</v>
      </c>
      <c r="AH13">
        <v>93639370</v>
      </c>
      <c r="AI13">
        <v>98670132</v>
      </c>
      <c r="AJ13">
        <v>105625737</v>
      </c>
      <c r="AK13">
        <v>107030399</v>
      </c>
      <c r="AL13">
        <v>107063255</v>
      </c>
      <c r="AM13">
        <v>116566005</v>
      </c>
      <c r="AN13">
        <v>125834318</v>
      </c>
      <c r="AO13">
        <v>133162590</v>
      </c>
      <c r="AP13">
        <v>137662151</v>
      </c>
      <c r="AQ13">
        <v>140928066</v>
      </c>
      <c r="AR13">
        <v>142349437</v>
      </c>
      <c r="AS13">
        <v>141592260</v>
      </c>
      <c r="AT13">
        <v>146153104</v>
      </c>
      <c r="AU13">
        <v>143522288</v>
      </c>
      <c r="AV13">
        <v>147028360</v>
      </c>
      <c r="AW13">
        <v>0</v>
      </c>
      <c r="AX13">
        <v>0</v>
      </c>
      <c r="AY13">
        <v>0</v>
      </c>
      <c r="AZ13">
        <v>0</v>
      </c>
      <c r="BA13">
        <v>0</v>
      </c>
      <c r="BB13">
        <v>0</v>
      </c>
    </row>
    <row r="14" spans="1:54">
      <c r="A14">
        <v>13</v>
      </c>
      <c r="B14" t="s">
        <v>18</v>
      </c>
      <c r="C14" t="s">
        <v>173</v>
      </c>
      <c r="D14" t="s">
        <v>37</v>
      </c>
      <c r="E14" t="s">
        <v>64</v>
      </c>
      <c r="F14" t="s">
        <v>95</v>
      </c>
      <c r="G14" t="s">
        <v>124</v>
      </c>
      <c r="H14" t="s">
        <v>177</v>
      </c>
      <c r="I14">
        <v>0</v>
      </c>
      <c r="J14">
        <v>0</v>
      </c>
      <c r="K14">
        <v>0</v>
      </c>
      <c r="L14">
        <v>0</v>
      </c>
      <c r="M14">
        <v>0</v>
      </c>
      <c r="N14">
        <v>-302417</v>
      </c>
      <c r="O14">
        <v>-384989</v>
      </c>
      <c r="P14">
        <v>-494258</v>
      </c>
      <c r="Q14">
        <v>-428731</v>
      </c>
      <c r="R14">
        <v>-511136</v>
      </c>
      <c r="S14">
        <v>-615576</v>
      </c>
      <c r="T14">
        <v>-359180</v>
      </c>
      <c r="U14">
        <v>-314929</v>
      </c>
      <c r="V14">
        <v>-94667</v>
      </c>
      <c r="W14">
        <v>-225801</v>
      </c>
      <c r="X14">
        <v>-349700</v>
      </c>
      <c r="Y14">
        <v>-286738</v>
      </c>
      <c r="Z14">
        <v>-155716</v>
      </c>
      <c r="AA14">
        <v>-178045</v>
      </c>
      <c r="AB14">
        <v>-159940</v>
      </c>
      <c r="AC14">
        <v>-337292</v>
      </c>
      <c r="AD14">
        <v>-362871</v>
      </c>
      <c r="AE14">
        <v>-392993</v>
      </c>
      <c r="AF14">
        <v>-784648</v>
      </c>
      <c r="AG14">
        <v>-181827</v>
      </c>
      <c r="AH14">
        <v>304865</v>
      </c>
      <c r="AI14">
        <v>631748</v>
      </c>
      <c r="AJ14">
        <v>1472487</v>
      </c>
      <c r="AK14">
        <v>2162849</v>
      </c>
      <c r="AL14">
        <v>1226060</v>
      </c>
      <c r="AM14">
        <v>-56833</v>
      </c>
      <c r="AN14">
        <v>-5601545</v>
      </c>
      <c r="AO14">
        <v>1119585</v>
      </c>
      <c r="AP14">
        <v>4845418</v>
      </c>
      <c r="AQ14">
        <v>1446936</v>
      </c>
      <c r="AR14">
        <v>1561670</v>
      </c>
      <c r="AS14">
        <v>-270906</v>
      </c>
      <c r="AT14">
        <v>760982</v>
      </c>
      <c r="AU14">
        <v>-1071034</v>
      </c>
      <c r="AV14">
        <v>-1088168</v>
      </c>
      <c r="AW14">
        <v>0</v>
      </c>
      <c r="AX14">
        <v>0</v>
      </c>
      <c r="AY14">
        <v>0</v>
      </c>
      <c r="AZ14">
        <v>0</v>
      </c>
      <c r="BA14">
        <v>0</v>
      </c>
      <c r="BB14">
        <v>0</v>
      </c>
    </row>
    <row r="15" spans="1:54">
      <c r="A15">
        <v>14</v>
      </c>
      <c r="B15" t="s">
        <v>18</v>
      </c>
      <c r="C15" t="s">
        <v>179</v>
      </c>
      <c r="D15" t="s">
        <v>184</v>
      </c>
      <c r="E15" t="s">
        <v>185</v>
      </c>
      <c r="F15">
        <v>0</v>
      </c>
      <c r="G15">
        <v>0</v>
      </c>
      <c r="H15">
        <v>0</v>
      </c>
      <c r="I15">
        <v>0</v>
      </c>
      <c r="J15">
        <v>0</v>
      </c>
      <c r="K15">
        <v>0</v>
      </c>
      <c r="L15">
        <v>0</v>
      </c>
      <c r="M15">
        <v>0</v>
      </c>
      <c r="N15">
        <v>1693627</v>
      </c>
      <c r="O15">
        <v>1865190</v>
      </c>
      <c r="P15">
        <v>2012593</v>
      </c>
      <c r="Q15">
        <v>2213222</v>
      </c>
      <c r="R15">
        <v>2412517</v>
      </c>
      <c r="S15">
        <v>2699929</v>
      </c>
      <c r="T15">
        <v>2947501</v>
      </c>
      <c r="U15">
        <v>3297578</v>
      </c>
      <c r="V15">
        <v>3500747</v>
      </c>
      <c r="W15">
        <v>3783451</v>
      </c>
      <c r="X15">
        <v>4101814</v>
      </c>
      <c r="Y15">
        <v>4442137</v>
      </c>
      <c r="Z15">
        <v>4709918</v>
      </c>
      <c r="AA15">
        <v>4662447</v>
      </c>
      <c r="AB15">
        <v>4954133</v>
      </c>
      <c r="AC15">
        <v>5284677</v>
      </c>
      <c r="AD15">
        <v>5720039</v>
      </c>
      <c r="AE15">
        <v>6292519</v>
      </c>
      <c r="AF15">
        <v>6569123</v>
      </c>
      <c r="AG15">
        <v>6840982</v>
      </c>
      <c r="AH15">
        <v>7155356</v>
      </c>
      <c r="AI15">
        <v>7802091</v>
      </c>
      <c r="AJ15">
        <v>8260071</v>
      </c>
      <c r="AK15">
        <v>7581684</v>
      </c>
      <c r="AL15">
        <v>9288583</v>
      </c>
      <c r="AM15">
        <v>9792378</v>
      </c>
      <c r="AN15">
        <v>8887660</v>
      </c>
      <c r="AO15">
        <v>10765940</v>
      </c>
      <c r="AP15">
        <v>11521190</v>
      </c>
      <c r="AQ15">
        <v>11130261</v>
      </c>
      <c r="AR15">
        <v>10991012</v>
      </c>
      <c r="AS15">
        <v>10698511</v>
      </c>
      <c r="AT15">
        <v>11459731</v>
      </c>
      <c r="AU15">
        <v>11150451</v>
      </c>
      <c r="AV15">
        <v>11158289</v>
      </c>
      <c r="AW15">
        <v>0</v>
      </c>
      <c r="AX15">
        <v>0</v>
      </c>
      <c r="AY15">
        <v>0</v>
      </c>
      <c r="AZ15">
        <v>0</v>
      </c>
      <c r="BA15">
        <v>0</v>
      </c>
      <c r="BB15">
        <v>0</v>
      </c>
    </row>
    <row r="16" spans="1:54">
      <c r="A16">
        <v>15</v>
      </c>
      <c r="B16" t="s">
        <v>18</v>
      </c>
      <c r="C16" t="s">
        <v>179</v>
      </c>
      <c r="D16" t="s">
        <v>318</v>
      </c>
      <c r="E16" t="s">
        <v>50</v>
      </c>
      <c r="F16">
        <v>0</v>
      </c>
      <c r="G16">
        <v>0</v>
      </c>
      <c r="H16">
        <v>0</v>
      </c>
      <c r="I16">
        <v>0</v>
      </c>
      <c r="J16">
        <v>0</v>
      </c>
      <c r="K16">
        <v>0</v>
      </c>
      <c r="L16">
        <v>0</v>
      </c>
      <c r="M16">
        <v>0</v>
      </c>
      <c r="N16">
        <v>1762502</v>
      </c>
      <c r="O16">
        <v>1989315</v>
      </c>
      <c r="P16">
        <v>2165682</v>
      </c>
      <c r="Q16">
        <v>2269488</v>
      </c>
      <c r="R16">
        <v>2368692</v>
      </c>
      <c r="S16">
        <v>2572956</v>
      </c>
      <c r="T16">
        <v>2786168</v>
      </c>
      <c r="U16">
        <v>2988594</v>
      </c>
      <c r="V16">
        <v>3010051</v>
      </c>
      <c r="W16">
        <v>3241643</v>
      </c>
      <c r="X16">
        <v>3531681</v>
      </c>
      <c r="Y16">
        <v>3635682</v>
      </c>
      <c r="Z16">
        <v>3653091</v>
      </c>
      <c r="AA16">
        <v>3749822</v>
      </c>
      <c r="AB16">
        <v>3795151</v>
      </c>
      <c r="AC16">
        <v>3866808</v>
      </c>
      <c r="AD16">
        <v>3993407</v>
      </c>
      <c r="AE16">
        <v>4119720</v>
      </c>
      <c r="AF16">
        <v>4387033</v>
      </c>
      <c r="AG16">
        <v>4645913</v>
      </c>
      <c r="AH16">
        <v>5456274</v>
      </c>
      <c r="AI16">
        <v>5637629</v>
      </c>
      <c r="AJ16">
        <v>5503864</v>
      </c>
      <c r="AK16">
        <v>5591353</v>
      </c>
      <c r="AL16">
        <v>5573618</v>
      </c>
      <c r="AM16">
        <v>0</v>
      </c>
      <c r="AN16">
        <v>0</v>
      </c>
      <c r="AO16">
        <v>0</v>
      </c>
      <c r="AP16">
        <v>0</v>
      </c>
      <c r="AQ16">
        <v>0</v>
      </c>
      <c r="AR16">
        <v>0</v>
      </c>
      <c r="AS16">
        <v>0</v>
      </c>
      <c r="AT16">
        <v>0</v>
      </c>
      <c r="AU16">
        <v>0</v>
      </c>
      <c r="AV16">
        <v>5860788.9890284827</v>
      </c>
      <c r="AW16">
        <v>0</v>
      </c>
      <c r="AX16">
        <v>0</v>
      </c>
      <c r="AY16">
        <v>0</v>
      </c>
      <c r="AZ16">
        <v>0</v>
      </c>
      <c r="BA16">
        <v>0</v>
      </c>
      <c r="BB16">
        <v>0</v>
      </c>
    </row>
    <row r="17" spans="1:54">
      <c r="A17">
        <v>16</v>
      </c>
      <c r="B17" t="s">
        <v>18</v>
      </c>
      <c r="C17" t="s">
        <v>173</v>
      </c>
      <c r="D17" t="s">
        <v>37</v>
      </c>
      <c r="E17" t="s">
        <v>64</v>
      </c>
      <c r="F17" t="s">
        <v>95</v>
      </c>
      <c r="G17" t="s">
        <v>125</v>
      </c>
      <c r="H17" t="s">
        <v>177</v>
      </c>
      <c r="I17">
        <v>0</v>
      </c>
      <c r="J17">
        <v>0</v>
      </c>
      <c r="K17">
        <v>0</v>
      </c>
      <c r="L17">
        <v>0</v>
      </c>
      <c r="M17">
        <v>0</v>
      </c>
      <c r="N17">
        <v>7897</v>
      </c>
      <c r="O17">
        <v>8482</v>
      </c>
      <c r="P17">
        <v>12102</v>
      </c>
      <c r="Q17">
        <v>1164</v>
      </c>
      <c r="R17">
        <v>-41939</v>
      </c>
      <c r="S17">
        <v>17784</v>
      </c>
      <c r="T17">
        <v>50588</v>
      </c>
      <c r="U17">
        <v>76197</v>
      </c>
      <c r="V17">
        <v>48030</v>
      </c>
      <c r="W17">
        <v>-41028</v>
      </c>
      <c r="X17">
        <v>-105195</v>
      </c>
      <c r="Y17">
        <v>-110378</v>
      </c>
      <c r="Z17">
        <v>-108287</v>
      </c>
      <c r="AA17">
        <v>-304198</v>
      </c>
      <c r="AB17">
        <v>-348536</v>
      </c>
      <c r="AC17">
        <v>-292648</v>
      </c>
      <c r="AD17">
        <v>-232472</v>
      </c>
      <c r="AE17">
        <v>-383541</v>
      </c>
      <c r="AF17">
        <v>-386689</v>
      </c>
      <c r="AG17">
        <v>-341499</v>
      </c>
      <c r="AH17">
        <v>-468076</v>
      </c>
      <c r="AI17">
        <v>-388352</v>
      </c>
      <c r="AJ17">
        <v>-279272</v>
      </c>
      <c r="AK17">
        <v>-474046</v>
      </c>
      <c r="AL17">
        <v>-204929</v>
      </c>
      <c r="AM17">
        <v>-212769</v>
      </c>
      <c r="AN17">
        <v>-628769</v>
      </c>
      <c r="AO17">
        <v>-589970</v>
      </c>
      <c r="AP17">
        <v>-351170</v>
      </c>
      <c r="AQ17">
        <v>-316272</v>
      </c>
      <c r="AR17">
        <v>-1538048</v>
      </c>
      <c r="AS17">
        <v>-543183</v>
      </c>
      <c r="AT17">
        <v>-680627</v>
      </c>
      <c r="AU17">
        <v>-825112</v>
      </c>
      <c r="AV17">
        <v>-1044741</v>
      </c>
      <c r="AW17">
        <v>0</v>
      </c>
      <c r="AX17">
        <v>0</v>
      </c>
      <c r="AY17">
        <v>0</v>
      </c>
      <c r="AZ17">
        <v>0</v>
      </c>
      <c r="BA17">
        <v>0</v>
      </c>
      <c r="BB17">
        <v>0</v>
      </c>
    </row>
    <row r="18" spans="1:54">
      <c r="A18">
        <v>17</v>
      </c>
      <c r="B18" t="s">
        <v>18</v>
      </c>
      <c r="C18" t="s">
        <v>179</v>
      </c>
      <c r="D18" t="s">
        <v>318</v>
      </c>
      <c r="E18" t="s">
        <v>51</v>
      </c>
      <c r="F18">
        <v>0</v>
      </c>
      <c r="G18">
        <v>0</v>
      </c>
      <c r="H18">
        <v>0</v>
      </c>
      <c r="I18">
        <v>0</v>
      </c>
      <c r="J18">
        <v>0</v>
      </c>
      <c r="K18">
        <v>0</v>
      </c>
      <c r="L18">
        <v>0</v>
      </c>
      <c r="M18">
        <v>0</v>
      </c>
      <c r="N18">
        <v>8888131</v>
      </c>
      <c r="O18">
        <v>9646984</v>
      </c>
      <c r="P18">
        <v>10123193</v>
      </c>
      <c r="Q18">
        <v>10880344</v>
      </c>
      <c r="R18">
        <v>11215110</v>
      </c>
      <c r="S18">
        <v>12544058</v>
      </c>
      <c r="T18">
        <v>13937646</v>
      </c>
      <c r="U18">
        <v>15212226</v>
      </c>
      <c r="V18">
        <v>15915695</v>
      </c>
      <c r="W18">
        <v>17214294</v>
      </c>
      <c r="X18">
        <v>19358659</v>
      </c>
      <c r="Y18">
        <v>20826279</v>
      </c>
      <c r="Z18">
        <v>20760870</v>
      </c>
      <c r="AA18">
        <v>20933170</v>
      </c>
      <c r="AB18">
        <v>21988630</v>
      </c>
      <c r="AC18">
        <v>24037184</v>
      </c>
      <c r="AD18">
        <v>25498532</v>
      </c>
      <c r="AE18">
        <v>27289210</v>
      </c>
      <c r="AF18">
        <v>29171770</v>
      </c>
      <c r="AG18">
        <v>30429648</v>
      </c>
      <c r="AH18">
        <v>32901032</v>
      </c>
      <c r="AI18">
        <v>37273323</v>
      </c>
      <c r="AJ18">
        <v>38857090</v>
      </c>
      <c r="AK18">
        <v>38855614</v>
      </c>
      <c r="AL18">
        <v>39879746</v>
      </c>
      <c r="AM18">
        <v>47507927</v>
      </c>
      <c r="AN18">
        <v>50393259</v>
      </c>
      <c r="AO18">
        <v>57387804</v>
      </c>
      <c r="AP18">
        <v>60768390</v>
      </c>
      <c r="AQ18">
        <v>62520051</v>
      </c>
      <c r="AR18">
        <v>59351480</v>
      </c>
      <c r="AS18">
        <v>57693187</v>
      </c>
      <c r="AT18">
        <v>56703023</v>
      </c>
      <c r="AU18">
        <v>55540657</v>
      </c>
      <c r="AV18">
        <v>48486076.010971516</v>
      </c>
      <c r="AW18">
        <v>0</v>
      </c>
      <c r="AX18">
        <v>0</v>
      </c>
      <c r="AY18">
        <v>0</v>
      </c>
      <c r="AZ18">
        <v>0</v>
      </c>
      <c r="BA18">
        <v>0</v>
      </c>
      <c r="BB18">
        <v>0</v>
      </c>
    </row>
    <row r="19" spans="1:54">
      <c r="A19">
        <v>18</v>
      </c>
      <c r="B19" t="s">
        <v>18</v>
      </c>
      <c r="C19" t="s">
        <v>181</v>
      </c>
      <c r="D19" t="s">
        <v>28</v>
      </c>
      <c r="E19" t="s">
        <v>29</v>
      </c>
      <c r="F19" t="s">
        <v>498</v>
      </c>
      <c r="G19">
        <v>0</v>
      </c>
      <c r="H19">
        <v>0</v>
      </c>
      <c r="I19">
        <v>0</v>
      </c>
      <c r="J19">
        <v>0</v>
      </c>
      <c r="K19">
        <v>0</v>
      </c>
      <c r="L19">
        <v>0</v>
      </c>
      <c r="M19">
        <v>0</v>
      </c>
      <c r="N19">
        <v>13493702</v>
      </c>
      <c r="O19">
        <v>14947018</v>
      </c>
      <c r="P19">
        <v>16511354</v>
      </c>
      <c r="Q19">
        <v>17957612</v>
      </c>
      <c r="R19">
        <v>19261992</v>
      </c>
      <c r="S19">
        <v>20956316</v>
      </c>
      <c r="T19">
        <v>22685458</v>
      </c>
      <c r="U19">
        <v>24742362</v>
      </c>
      <c r="V19">
        <v>26276791</v>
      </c>
      <c r="W19">
        <v>27770661</v>
      </c>
      <c r="X19">
        <v>30576606</v>
      </c>
      <c r="Y19">
        <v>32771685</v>
      </c>
      <c r="Z19">
        <v>35408174</v>
      </c>
      <c r="AA19">
        <v>36406822</v>
      </c>
      <c r="AB19">
        <v>38644621</v>
      </c>
      <c r="AC19">
        <v>41054532</v>
      </c>
      <c r="AD19">
        <v>44682901</v>
      </c>
      <c r="AE19">
        <v>47618740</v>
      </c>
      <c r="AF19">
        <v>50475211</v>
      </c>
      <c r="AG19">
        <v>53366526</v>
      </c>
      <c r="AH19">
        <v>56798071</v>
      </c>
      <c r="AI19">
        <v>59584216</v>
      </c>
      <c r="AJ19">
        <v>64458395</v>
      </c>
      <c r="AK19">
        <v>67361388</v>
      </c>
      <c r="AL19">
        <v>70088308</v>
      </c>
      <c r="AM19">
        <v>74131066</v>
      </c>
      <c r="AN19">
        <v>78471954</v>
      </c>
      <c r="AO19">
        <v>84002152</v>
      </c>
      <c r="AP19">
        <v>89463025</v>
      </c>
      <c r="AQ19">
        <v>95017084</v>
      </c>
      <c r="AR19">
        <v>95771705</v>
      </c>
      <c r="AS19">
        <v>96766175</v>
      </c>
      <c r="AT19">
        <v>96924511</v>
      </c>
      <c r="AU19">
        <v>98982282</v>
      </c>
      <c r="AV19">
        <v>101944943</v>
      </c>
      <c r="AW19">
        <v>0</v>
      </c>
      <c r="AX19">
        <v>0</v>
      </c>
      <c r="AY19">
        <v>0</v>
      </c>
      <c r="AZ19">
        <v>0</v>
      </c>
      <c r="BA19">
        <v>0</v>
      </c>
      <c r="BB19">
        <v>0</v>
      </c>
    </row>
    <row r="20" spans="1:54">
      <c r="A20">
        <v>19</v>
      </c>
      <c r="B20" t="s">
        <v>18</v>
      </c>
      <c r="C20" t="s">
        <v>181</v>
      </c>
      <c r="D20" t="s">
        <v>33</v>
      </c>
      <c r="E20">
        <v>0</v>
      </c>
      <c r="F20">
        <v>0</v>
      </c>
      <c r="G20">
        <v>0</v>
      </c>
      <c r="H20">
        <v>0</v>
      </c>
      <c r="I20">
        <v>0</v>
      </c>
      <c r="J20">
        <v>0</v>
      </c>
      <c r="K20">
        <v>0</v>
      </c>
      <c r="L20">
        <v>0</v>
      </c>
      <c r="M20">
        <v>0</v>
      </c>
      <c r="N20">
        <v>2317612</v>
      </c>
      <c r="O20">
        <v>2556994</v>
      </c>
      <c r="P20">
        <v>2787350</v>
      </c>
      <c r="Q20">
        <v>2967185</v>
      </c>
      <c r="R20">
        <v>3233321</v>
      </c>
      <c r="S20">
        <v>3530205</v>
      </c>
      <c r="T20">
        <v>4078692</v>
      </c>
      <c r="U20">
        <v>4417026</v>
      </c>
      <c r="V20">
        <v>4723810</v>
      </c>
      <c r="W20">
        <v>5080913</v>
      </c>
      <c r="X20">
        <v>5570328</v>
      </c>
      <c r="Y20">
        <v>6008078</v>
      </c>
      <c r="Z20">
        <v>6272404</v>
      </c>
      <c r="AA20">
        <v>6353983</v>
      </c>
      <c r="AB20">
        <v>6637861</v>
      </c>
      <c r="AC20">
        <v>7236299</v>
      </c>
      <c r="AD20">
        <v>7222021</v>
      </c>
      <c r="AE20">
        <v>7668988</v>
      </c>
      <c r="AF20">
        <v>7957951</v>
      </c>
      <c r="AG20">
        <v>8515847</v>
      </c>
      <c r="AH20">
        <v>9103757</v>
      </c>
      <c r="AI20">
        <v>9619967</v>
      </c>
      <c r="AJ20">
        <v>11631226</v>
      </c>
      <c r="AK20">
        <v>11592515</v>
      </c>
      <c r="AL20">
        <v>11494126</v>
      </c>
      <c r="AM20">
        <v>12694457</v>
      </c>
      <c r="AN20">
        <v>13010287</v>
      </c>
      <c r="AO20">
        <v>14249981</v>
      </c>
      <c r="AP20">
        <v>14950863</v>
      </c>
      <c r="AQ20">
        <v>14735225</v>
      </c>
      <c r="AR20">
        <v>14138824</v>
      </c>
      <c r="AS20">
        <v>13811995</v>
      </c>
      <c r="AT20">
        <v>13567740</v>
      </c>
      <c r="AU20">
        <v>14043377</v>
      </c>
      <c r="AV20">
        <v>14123867</v>
      </c>
      <c r="AW20">
        <v>0</v>
      </c>
      <c r="AX20">
        <v>0</v>
      </c>
      <c r="AY20">
        <v>0</v>
      </c>
      <c r="AZ20">
        <v>0</v>
      </c>
      <c r="BA20">
        <v>0</v>
      </c>
      <c r="BB20">
        <v>0</v>
      </c>
    </row>
    <row r="21" spans="1:54">
      <c r="A21">
        <v>20</v>
      </c>
      <c r="B21" t="s">
        <v>18</v>
      </c>
      <c r="C21" t="s">
        <v>173</v>
      </c>
      <c r="D21" t="s">
        <v>39</v>
      </c>
      <c r="E21" t="s">
        <v>174</v>
      </c>
      <c r="F21" t="s">
        <v>111</v>
      </c>
      <c r="G21">
        <v>0</v>
      </c>
      <c r="H21">
        <v>0</v>
      </c>
      <c r="I21">
        <v>0</v>
      </c>
      <c r="J21">
        <v>0</v>
      </c>
      <c r="K21">
        <v>0</v>
      </c>
      <c r="L21">
        <v>0</v>
      </c>
      <c r="M21">
        <v>0</v>
      </c>
      <c r="N21">
        <v>5061989</v>
      </c>
      <c r="O21">
        <v>6071388</v>
      </c>
      <c r="P21">
        <v>7430589</v>
      </c>
      <c r="Q21">
        <v>7276703</v>
      </c>
      <c r="R21">
        <v>7854343</v>
      </c>
      <c r="S21">
        <v>8805953</v>
      </c>
      <c r="T21">
        <v>9645066</v>
      </c>
      <c r="U21">
        <v>9999627</v>
      </c>
      <c r="V21">
        <v>11381455</v>
      </c>
      <c r="W21">
        <v>12749635</v>
      </c>
      <c r="X21">
        <v>13456105</v>
      </c>
      <c r="Y21">
        <v>14607339</v>
      </c>
      <c r="Z21">
        <v>15147724</v>
      </c>
      <c r="AA21">
        <v>16234548</v>
      </c>
      <c r="AB21">
        <v>17381145</v>
      </c>
      <c r="AC21">
        <v>18951796</v>
      </c>
      <c r="AD21">
        <v>20031042</v>
      </c>
      <c r="AE21">
        <v>20353038</v>
      </c>
      <c r="AF21">
        <v>21711161</v>
      </c>
      <c r="AG21">
        <v>22367883</v>
      </c>
      <c r="AH21">
        <v>23587216</v>
      </c>
      <c r="AI21">
        <v>24452880</v>
      </c>
      <c r="AJ21">
        <v>28739662</v>
      </c>
      <c r="AK21">
        <v>31101947</v>
      </c>
      <c r="AL21">
        <v>34147266</v>
      </c>
      <c r="AM21">
        <v>39789359</v>
      </c>
      <c r="AN21">
        <v>33978993</v>
      </c>
      <c r="AO21">
        <v>46817204</v>
      </c>
      <c r="AP21">
        <v>50958545</v>
      </c>
      <c r="AQ21">
        <v>50317590</v>
      </c>
      <c r="AR21">
        <v>54372196</v>
      </c>
      <c r="AS21">
        <v>56434691</v>
      </c>
      <c r="AT21">
        <v>53422053</v>
      </c>
      <c r="AU21">
        <v>49985105</v>
      </c>
      <c r="AV21">
        <v>49338659</v>
      </c>
      <c r="AW21">
        <v>0</v>
      </c>
      <c r="AX21">
        <v>0</v>
      </c>
      <c r="AY21">
        <v>0</v>
      </c>
      <c r="AZ21">
        <v>0</v>
      </c>
      <c r="BA21">
        <v>0</v>
      </c>
      <c r="BB21">
        <v>0</v>
      </c>
    </row>
    <row r="22" spans="1:54">
      <c r="A22">
        <v>21</v>
      </c>
      <c r="B22" t="s">
        <v>18</v>
      </c>
      <c r="C22" t="s">
        <v>181</v>
      </c>
      <c r="D22" t="s">
        <v>34</v>
      </c>
      <c r="E22">
        <v>0</v>
      </c>
      <c r="F22">
        <v>0</v>
      </c>
      <c r="G22">
        <v>0</v>
      </c>
      <c r="H22">
        <v>0</v>
      </c>
      <c r="I22">
        <v>0</v>
      </c>
      <c r="J22">
        <v>0</v>
      </c>
      <c r="K22">
        <v>0</v>
      </c>
      <c r="L22">
        <v>0</v>
      </c>
      <c r="M22">
        <v>0</v>
      </c>
      <c r="N22">
        <v>11276253</v>
      </c>
      <c r="O22">
        <v>13111718</v>
      </c>
      <c r="P22">
        <v>14406935</v>
      </c>
      <c r="Q22">
        <v>14370211</v>
      </c>
      <c r="R22">
        <v>15770172</v>
      </c>
      <c r="S22">
        <v>17313669</v>
      </c>
      <c r="T22">
        <v>17758459</v>
      </c>
      <c r="U22">
        <v>19561385</v>
      </c>
      <c r="V22">
        <v>21057733</v>
      </c>
      <c r="W22">
        <v>23134863</v>
      </c>
      <c r="X22">
        <v>25458791</v>
      </c>
      <c r="Y22">
        <v>28285959</v>
      </c>
      <c r="Z22">
        <v>31044718</v>
      </c>
      <c r="AA22">
        <v>33011807</v>
      </c>
      <c r="AB22">
        <v>36286837</v>
      </c>
      <c r="AC22">
        <v>39765621</v>
      </c>
      <c r="AD22">
        <v>40588153</v>
      </c>
      <c r="AE22">
        <v>42879933</v>
      </c>
      <c r="AF22">
        <v>46608529</v>
      </c>
      <c r="AG22">
        <v>50670102</v>
      </c>
      <c r="AH22">
        <v>54372510</v>
      </c>
      <c r="AI22">
        <v>58910233</v>
      </c>
      <c r="AJ22">
        <v>64949034</v>
      </c>
      <c r="AK22">
        <v>67432402</v>
      </c>
      <c r="AL22">
        <v>66034631</v>
      </c>
      <c r="AM22">
        <v>63527320</v>
      </c>
      <c r="AN22">
        <v>64646091</v>
      </c>
      <c r="AO22">
        <v>65443278</v>
      </c>
      <c r="AP22">
        <v>68385117</v>
      </c>
      <c r="AQ22">
        <v>71787890</v>
      </c>
      <c r="AR22">
        <v>70677964</v>
      </c>
      <c r="AS22">
        <v>69261183</v>
      </c>
      <c r="AT22">
        <v>68788573</v>
      </c>
      <c r="AU22">
        <v>70023572</v>
      </c>
      <c r="AV22">
        <v>72981522</v>
      </c>
      <c r="AW22">
        <v>0</v>
      </c>
      <c r="AX22">
        <v>0</v>
      </c>
      <c r="AY22">
        <v>0</v>
      </c>
      <c r="AZ22">
        <v>0</v>
      </c>
      <c r="BA22">
        <v>0</v>
      </c>
      <c r="BB22">
        <v>0</v>
      </c>
    </row>
    <row r="23" spans="1:54">
      <c r="A23">
        <v>22</v>
      </c>
      <c r="B23" t="s">
        <v>18</v>
      </c>
      <c r="C23" t="s">
        <v>179</v>
      </c>
      <c r="D23" t="s">
        <v>318</v>
      </c>
      <c r="E23" t="s">
        <v>51</v>
      </c>
      <c r="F23" t="s">
        <v>131</v>
      </c>
      <c r="G23">
        <v>0</v>
      </c>
      <c r="H23" t="s">
        <v>177</v>
      </c>
      <c r="I23">
        <v>0</v>
      </c>
      <c r="J23">
        <v>0</v>
      </c>
      <c r="K23">
        <v>0</v>
      </c>
      <c r="L23">
        <v>0</v>
      </c>
      <c r="M23">
        <v>0</v>
      </c>
      <c r="N23">
        <v>8341230</v>
      </c>
      <c r="O23">
        <v>9195961</v>
      </c>
      <c r="P23">
        <v>8560298</v>
      </c>
      <c r="Q23">
        <v>8143290</v>
      </c>
      <c r="R23">
        <v>7642469</v>
      </c>
      <c r="S23">
        <v>7824794</v>
      </c>
      <c r="T23">
        <v>8333331</v>
      </c>
      <c r="U23">
        <v>9495297</v>
      </c>
      <c r="V23">
        <v>10196274</v>
      </c>
      <c r="W23">
        <v>10610364</v>
      </c>
      <c r="X23">
        <v>10805485</v>
      </c>
      <c r="Y23">
        <v>11409979</v>
      </c>
      <c r="Z23">
        <v>11249244</v>
      </c>
      <c r="AA23">
        <v>12311045</v>
      </c>
      <c r="AB23">
        <v>9154626</v>
      </c>
      <c r="AC23">
        <v>10213734</v>
      </c>
      <c r="AD23">
        <v>9278426</v>
      </c>
      <c r="AE23">
        <v>10098444</v>
      </c>
      <c r="AF23">
        <v>9430530</v>
      </c>
      <c r="AG23">
        <v>9412339</v>
      </c>
      <c r="AH23">
        <v>10724713</v>
      </c>
      <c r="AI23">
        <v>9922620</v>
      </c>
      <c r="AJ23">
        <v>12004103</v>
      </c>
      <c r="AK23">
        <v>11926725</v>
      </c>
      <c r="AL23">
        <v>13397142</v>
      </c>
      <c r="AM23">
        <v>13459669</v>
      </c>
      <c r="AN23">
        <v>14445095</v>
      </c>
      <c r="AO23">
        <v>16243556</v>
      </c>
      <c r="AP23">
        <v>16991980</v>
      </c>
      <c r="AQ23">
        <v>17985610</v>
      </c>
      <c r="AR23">
        <v>16410439</v>
      </c>
      <c r="AS23">
        <v>15415085</v>
      </c>
      <c r="AT23">
        <v>11980227</v>
      </c>
      <c r="AU23">
        <v>8964158</v>
      </c>
      <c r="AV23">
        <v>5859147</v>
      </c>
      <c r="AW23">
        <v>0</v>
      </c>
      <c r="AX23">
        <v>0</v>
      </c>
      <c r="AY23">
        <v>0</v>
      </c>
      <c r="AZ23">
        <v>0</v>
      </c>
      <c r="BA23">
        <v>0</v>
      </c>
      <c r="BB23">
        <v>0</v>
      </c>
    </row>
    <row r="24" spans="1:54">
      <c r="A24">
        <v>23</v>
      </c>
      <c r="B24" t="s">
        <v>18</v>
      </c>
      <c r="C24" t="s">
        <v>173</v>
      </c>
      <c r="D24" t="s">
        <v>37</v>
      </c>
      <c r="E24" t="s">
        <v>64</v>
      </c>
      <c r="F24" t="s">
        <v>99</v>
      </c>
      <c r="G24" t="s">
        <v>186</v>
      </c>
      <c r="H24" t="s">
        <v>177</v>
      </c>
      <c r="I24">
        <v>0</v>
      </c>
      <c r="J24">
        <v>0</v>
      </c>
      <c r="K24">
        <v>0</v>
      </c>
      <c r="L24">
        <v>0</v>
      </c>
      <c r="M24">
        <v>0</v>
      </c>
      <c r="N24">
        <v>347535</v>
      </c>
      <c r="O24">
        <v>604402</v>
      </c>
      <c r="P24">
        <v>407481</v>
      </c>
      <c r="Q24">
        <v>471581</v>
      </c>
      <c r="R24">
        <v>256442</v>
      </c>
      <c r="S24">
        <v>351481</v>
      </c>
      <c r="T24">
        <v>495520</v>
      </c>
      <c r="U24">
        <v>438792</v>
      </c>
      <c r="V24">
        <v>427926</v>
      </c>
      <c r="W24">
        <v>507181</v>
      </c>
      <c r="X24">
        <v>480765</v>
      </c>
      <c r="Y24">
        <v>513861</v>
      </c>
      <c r="Z24">
        <v>267830</v>
      </c>
      <c r="AA24">
        <v>429550</v>
      </c>
      <c r="AB24">
        <v>843159</v>
      </c>
      <c r="AC24">
        <v>386116</v>
      </c>
      <c r="AD24">
        <v>446391</v>
      </c>
      <c r="AE24">
        <v>710051</v>
      </c>
      <c r="AF24">
        <v>545485</v>
      </c>
      <c r="AG24">
        <v>715372</v>
      </c>
      <c r="AH24">
        <v>633842</v>
      </c>
      <c r="AI24">
        <v>3287358</v>
      </c>
      <c r="AJ24">
        <v>885917</v>
      </c>
      <c r="AK24">
        <v>-365679</v>
      </c>
      <c r="AL24">
        <v>939841</v>
      </c>
      <c r="AM24">
        <v>502301</v>
      </c>
      <c r="AN24">
        <v>578425</v>
      </c>
      <c r="AO24">
        <v>894202</v>
      </c>
      <c r="AP24">
        <v>780631</v>
      </c>
      <c r="AQ24">
        <v>1331739</v>
      </c>
      <c r="AR24">
        <v>1382453</v>
      </c>
      <c r="AS24">
        <v>906743</v>
      </c>
      <c r="AT24">
        <v>871603</v>
      </c>
      <c r="AU24">
        <v>809051</v>
      </c>
      <c r="AV24">
        <v>1271128</v>
      </c>
      <c r="AW24">
        <v>0</v>
      </c>
      <c r="AX24">
        <v>0</v>
      </c>
      <c r="AY24">
        <v>0</v>
      </c>
      <c r="AZ24">
        <v>0</v>
      </c>
      <c r="BA24">
        <v>0</v>
      </c>
      <c r="BB24">
        <v>0</v>
      </c>
    </row>
    <row r="25" spans="1:54">
      <c r="A25">
        <v>24</v>
      </c>
      <c r="B25" t="s">
        <v>18</v>
      </c>
      <c r="C25" t="s">
        <v>173</v>
      </c>
      <c r="D25" t="s">
        <v>37</v>
      </c>
      <c r="E25" t="s">
        <v>65</v>
      </c>
      <c r="F25" t="s">
        <v>126</v>
      </c>
      <c r="G25">
        <v>0</v>
      </c>
      <c r="H25" t="s">
        <v>177</v>
      </c>
      <c r="I25">
        <v>0</v>
      </c>
      <c r="J25">
        <v>0</v>
      </c>
      <c r="K25">
        <v>0</v>
      </c>
      <c r="L25">
        <v>0</v>
      </c>
      <c r="M25">
        <v>0</v>
      </c>
      <c r="N25">
        <v>-609147</v>
      </c>
      <c r="O25">
        <v>-552265</v>
      </c>
      <c r="P25">
        <v>-501232</v>
      </c>
      <c r="Q25">
        <v>-494696</v>
      </c>
      <c r="R25">
        <v>-498802</v>
      </c>
      <c r="S25">
        <v>-412536</v>
      </c>
      <c r="T25">
        <v>-445981</v>
      </c>
      <c r="U25">
        <v>-422666</v>
      </c>
      <c r="V25">
        <v>-452898</v>
      </c>
      <c r="W25">
        <v>-443669</v>
      </c>
      <c r="X25">
        <v>-514759</v>
      </c>
      <c r="Y25">
        <v>-566462</v>
      </c>
      <c r="Z25">
        <v>-541830</v>
      </c>
      <c r="AA25">
        <v>-579776</v>
      </c>
      <c r="AB25">
        <v>-621920</v>
      </c>
      <c r="AC25">
        <v>-616976</v>
      </c>
      <c r="AD25">
        <v>-633520</v>
      </c>
      <c r="AE25">
        <v>-659134</v>
      </c>
      <c r="AF25">
        <v>-761322</v>
      </c>
      <c r="AG25">
        <v>-698142</v>
      </c>
      <c r="AH25">
        <v>-790982</v>
      </c>
      <c r="AI25">
        <v>-886172</v>
      </c>
      <c r="AJ25">
        <v>-882285</v>
      </c>
      <c r="AK25">
        <v>-936255</v>
      </c>
      <c r="AL25">
        <v>-1099705</v>
      </c>
      <c r="AM25">
        <v>-1105067</v>
      </c>
      <c r="AN25">
        <v>-1213166</v>
      </c>
      <c r="AO25">
        <v>-1220428</v>
      </c>
      <c r="AP25">
        <v>-1311677</v>
      </c>
      <c r="AQ25">
        <v>-1298926</v>
      </c>
      <c r="AR25">
        <v>-1357638</v>
      </c>
      <c r="AS25">
        <v>-1376209</v>
      </c>
      <c r="AT25">
        <v>-1650804</v>
      </c>
      <c r="AU25">
        <v>-1842862</v>
      </c>
      <c r="AV25">
        <v>-1619002</v>
      </c>
      <c r="AW25">
        <v>0</v>
      </c>
      <c r="AX25">
        <v>0</v>
      </c>
      <c r="AY25">
        <v>0</v>
      </c>
      <c r="AZ25">
        <v>0</v>
      </c>
      <c r="BA25">
        <v>0</v>
      </c>
      <c r="BB25">
        <v>0</v>
      </c>
    </row>
    <row r="26" spans="1:54">
      <c r="A26">
        <v>25</v>
      </c>
      <c r="B26" t="s">
        <v>18</v>
      </c>
      <c r="C26" t="s">
        <v>179</v>
      </c>
      <c r="D26" t="s">
        <v>318</v>
      </c>
      <c r="E26" t="s">
        <v>51</v>
      </c>
      <c r="F26" t="s">
        <v>132</v>
      </c>
      <c r="G26">
        <v>0</v>
      </c>
      <c r="H26" t="s">
        <v>177</v>
      </c>
      <c r="I26">
        <v>0</v>
      </c>
      <c r="J26">
        <v>0</v>
      </c>
      <c r="K26">
        <v>0</v>
      </c>
      <c r="L26">
        <v>0</v>
      </c>
      <c r="M26">
        <v>0</v>
      </c>
      <c r="N26">
        <v>1440828</v>
      </c>
      <c r="O26">
        <v>1722163</v>
      </c>
      <c r="P26">
        <v>1660730</v>
      </c>
      <c r="Q26">
        <v>1428280</v>
      </c>
      <c r="R26">
        <v>447131</v>
      </c>
      <c r="S26">
        <v>508053</v>
      </c>
      <c r="T26">
        <v>952585</v>
      </c>
      <c r="U26">
        <v>1696942</v>
      </c>
      <c r="V26">
        <v>1096065</v>
      </c>
      <c r="W26">
        <v>1019580</v>
      </c>
      <c r="X26">
        <v>1522909</v>
      </c>
      <c r="Y26">
        <v>2455623</v>
      </c>
      <c r="Z26">
        <v>2089384</v>
      </c>
      <c r="AA26">
        <v>578261</v>
      </c>
      <c r="AB26">
        <v>295709</v>
      </c>
      <c r="AC26">
        <v>543110</v>
      </c>
      <c r="AD26">
        <v>-396673</v>
      </c>
      <c r="AE26">
        <v>223742</v>
      </c>
      <c r="AF26">
        <v>338715</v>
      </c>
      <c r="AG26">
        <v>782042</v>
      </c>
      <c r="AH26">
        <v>625076</v>
      </c>
      <c r="AI26">
        <v>1258363</v>
      </c>
      <c r="AJ26">
        <v>2296164</v>
      </c>
      <c r="AK26">
        <v>3352783</v>
      </c>
      <c r="AL26">
        <v>3105898</v>
      </c>
      <c r="AM26">
        <v>3566383</v>
      </c>
      <c r="AN26">
        <v>2667558</v>
      </c>
      <c r="AO26">
        <v>4990622</v>
      </c>
      <c r="AP26">
        <v>4262671</v>
      </c>
      <c r="AQ26">
        <v>6572650</v>
      </c>
      <c r="AR26">
        <v>4775891</v>
      </c>
      <c r="AS26">
        <v>2142024</v>
      </c>
      <c r="AT26">
        <v>-471360</v>
      </c>
      <c r="AU26">
        <v>-1887657</v>
      </c>
      <c r="AV26">
        <v>-1835919</v>
      </c>
      <c r="AW26">
        <v>0</v>
      </c>
      <c r="AX26">
        <v>0</v>
      </c>
      <c r="AY26">
        <v>0</v>
      </c>
      <c r="AZ26">
        <v>0</v>
      </c>
      <c r="BA26">
        <v>0</v>
      </c>
      <c r="BB26">
        <v>0</v>
      </c>
    </row>
    <row r="27" spans="1:54">
      <c r="A27">
        <v>26</v>
      </c>
      <c r="B27" t="s">
        <v>18</v>
      </c>
      <c r="C27" t="s">
        <v>179</v>
      </c>
      <c r="D27" t="s">
        <v>318</v>
      </c>
      <c r="E27" t="s">
        <v>49</v>
      </c>
      <c r="F27" t="s">
        <v>187</v>
      </c>
      <c r="G27">
        <v>0</v>
      </c>
      <c r="H27" t="s">
        <v>177</v>
      </c>
      <c r="I27">
        <v>0</v>
      </c>
      <c r="J27">
        <v>0</v>
      </c>
      <c r="K27">
        <v>0</v>
      </c>
      <c r="L27">
        <v>0</v>
      </c>
      <c r="M27">
        <v>0</v>
      </c>
      <c r="N27">
        <v>1983966</v>
      </c>
      <c r="O27">
        <v>2216364</v>
      </c>
      <c r="P27">
        <v>1708481</v>
      </c>
      <c r="Q27">
        <v>1122151</v>
      </c>
      <c r="R27">
        <v>-175766</v>
      </c>
      <c r="S27">
        <v>-603633</v>
      </c>
      <c r="T27">
        <v>629495</v>
      </c>
      <c r="U27">
        <v>-1226990</v>
      </c>
      <c r="V27">
        <v>-2575341</v>
      </c>
      <c r="W27">
        <v>-3538754</v>
      </c>
      <c r="X27">
        <v>-3832537</v>
      </c>
      <c r="Y27">
        <v>-4764614</v>
      </c>
      <c r="Z27">
        <v>-4262831</v>
      </c>
      <c r="AA27">
        <v>-5046003</v>
      </c>
      <c r="AB27">
        <v>-5189453</v>
      </c>
      <c r="AC27">
        <v>-5754958</v>
      </c>
      <c r="AD27">
        <v>-6652537</v>
      </c>
      <c r="AE27">
        <v>-6401882</v>
      </c>
      <c r="AF27">
        <v>-6715744</v>
      </c>
      <c r="AG27">
        <v>-7625171</v>
      </c>
      <c r="AH27">
        <v>-7634397</v>
      </c>
      <c r="AI27">
        <v>-642368</v>
      </c>
      <c r="AJ27">
        <v>-3546137</v>
      </c>
      <c r="AK27">
        <v>-4599194</v>
      </c>
      <c r="AL27">
        <v>-1371072</v>
      </c>
      <c r="AM27">
        <v>-4925850</v>
      </c>
      <c r="AN27">
        <v>-3762181</v>
      </c>
      <c r="AO27">
        <v>-2284722</v>
      </c>
      <c r="AP27">
        <v>-1273401</v>
      </c>
      <c r="AQ27">
        <v>-2221545</v>
      </c>
      <c r="AR27">
        <v>-3485174</v>
      </c>
      <c r="AS27">
        <v>-3750466</v>
      </c>
      <c r="AT27">
        <v>-5148262</v>
      </c>
      <c r="AU27">
        <v>-5191609</v>
      </c>
      <c r="AV27">
        <v>-6682265</v>
      </c>
      <c r="AW27">
        <v>0</v>
      </c>
      <c r="AX27">
        <v>0</v>
      </c>
      <c r="AY27">
        <v>0</v>
      </c>
      <c r="AZ27">
        <v>0</v>
      </c>
      <c r="BA27">
        <v>0</v>
      </c>
      <c r="BB27">
        <v>0</v>
      </c>
    </row>
    <row r="28" spans="1:54">
      <c r="A28">
        <v>27</v>
      </c>
      <c r="B28" t="s">
        <v>18</v>
      </c>
      <c r="C28" t="s">
        <v>173</v>
      </c>
      <c r="D28" t="s">
        <v>37</v>
      </c>
      <c r="E28" t="s">
        <v>64</v>
      </c>
      <c r="F28" t="s">
        <v>96</v>
      </c>
      <c r="G28" t="s">
        <v>188</v>
      </c>
      <c r="H28" t="s">
        <v>177</v>
      </c>
      <c r="I28">
        <v>0</v>
      </c>
      <c r="J28">
        <v>0</v>
      </c>
      <c r="K28">
        <v>0</v>
      </c>
      <c r="L28">
        <v>0</v>
      </c>
      <c r="M28">
        <v>0</v>
      </c>
      <c r="N28">
        <v>5248720</v>
      </c>
      <c r="O28">
        <v>6588902</v>
      </c>
      <c r="P28">
        <v>7642847</v>
      </c>
      <c r="Q28">
        <v>8779652</v>
      </c>
      <c r="R28">
        <v>9273434</v>
      </c>
      <c r="S28">
        <v>9375561</v>
      </c>
      <c r="T28">
        <v>9967547</v>
      </c>
      <c r="U28">
        <v>10638656</v>
      </c>
      <c r="V28">
        <v>11242502</v>
      </c>
      <c r="W28">
        <v>11764153</v>
      </c>
      <c r="X28">
        <v>13177189</v>
      </c>
      <c r="Y28">
        <v>14220076</v>
      </c>
      <c r="Z28">
        <v>15596186</v>
      </c>
      <c r="AA28">
        <v>14933696</v>
      </c>
      <c r="AB28">
        <v>17442558</v>
      </c>
      <c r="AC28">
        <v>18662195</v>
      </c>
      <c r="AD28">
        <v>18434491</v>
      </c>
      <c r="AE28">
        <v>18391187</v>
      </c>
      <c r="AF28">
        <v>19319130</v>
      </c>
      <c r="AG28">
        <v>20076522</v>
      </c>
      <c r="AH28">
        <v>22917774</v>
      </c>
      <c r="AI28">
        <v>23392012</v>
      </c>
      <c r="AJ28">
        <v>27573942</v>
      </c>
      <c r="AK28">
        <v>31570462</v>
      </c>
      <c r="AL28">
        <v>33267571</v>
      </c>
      <c r="AM28">
        <v>32589976</v>
      </c>
      <c r="AN28">
        <v>33726304</v>
      </c>
      <c r="AO28">
        <v>34861299</v>
      </c>
      <c r="AP28">
        <v>37914967</v>
      </c>
      <c r="AQ28">
        <v>43714726</v>
      </c>
      <c r="AR28">
        <v>44999082</v>
      </c>
      <c r="AS28">
        <v>44633892</v>
      </c>
      <c r="AT28">
        <v>46035124</v>
      </c>
      <c r="AU28">
        <v>47653410</v>
      </c>
      <c r="AV28">
        <v>51128629</v>
      </c>
      <c r="AW28">
        <v>0</v>
      </c>
      <c r="AX28">
        <v>0</v>
      </c>
      <c r="AY28">
        <v>0</v>
      </c>
      <c r="AZ28">
        <v>0</v>
      </c>
      <c r="BA28">
        <v>0</v>
      </c>
      <c r="BB28">
        <v>0</v>
      </c>
    </row>
    <row r="29" spans="1:54">
      <c r="A29">
        <v>28</v>
      </c>
      <c r="B29" t="s">
        <v>18</v>
      </c>
      <c r="C29" t="s">
        <v>179</v>
      </c>
      <c r="D29" t="s">
        <v>44</v>
      </c>
      <c r="E29" t="s">
        <v>45</v>
      </c>
      <c r="F29">
        <v>0</v>
      </c>
      <c r="G29">
        <v>0</v>
      </c>
      <c r="H29">
        <v>0</v>
      </c>
      <c r="I29">
        <v>0</v>
      </c>
      <c r="J29">
        <v>0</v>
      </c>
      <c r="K29">
        <v>0</v>
      </c>
      <c r="L29">
        <v>0</v>
      </c>
      <c r="M29">
        <v>0</v>
      </c>
      <c r="N29">
        <v>91878286</v>
      </c>
      <c r="O29">
        <v>99521862</v>
      </c>
      <c r="P29">
        <v>104841980</v>
      </c>
      <c r="Q29">
        <v>111714345</v>
      </c>
      <c r="R29">
        <v>119577524</v>
      </c>
      <c r="S29">
        <v>130867116</v>
      </c>
      <c r="T29">
        <v>144148137</v>
      </c>
      <c r="U29">
        <v>156139518</v>
      </c>
      <c r="V29">
        <v>168366811</v>
      </c>
      <c r="W29">
        <v>183398503</v>
      </c>
      <c r="X29">
        <v>200436227</v>
      </c>
      <c r="Y29">
        <v>216399102</v>
      </c>
      <c r="Z29">
        <v>225873520</v>
      </c>
      <c r="AA29">
        <v>239548787</v>
      </c>
      <c r="AB29">
        <v>246526230</v>
      </c>
      <c r="AC29">
        <v>264507206</v>
      </c>
      <c r="AD29">
        <v>280378469</v>
      </c>
      <c r="AE29">
        <v>294817894</v>
      </c>
      <c r="AF29">
        <v>318289990</v>
      </c>
      <c r="AG29">
        <v>340215405</v>
      </c>
      <c r="AH29">
        <v>365624809</v>
      </c>
      <c r="AI29">
        <v>393822363</v>
      </c>
      <c r="AJ29">
        <v>413905575</v>
      </c>
      <c r="AK29">
        <v>431230698</v>
      </c>
      <c r="AL29">
        <v>455364585</v>
      </c>
      <c r="AM29">
        <v>478140102</v>
      </c>
      <c r="AN29">
        <v>506849584</v>
      </c>
      <c r="AO29">
        <v>539426458</v>
      </c>
      <c r="AP29">
        <v>571134344</v>
      </c>
      <c r="AQ29">
        <v>584886702</v>
      </c>
      <c r="AR29">
        <v>582942574</v>
      </c>
      <c r="AS29">
        <v>576200339</v>
      </c>
      <c r="AT29">
        <v>577011319</v>
      </c>
      <c r="AU29">
        <v>582482623</v>
      </c>
      <c r="AV29">
        <v>601189209</v>
      </c>
      <c r="AW29">
        <v>0</v>
      </c>
      <c r="AX29">
        <v>0</v>
      </c>
      <c r="AY29">
        <v>0</v>
      </c>
      <c r="AZ29">
        <v>0</v>
      </c>
      <c r="BA29">
        <v>0</v>
      </c>
      <c r="BB29">
        <v>0</v>
      </c>
    </row>
    <row r="30" spans="1:54">
      <c r="A30">
        <v>29</v>
      </c>
      <c r="B30" t="s">
        <v>18</v>
      </c>
      <c r="C30" t="s">
        <v>173</v>
      </c>
      <c r="D30" t="s">
        <v>39</v>
      </c>
      <c r="E30" t="s">
        <v>189</v>
      </c>
      <c r="F30">
        <v>0</v>
      </c>
      <c r="G30">
        <v>0</v>
      </c>
      <c r="H30">
        <v>0</v>
      </c>
      <c r="I30">
        <v>0</v>
      </c>
      <c r="J30">
        <v>0</v>
      </c>
      <c r="K30">
        <v>0</v>
      </c>
      <c r="L30">
        <v>0</v>
      </c>
      <c r="M30">
        <v>0</v>
      </c>
      <c r="N30">
        <v>12921675</v>
      </c>
      <c r="O30">
        <v>14349965</v>
      </c>
      <c r="P30">
        <v>14680016</v>
      </c>
      <c r="Q30">
        <v>15892901</v>
      </c>
      <c r="R30">
        <v>16758966</v>
      </c>
      <c r="S30">
        <v>17401338</v>
      </c>
      <c r="T30">
        <v>18864344</v>
      </c>
      <c r="U30">
        <v>19490624</v>
      </c>
      <c r="V30">
        <v>19884027</v>
      </c>
      <c r="W30">
        <v>20733771</v>
      </c>
      <c r="X30">
        <v>22296127</v>
      </c>
      <c r="Y30">
        <v>24920900</v>
      </c>
      <c r="Z30">
        <v>27250163</v>
      </c>
      <c r="AA30">
        <v>28451513</v>
      </c>
      <c r="AB30">
        <v>28314899</v>
      </c>
      <c r="AC30">
        <v>28800857</v>
      </c>
      <c r="AD30">
        <v>26930236</v>
      </c>
      <c r="AE30">
        <v>24717265</v>
      </c>
      <c r="AF30">
        <v>22225581</v>
      </c>
      <c r="AG30">
        <v>21410391</v>
      </c>
      <c r="AH30">
        <v>20661502</v>
      </c>
      <c r="AI30">
        <v>20313467</v>
      </c>
      <c r="AJ30">
        <v>19447300</v>
      </c>
      <c r="AK30">
        <v>20660581</v>
      </c>
      <c r="AL30">
        <v>21351725</v>
      </c>
      <c r="AM30">
        <v>19986556</v>
      </c>
      <c r="AN30">
        <v>19823742</v>
      </c>
      <c r="AO30">
        <v>20019640</v>
      </c>
      <c r="AP30">
        <v>20629632</v>
      </c>
      <c r="AQ30">
        <v>21825056</v>
      </c>
      <c r="AR30">
        <v>22643938</v>
      </c>
      <c r="AS30">
        <v>23787302</v>
      </c>
      <c r="AT30">
        <v>23106411</v>
      </c>
      <c r="AU30">
        <v>22593769</v>
      </c>
      <c r="AV30">
        <v>23384152</v>
      </c>
      <c r="AW30">
        <v>0</v>
      </c>
      <c r="AX30">
        <v>0</v>
      </c>
      <c r="AY30">
        <v>0</v>
      </c>
      <c r="AZ30">
        <v>0</v>
      </c>
      <c r="BA30">
        <v>0</v>
      </c>
      <c r="BB30">
        <v>0</v>
      </c>
    </row>
    <row r="31" spans="1:54">
      <c r="A31">
        <v>30</v>
      </c>
      <c r="B31" t="s">
        <v>18</v>
      </c>
      <c r="C31" t="s">
        <v>190</v>
      </c>
      <c r="D31" t="s">
        <v>23</v>
      </c>
      <c r="E31" t="s">
        <v>25</v>
      </c>
      <c r="F31" t="s">
        <v>87</v>
      </c>
      <c r="G31">
        <v>0</v>
      </c>
      <c r="H31">
        <v>0</v>
      </c>
      <c r="I31">
        <v>0</v>
      </c>
      <c r="J31">
        <v>0</v>
      </c>
      <c r="K31">
        <v>0</v>
      </c>
      <c r="L31">
        <v>0</v>
      </c>
      <c r="M31">
        <v>0</v>
      </c>
      <c r="N31">
        <v>60951</v>
      </c>
      <c r="O31">
        <v>56969</v>
      </c>
      <c r="P31">
        <v>63798</v>
      </c>
      <c r="Q31">
        <v>74688</v>
      </c>
      <c r="R31">
        <v>98572</v>
      </c>
      <c r="S31">
        <v>112881</v>
      </c>
      <c r="T31">
        <v>121785</v>
      </c>
      <c r="U31">
        <v>129454</v>
      </c>
      <c r="V31">
        <v>134281</v>
      </c>
      <c r="W31">
        <v>146198</v>
      </c>
      <c r="X31">
        <v>151682</v>
      </c>
      <c r="Y31">
        <v>157313</v>
      </c>
      <c r="Z31">
        <v>170014</v>
      </c>
      <c r="AA31">
        <v>164681</v>
      </c>
      <c r="AB31">
        <v>179076</v>
      </c>
      <c r="AC31">
        <v>206109</v>
      </c>
      <c r="AD31">
        <v>225645</v>
      </c>
      <c r="AE31">
        <v>243188</v>
      </c>
      <c r="AF31">
        <v>288331</v>
      </c>
      <c r="AG31">
        <v>283242</v>
      </c>
      <c r="AH31">
        <v>356552</v>
      </c>
      <c r="AI31">
        <v>336520</v>
      </c>
      <c r="AJ31">
        <v>361190</v>
      </c>
      <c r="AK31">
        <v>1016563</v>
      </c>
      <c r="AL31">
        <v>1503822</v>
      </c>
      <c r="AM31">
        <v>1188935</v>
      </c>
      <c r="AN31">
        <v>992146</v>
      </c>
      <c r="AO31">
        <v>1030506</v>
      </c>
      <c r="AP31">
        <v>1080399</v>
      </c>
      <c r="AQ31">
        <v>933222</v>
      </c>
      <c r="AR31">
        <v>793609</v>
      </c>
      <c r="AS31">
        <v>927042</v>
      </c>
      <c r="AT31">
        <v>838031</v>
      </c>
      <c r="AU31">
        <v>1024498</v>
      </c>
      <c r="AV31">
        <v>1059763</v>
      </c>
      <c r="AW31">
        <v>0</v>
      </c>
      <c r="AX31">
        <v>0</v>
      </c>
      <c r="AY31">
        <v>0</v>
      </c>
      <c r="AZ31">
        <v>0</v>
      </c>
      <c r="BA31">
        <v>0</v>
      </c>
      <c r="BB31">
        <v>0</v>
      </c>
    </row>
    <row r="32" spans="1:54">
      <c r="A32">
        <v>31</v>
      </c>
      <c r="B32" t="s">
        <v>0</v>
      </c>
      <c r="C32" t="s">
        <v>1</v>
      </c>
      <c r="D32" t="s">
        <v>7</v>
      </c>
      <c r="E32">
        <v>0</v>
      </c>
      <c r="F32">
        <v>0</v>
      </c>
      <c r="G32">
        <v>0</v>
      </c>
      <c r="H32">
        <v>0</v>
      </c>
      <c r="I32">
        <v>0</v>
      </c>
      <c r="J32">
        <v>0</v>
      </c>
      <c r="K32">
        <v>0</v>
      </c>
      <c r="L32">
        <v>0</v>
      </c>
      <c r="M32">
        <v>0</v>
      </c>
      <c r="N32">
        <v>68498743</v>
      </c>
      <c r="O32">
        <v>74969444</v>
      </c>
      <c r="P32">
        <v>82067442</v>
      </c>
      <c r="Q32">
        <v>89104863</v>
      </c>
      <c r="R32">
        <v>96456745</v>
      </c>
      <c r="S32">
        <v>103756624</v>
      </c>
      <c r="T32">
        <v>111709287</v>
      </c>
      <c r="U32">
        <v>121202638</v>
      </c>
      <c r="V32">
        <v>132212301</v>
      </c>
      <c r="W32">
        <v>142400237</v>
      </c>
      <c r="X32">
        <v>155613321</v>
      </c>
      <c r="Y32">
        <v>167999489</v>
      </c>
      <c r="Z32">
        <v>180320503</v>
      </c>
      <c r="AA32">
        <v>189743930</v>
      </c>
      <c r="AB32">
        <v>197141008</v>
      </c>
      <c r="AC32">
        <v>203451246</v>
      </c>
      <c r="AD32">
        <v>209440794</v>
      </c>
      <c r="AE32">
        <v>218760306</v>
      </c>
      <c r="AF32">
        <v>230150058</v>
      </c>
      <c r="AG32">
        <v>239671604</v>
      </c>
      <c r="AH32">
        <v>249177604</v>
      </c>
      <c r="AI32">
        <v>263689177</v>
      </c>
      <c r="AJ32">
        <v>279191478</v>
      </c>
      <c r="AK32">
        <v>296683185</v>
      </c>
      <c r="AL32">
        <v>317941413</v>
      </c>
      <c r="AM32">
        <v>335779002</v>
      </c>
      <c r="AN32">
        <v>364558999</v>
      </c>
      <c r="AO32">
        <v>388905357</v>
      </c>
      <c r="AP32">
        <v>409539657</v>
      </c>
      <c r="AQ32">
        <v>434818264</v>
      </c>
      <c r="AR32">
        <v>443947292</v>
      </c>
      <c r="AS32">
        <v>445771236</v>
      </c>
      <c r="AT32">
        <v>447120120</v>
      </c>
      <c r="AU32">
        <v>453052504</v>
      </c>
      <c r="AV32">
        <v>466391552</v>
      </c>
      <c r="AW32">
        <v>0</v>
      </c>
      <c r="AX32">
        <v>0</v>
      </c>
      <c r="AY32">
        <v>0</v>
      </c>
      <c r="AZ32">
        <v>0</v>
      </c>
      <c r="BA32">
        <v>0</v>
      </c>
      <c r="BB32">
        <v>0</v>
      </c>
    </row>
    <row r="33" spans="1:54">
      <c r="A33">
        <v>32</v>
      </c>
      <c r="B33" t="s">
        <v>0</v>
      </c>
      <c r="C33" t="s">
        <v>1</v>
      </c>
      <c r="D33" t="s">
        <v>5</v>
      </c>
      <c r="E33" t="s">
        <v>191</v>
      </c>
      <c r="F33">
        <v>0</v>
      </c>
      <c r="G33">
        <v>0</v>
      </c>
      <c r="H33">
        <v>0</v>
      </c>
      <c r="I33">
        <v>0</v>
      </c>
      <c r="J33">
        <v>0</v>
      </c>
      <c r="K33">
        <v>0</v>
      </c>
      <c r="L33">
        <v>0</v>
      </c>
      <c r="M33">
        <v>0</v>
      </c>
      <c r="N33">
        <v>51327616</v>
      </c>
      <c r="O33">
        <v>55641390</v>
      </c>
      <c r="P33">
        <v>60573300</v>
      </c>
      <c r="Q33">
        <v>64889896</v>
      </c>
      <c r="R33">
        <v>75211609</v>
      </c>
      <c r="S33">
        <v>84295648</v>
      </c>
      <c r="T33">
        <v>90694713</v>
      </c>
      <c r="U33">
        <v>96602538</v>
      </c>
      <c r="V33">
        <v>105237831</v>
      </c>
      <c r="W33">
        <v>112673222</v>
      </c>
      <c r="X33">
        <v>121286594</v>
      </c>
      <c r="Y33">
        <v>125448814</v>
      </c>
      <c r="Z33">
        <v>131978309</v>
      </c>
      <c r="AA33">
        <v>138822010</v>
      </c>
      <c r="AB33">
        <v>149039888</v>
      </c>
      <c r="AC33">
        <v>160166175</v>
      </c>
      <c r="AD33">
        <v>169072372</v>
      </c>
      <c r="AE33">
        <v>178746275</v>
      </c>
      <c r="AF33">
        <v>188752895</v>
      </c>
      <c r="AG33">
        <v>200626752</v>
      </c>
      <c r="AH33">
        <v>215112414</v>
      </c>
      <c r="AI33">
        <v>223428227</v>
      </c>
      <c r="AJ33">
        <v>222986687</v>
      </c>
      <c r="AK33">
        <v>229222301</v>
      </c>
      <c r="AL33">
        <v>245342513</v>
      </c>
      <c r="AM33">
        <v>262951838</v>
      </c>
      <c r="AN33">
        <v>285829129</v>
      </c>
      <c r="AO33">
        <v>300601232</v>
      </c>
      <c r="AP33">
        <v>304739498</v>
      </c>
      <c r="AQ33">
        <v>291300296</v>
      </c>
      <c r="AR33">
        <v>288499186</v>
      </c>
      <c r="AS33">
        <v>304668034</v>
      </c>
      <c r="AT33">
        <v>314135839</v>
      </c>
      <c r="AU33">
        <v>327036761</v>
      </c>
      <c r="AV33">
        <v>347183136</v>
      </c>
      <c r="AW33">
        <v>0</v>
      </c>
      <c r="AX33">
        <v>0</v>
      </c>
      <c r="AY33">
        <v>0</v>
      </c>
      <c r="AZ33">
        <v>0</v>
      </c>
      <c r="BA33">
        <v>0</v>
      </c>
      <c r="BB33">
        <v>0</v>
      </c>
    </row>
    <row r="34" spans="1:54">
      <c r="A34">
        <v>33</v>
      </c>
      <c r="B34" t="s">
        <v>0</v>
      </c>
      <c r="C34" t="s">
        <v>1</v>
      </c>
      <c r="D34" t="s">
        <v>5</v>
      </c>
      <c r="E34" t="s">
        <v>192</v>
      </c>
      <c r="F34" t="s">
        <v>75</v>
      </c>
      <c r="G34">
        <v>0</v>
      </c>
      <c r="H34">
        <v>0</v>
      </c>
      <c r="I34">
        <v>0</v>
      </c>
      <c r="J34">
        <v>0</v>
      </c>
      <c r="K34">
        <v>0</v>
      </c>
      <c r="L34">
        <v>0</v>
      </c>
      <c r="M34">
        <v>0</v>
      </c>
      <c r="N34">
        <v>2641976</v>
      </c>
      <c r="O34">
        <v>2819826</v>
      </c>
      <c r="P34">
        <v>2946833</v>
      </c>
      <c r="Q34">
        <v>2978016</v>
      </c>
      <c r="R34">
        <v>3149592</v>
      </c>
      <c r="S34">
        <v>3286482</v>
      </c>
      <c r="T34">
        <v>3332734</v>
      </c>
      <c r="U34">
        <v>3381485</v>
      </c>
      <c r="V34">
        <v>3481695</v>
      </c>
      <c r="W34">
        <v>3396842</v>
      </c>
      <c r="X34">
        <v>3469894</v>
      </c>
      <c r="Y34">
        <v>3683241</v>
      </c>
      <c r="Z34">
        <v>3882064</v>
      </c>
      <c r="AA34">
        <v>3866390</v>
      </c>
      <c r="AB34">
        <v>3903861</v>
      </c>
      <c r="AC34">
        <v>3905881</v>
      </c>
      <c r="AD34">
        <v>3941334</v>
      </c>
      <c r="AE34">
        <v>4021740</v>
      </c>
      <c r="AF34">
        <v>4047022</v>
      </c>
      <c r="AG34">
        <v>4191279</v>
      </c>
      <c r="AH34">
        <v>4393193</v>
      </c>
      <c r="AI34">
        <v>4521794</v>
      </c>
      <c r="AJ34">
        <v>4600156</v>
      </c>
      <c r="AK34">
        <v>4756547</v>
      </c>
      <c r="AL34">
        <v>4985706</v>
      </c>
      <c r="AM34">
        <v>5125140</v>
      </c>
      <c r="AN34">
        <v>5353816</v>
      </c>
      <c r="AO34">
        <v>5606480</v>
      </c>
      <c r="AP34">
        <v>5748447</v>
      </c>
      <c r="AQ34">
        <v>5885424</v>
      </c>
      <c r="AR34">
        <v>6021465</v>
      </c>
      <c r="AS34">
        <v>6236852</v>
      </c>
      <c r="AT34">
        <v>6494714</v>
      </c>
      <c r="AU34">
        <v>6614214</v>
      </c>
      <c r="AV34">
        <v>6725957</v>
      </c>
      <c r="AW34">
        <v>0</v>
      </c>
      <c r="AX34">
        <v>0</v>
      </c>
      <c r="AY34">
        <v>0</v>
      </c>
      <c r="AZ34">
        <v>0</v>
      </c>
      <c r="BA34">
        <v>0</v>
      </c>
      <c r="BB34">
        <v>0</v>
      </c>
    </row>
    <row r="35" spans="1:54">
      <c r="A35">
        <v>34</v>
      </c>
      <c r="B35" t="s">
        <v>0</v>
      </c>
      <c r="C35" t="s">
        <v>1</v>
      </c>
      <c r="D35" t="s">
        <v>5</v>
      </c>
      <c r="E35" t="s">
        <v>192</v>
      </c>
      <c r="F35" t="s">
        <v>76</v>
      </c>
      <c r="G35">
        <v>0</v>
      </c>
      <c r="H35">
        <v>0</v>
      </c>
      <c r="I35">
        <v>0</v>
      </c>
      <c r="J35">
        <v>0</v>
      </c>
      <c r="K35">
        <v>0</v>
      </c>
      <c r="L35">
        <v>0</v>
      </c>
      <c r="M35">
        <v>0</v>
      </c>
      <c r="N35">
        <v>9821603</v>
      </c>
      <c r="O35">
        <v>9858532</v>
      </c>
      <c r="P35">
        <v>10619673</v>
      </c>
      <c r="Q35">
        <v>10942477</v>
      </c>
      <c r="R35">
        <v>12555442</v>
      </c>
      <c r="S35">
        <v>13630659</v>
      </c>
      <c r="T35">
        <v>14438826</v>
      </c>
      <c r="U35">
        <v>16156344</v>
      </c>
      <c r="V35">
        <v>17787382</v>
      </c>
      <c r="W35">
        <v>18719149</v>
      </c>
      <c r="X35">
        <v>20043185</v>
      </c>
      <c r="Y35">
        <v>21315691</v>
      </c>
      <c r="Z35">
        <v>22957804</v>
      </c>
      <c r="AA35">
        <v>24248667</v>
      </c>
      <c r="AB35">
        <v>25202592</v>
      </c>
      <c r="AC35">
        <v>26205551</v>
      </c>
      <c r="AD35">
        <v>26832062</v>
      </c>
      <c r="AE35">
        <v>28094363</v>
      </c>
      <c r="AF35">
        <v>29246986</v>
      </c>
      <c r="AG35">
        <v>30094424</v>
      </c>
      <c r="AH35">
        <v>30938602</v>
      </c>
      <c r="AI35">
        <v>32045388</v>
      </c>
      <c r="AJ35">
        <v>33044249</v>
      </c>
      <c r="AK35">
        <v>33378664</v>
      </c>
      <c r="AL35">
        <v>34943572</v>
      </c>
      <c r="AM35">
        <v>35766701</v>
      </c>
      <c r="AN35">
        <v>36979404</v>
      </c>
      <c r="AO35">
        <v>37849041</v>
      </c>
      <c r="AP35">
        <v>38960918</v>
      </c>
      <c r="AQ35">
        <v>37823608</v>
      </c>
      <c r="AR35">
        <v>37922286</v>
      </c>
      <c r="AS35">
        <v>41187374</v>
      </c>
      <c r="AT35">
        <v>41420540</v>
      </c>
      <c r="AU35">
        <v>41466573</v>
      </c>
      <c r="AV35">
        <v>42723453</v>
      </c>
      <c r="AW35">
        <v>0</v>
      </c>
      <c r="AX35">
        <v>0</v>
      </c>
      <c r="AY35">
        <v>0</v>
      </c>
      <c r="AZ35">
        <v>0</v>
      </c>
      <c r="BA35">
        <v>0</v>
      </c>
      <c r="BB35">
        <v>0</v>
      </c>
    </row>
    <row r="36" spans="1:54">
      <c r="A36">
        <v>35</v>
      </c>
      <c r="B36" t="s">
        <v>0</v>
      </c>
      <c r="C36" t="s">
        <v>1</v>
      </c>
      <c r="D36" t="s">
        <v>5</v>
      </c>
      <c r="E36" t="s">
        <v>192</v>
      </c>
      <c r="F36" t="s">
        <v>77</v>
      </c>
      <c r="G36">
        <v>0</v>
      </c>
      <c r="H36">
        <v>0</v>
      </c>
      <c r="I36">
        <v>0</v>
      </c>
      <c r="J36">
        <v>0</v>
      </c>
      <c r="K36">
        <v>0</v>
      </c>
      <c r="L36">
        <v>0</v>
      </c>
      <c r="M36">
        <v>0</v>
      </c>
      <c r="N36">
        <v>3874160</v>
      </c>
      <c r="O36">
        <v>4046700</v>
      </c>
      <c r="P36">
        <v>4133432</v>
      </c>
      <c r="Q36">
        <v>4182084</v>
      </c>
      <c r="R36">
        <v>4327284</v>
      </c>
      <c r="S36">
        <v>4557580</v>
      </c>
      <c r="T36">
        <v>4649965</v>
      </c>
      <c r="U36">
        <v>4791760</v>
      </c>
      <c r="V36">
        <v>5040819</v>
      </c>
      <c r="W36">
        <v>5252858</v>
      </c>
      <c r="X36">
        <v>5734061</v>
      </c>
      <c r="Y36">
        <v>6170036</v>
      </c>
      <c r="Z36">
        <v>6311867</v>
      </c>
      <c r="AA36">
        <v>6421170</v>
      </c>
      <c r="AB36">
        <v>6903032</v>
      </c>
      <c r="AC36">
        <v>7535681</v>
      </c>
      <c r="AD36">
        <v>7520357</v>
      </c>
      <c r="AE36">
        <v>7666546</v>
      </c>
      <c r="AF36">
        <v>7956232</v>
      </c>
      <c r="AG36">
        <v>8374871</v>
      </c>
      <c r="AH36">
        <v>8584773</v>
      </c>
      <c r="AI36">
        <v>8833438</v>
      </c>
      <c r="AJ36">
        <v>9092865</v>
      </c>
      <c r="AK36">
        <v>11806700</v>
      </c>
      <c r="AL36">
        <v>12625780</v>
      </c>
      <c r="AM36">
        <v>13337259</v>
      </c>
      <c r="AN36">
        <v>15005828</v>
      </c>
      <c r="AO36">
        <v>15828437</v>
      </c>
      <c r="AP36">
        <v>16583060</v>
      </c>
      <c r="AQ36">
        <v>17162063</v>
      </c>
      <c r="AR36">
        <v>17302708</v>
      </c>
      <c r="AS36">
        <v>17664904</v>
      </c>
      <c r="AT36">
        <v>18445393</v>
      </c>
      <c r="AU36">
        <v>17493928</v>
      </c>
      <c r="AV36">
        <v>17409873</v>
      </c>
      <c r="AW36">
        <v>0</v>
      </c>
      <c r="AX36">
        <v>0</v>
      </c>
      <c r="AY36">
        <v>0</v>
      </c>
      <c r="AZ36">
        <v>0</v>
      </c>
      <c r="BA36">
        <v>0</v>
      </c>
      <c r="BB36">
        <v>0</v>
      </c>
    </row>
    <row r="37" spans="1:54">
      <c r="A37">
        <v>36</v>
      </c>
      <c r="B37" t="s">
        <v>0</v>
      </c>
      <c r="C37" t="s">
        <v>1</v>
      </c>
      <c r="D37" t="s">
        <v>5</v>
      </c>
      <c r="E37" t="s">
        <v>192</v>
      </c>
      <c r="F37" t="s">
        <v>193</v>
      </c>
      <c r="G37">
        <v>0</v>
      </c>
      <c r="H37">
        <v>0</v>
      </c>
      <c r="I37">
        <v>0</v>
      </c>
      <c r="J37">
        <v>0</v>
      </c>
      <c r="K37">
        <v>0</v>
      </c>
      <c r="L37">
        <v>0</v>
      </c>
      <c r="M37">
        <v>0</v>
      </c>
      <c r="N37">
        <v>12261233</v>
      </c>
      <c r="O37">
        <v>13604972</v>
      </c>
      <c r="P37">
        <v>15339710</v>
      </c>
      <c r="Q37">
        <v>17254165</v>
      </c>
      <c r="R37">
        <v>18853415</v>
      </c>
      <c r="S37">
        <v>20605342</v>
      </c>
      <c r="T37">
        <v>21888325</v>
      </c>
      <c r="U37">
        <v>23158559</v>
      </c>
      <c r="V37">
        <v>24904604</v>
      </c>
      <c r="W37">
        <v>26293926</v>
      </c>
      <c r="X37">
        <v>27351021</v>
      </c>
      <c r="Y37">
        <v>28952446</v>
      </c>
      <c r="Z37">
        <v>32596638</v>
      </c>
      <c r="AA37">
        <v>36290622</v>
      </c>
      <c r="AB37">
        <v>38578928</v>
      </c>
      <c r="AC37">
        <v>39455109</v>
      </c>
      <c r="AD37">
        <v>41580937</v>
      </c>
      <c r="AE37">
        <v>43205226</v>
      </c>
      <c r="AF37">
        <v>44880271</v>
      </c>
      <c r="AG37">
        <v>47705616</v>
      </c>
      <c r="AH37">
        <v>50260810</v>
      </c>
      <c r="AI37">
        <v>51388141</v>
      </c>
      <c r="AJ37">
        <v>54398549</v>
      </c>
      <c r="AK37">
        <v>58622355</v>
      </c>
      <c r="AL37">
        <v>63129375</v>
      </c>
      <c r="AM37">
        <v>67085228</v>
      </c>
      <c r="AN37">
        <v>74566348</v>
      </c>
      <c r="AO37">
        <v>80584343</v>
      </c>
      <c r="AP37">
        <v>83913034</v>
      </c>
      <c r="AQ37">
        <v>81956939</v>
      </c>
      <c r="AR37">
        <v>85825084</v>
      </c>
      <c r="AS37">
        <v>94222324</v>
      </c>
      <c r="AT37">
        <v>96047797</v>
      </c>
      <c r="AU37">
        <v>102626760</v>
      </c>
      <c r="AV37">
        <v>103325707</v>
      </c>
      <c r="AW37">
        <v>0</v>
      </c>
      <c r="AX37">
        <v>0</v>
      </c>
      <c r="AY37">
        <v>0</v>
      </c>
      <c r="AZ37">
        <v>0</v>
      </c>
      <c r="BA37">
        <v>0</v>
      </c>
      <c r="BB37">
        <v>0</v>
      </c>
    </row>
    <row r="38" spans="1:54">
      <c r="A38">
        <v>37</v>
      </c>
      <c r="B38" t="s">
        <v>0</v>
      </c>
      <c r="C38" t="s">
        <v>1</v>
      </c>
      <c r="D38" t="s">
        <v>11</v>
      </c>
      <c r="E38">
        <v>0</v>
      </c>
      <c r="F38">
        <v>0</v>
      </c>
      <c r="G38">
        <v>0</v>
      </c>
      <c r="H38">
        <v>0</v>
      </c>
      <c r="I38">
        <v>0</v>
      </c>
      <c r="J38">
        <v>0</v>
      </c>
      <c r="K38">
        <v>0</v>
      </c>
      <c r="L38">
        <v>0</v>
      </c>
      <c r="M38">
        <v>0</v>
      </c>
      <c r="N38">
        <v>9078807</v>
      </c>
      <c r="O38">
        <v>9904838</v>
      </c>
      <c r="P38">
        <v>10530741</v>
      </c>
      <c r="Q38">
        <v>11117117</v>
      </c>
      <c r="R38">
        <v>12402129</v>
      </c>
      <c r="S38">
        <v>14326555</v>
      </c>
      <c r="T38">
        <v>15494400</v>
      </c>
      <c r="U38">
        <v>16596116</v>
      </c>
      <c r="V38">
        <v>17673687</v>
      </c>
      <c r="W38">
        <v>18415462</v>
      </c>
      <c r="X38">
        <v>19634702</v>
      </c>
      <c r="Y38">
        <v>20225962</v>
      </c>
      <c r="Z38">
        <v>22466000</v>
      </c>
      <c r="AA38">
        <v>24182294</v>
      </c>
      <c r="AB38">
        <v>25047834</v>
      </c>
      <c r="AC38">
        <v>27210725</v>
      </c>
      <c r="AD38">
        <v>28333996</v>
      </c>
      <c r="AE38">
        <v>29293738</v>
      </c>
      <c r="AF38">
        <v>30906539</v>
      </c>
      <c r="AG38">
        <v>31727532</v>
      </c>
      <c r="AH38">
        <v>33927319</v>
      </c>
      <c r="AI38">
        <v>34197890</v>
      </c>
      <c r="AJ38">
        <v>36716191</v>
      </c>
      <c r="AK38">
        <v>37269481</v>
      </c>
      <c r="AL38">
        <v>41255979</v>
      </c>
      <c r="AM38">
        <v>56809940</v>
      </c>
      <c r="AN38">
        <v>61403130</v>
      </c>
      <c r="AO38">
        <v>63744902</v>
      </c>
      <c r="AP38">
        <v>65978268</v>
      </c>
      <c r="AQ38">
        <v>64356905</v>
      </c>
      <c r="AR38">
        <v>64614156</v>
      </c>
      <c r="AS38">
        <v>66317275</v>
      </c>
      <c r="AT38">
        <v>69701116</v>
      </c>
      <c r="AU38">
        <v>71371532</v>
      </c>
      <c r="AV38">
        <v>68015921</v>
      </c>
      <c r="AW38">
        <v>0</v>
      </c>
      <c r="AX38">
        <v>0</v>
      </c>
      <c r="AY38">
        <v>0</v>
      </c>
      <c r="AZ38">
        <v>0</v>
      </c>
      <c r="BA38">
        <v>0</v>
      </c>
      <c r="BB38">
        <v>0</v>
      </c>
    </row>
    <row r="39" spans="1:54">
      <c r="A39">
        <v>38</v>
      </c>
      <c r="B39" t="s">
        <v>0</v>
      </c>
      <c r="C39" t="s">
        <v>1</v>
      </c>
      <c r="D39" t="s">
        <v>3</v>
      </c>
      <c r="E39">
        <v>0</v>
      </c>
      <c r="F39">
        <v>0</v>
      </c>
      <c r="G39">
        <v>0</v>
      </c>
      <c r="H39">
        <v>0</v>
      </c>
      <c r="I39">
        <v>0</v>
      </c>
      <c r="J39">
        <v>0</v>
      </c>
      <c r="K39">
        <v>0</v>
      </c>
      <c r="L39">
        <v>0</v>
      </c>
      <c r="M39">
        <v>0</v>
      </c>
      <c r="N39">
        <v>42079764</v>
      </c>
      <c r="O39">
        <v>46426426</v>
      </c>
      <c r="P39">
        <v>50738164</v>
      </c>
      <c r="Q39">
        <v>55128927</v>
      </c>
      <c r="R39">
        <v>64871351</v>
      </c>
      <c r="S39">
        <v>70361403</v>
      </c>
      <c r="T39">
        <v>74364912</v>
      </c>
      <c r="U39">
        <v>83934727</v>
      </c>
      <c r="V39">
        <v>88349539</v>
      </c>
      <c r="W39">
        <v>97805749</v>
      </c>
      <c r="X39">
        <v>105639737</v>
      </c>
      <c r="Y39">
        <v>109340832</v>
      </c>
      <c r="Z39">
        <v>115564827</v>
      </c>
      <c r="AA39">
        <v>123235406</v>
      </c>
      <c r="AB39">
        <v>128809920</v>
      </c>
      <c r="AC39">
        <v>137930595</v>
      </c>
      <c r="AD39">
        <v>146842248</v>
      </c>
      <c r="AE39">
        <v>159069891</v>
      </c>
      <c r="AF39">
        <v>175630035</v>
      </c>
      <c r="AG39">
        <v>189308854</v>
      </c>
      <c r="AH39">
        <v>211660682</v>
      </c>
      <c r="AI39">
        <v>226333547</v>
      </c>
      <c r="AJ39">
        <v>202832254</v>
      </c>
      <c r="AK39">
        <v>199407020</v>
      </c>
      <c r="AL39">
        <v>215214769</v>
      </c>
      <c r="AM39">
        <v>242273042</v>
      </c>
      <c r="AN39">
        <v>268667132</v>
      </c>
      <c r="AO39">
        <v>290278113</v>
      </c>
      <c r="AP39">
        <v>304902076</v>
      </c>
      <c r="AQ39">
        <v>270941521</v>
      </c>
      <c r="AR39">
        <v>261510473</v>
      </c>
      <c r="AS39">
        <v>285293135</v>
      </c>
      <c r="AT39">
        <v>307255616</v>
      </c>
      <c r="AU39">
        <v>338709576</v>
      </c>
      <c r="AV39">
        <v>341135706</v>
      </c>
      <c r="AW39">
        <v>0</v>
      </c>
      <c r="AX39">
        <v>0</v>
      </c>
      <c r="AY39">
        <v>0</v>
      </c>
      <c r="AZ39">
        <v>0</v>
      </c>
      <c r="BA39">
        <v>0</v>
      </c>
      <c r="BB39">
        <v>0</v>
      </c>
    </row>
    <row r="40" spans="1:54">
      <c r="A40">
        <v>39</v>
      </c>
      <c r="B40" t="s">
        <v>0</v>
      </c>
      <c r="C40" t="s">
        <v>1</v>
      </c>
      <c r="D40" t="s">
        <v>4</v>
      </c>
      <c r="E40">
        <v>0</v>
      </c>
      <c r="F40">
        <v>0</v>
      </c>
      <c r="G40">
        <v>0</v>
      </c>
      <c r="H40">
        <v>0</v>
      </c>
      <c r="I40">
        <v>0</v>
      </c>
      <c r="J40">
        <v>0</v>
      </c>
      <c r="K40">
        <v>0</v>
      </c>
      <c r="L40">
        <v>0</v>
      </c>
      <c r="M40">
        <v>0</v>
      </c>
      <c r="N40">
        <v>13321331</v>
      </c>
      <c r="O40">
        <v>14143497</v>
      </c>
      <c r="P40">
        <v>15028326</v>
      </c>
      <c r="Q40">
        <v>14257647</v>
      </c>
      <c r="R40">
        <v>16798087</v>
      </c>
      <c r="S40">
        <v>19152186</v>
      </c>
      <c r="T40">
        <v>19994145</v>
      </c>
      <c r="U40">
        <v>22424627</v>
      </c>
      <c r="V40">
        <v>23663438</v>
      </c>
      <c r="W40">
        <v>25925885</v>
      </c>
      <c r="X40">
        <v>23566322</v>
      </c>
      <c r="Y40">
        <v>22242445</v>
      </c>
      <c r="Z40">
        <v>23870449</v>
      </c>
      <c r="AA40">
        <v>26417292</v>
      </c>
      <c r="AB40">
        <v>28319516</v>
      </c>
      <c r="AC40">
        <v>31405814</v>
      </c>
      <c r="AD40">
        <v>32009111</v>
      </c>
      <c r="AE40">
        <v>33820422</v>
      </c>
      <c r="AF40">
        <v>34411615</v>
      </c>
      <c r="AG40">
        <v>33922371</v>
      </c>
      <c r="AH40">
        <v>36058903</v>
      </c>
      <c r="AI40">
        <v>35296152</v>
      </c>
      <c r="AJ40">
        <v>28151862</v>
      </c>
      <c r="AK40">
        <v>31369064</v>
      </c>
      <c r="AL40">
        <v>33715793</v>
      </c>
      <c r="AM40">
        <v>43255712</v>
      </c>
      <c r="AN40">
        <v>53080748</v>
      </c>
      <c r="AO40">
        <v>60954942</v>
      </c>
      <c r="AP40">
        <v>57230891</v>
      </c>
      <c r="AQ40">
        <v>46279861</v>
      </c>
      <c r="AR40">
        <v>44107796</v>
      </c>
      <c r="AS40">
        <v>48421906</v>
      </c>
      <c r="AT40">
        <v>48933513</v>
      </c>
      <c r="AU40">
        <v>52908727</v>
      </c>
      <c r="AV40">
        <v>54559763</v>
      </c>
      <c r="AW40">
        <v>0</v>
      </c>
      <c r="AX40">
        <v>0</v>
      </c>
      <c r="AY40">
        <v>0</v>
      </c>
      <c r="AZ40">
        <v>0</v>
      </c>
      <c r="BA40">
        <v>0</v>
      </c>
      <c r="BB40">
        <v>0</v>
      </c>
    </row>
    <row r="41" spans="1:54">
      <c r="A41">
        <v>40</v>
      </c>
      <c r="B41" t="s">
        <v>0</v>
      </c>
      <c r="C41" t="s">
        <v>1</v>
      </c>
      <c r="D41" t="s">
        <v>8</v>
      </c>
      <c r="E41">
        <v>0</v>
      </c>
      <c r="F41">
        <v>0</v>
      </c>
      <c r="G41">
        <v>0</v>
      </c>
      <c r="H41">
        <v>0</v>
      </c>
      <c r="I41">
        <v>0</v>
      </c>
      <c r="J41">
        <v>0</v>
      </c>
      <c r="K41">
        <v>0</v>
      </c>
      <c r="L41">
        <v>0</v>
      </c>
      <c r="M41">
        <v>0</v>
      </c>
      <c r="N41">
        <v>2035269</v>
      </c>
      <c r="O41">
        <v>2228968</v>
      </c>
      <c r="P41">
        <v>2350092</v>
      </c>
      <c r="Q41">
        <v>2544640</v>
      </c>
      <c r="R41">
        <v>2226041</v>
      </c>
      <c r="S41">
        <v>2327515</v>
      </c>
      <c r="T41">
        <v>2535464</v>
      </c>
      <c r="U41">
        <v>3069132</v>
      </c>
      <c r="V41">
        <v>3274394</v>
      </c>
      <c r="W41">
        <v>3510286</v>
      </c>
      <c r="X41">
        <v>3855278</v>
      </c>
      <c r="Y41">
        <v>4310627</v>
      </c>
      <c r="Z41">
        <v>4485629</v>
      </c>
      <c r="AA41">
        <v>4697637</v>
      </c>
      <c r="AB41">
        <v>5054028</v>
      </c>
      <c r="AC41">
        <v>4921289</v>
      </c>
      <c r="AD41">
        <v>5352273</v>
      </c>
      <c r="AE41">
        <v>5940439</v>
      </c>
      <c r="AF41">
        <v>6971125</v>
      </c>
      <c r="AG41">
        <v>7519383</v>
      </c>
      <c r="AH41">
        <v>8034202</v>
      </c>
      <c r="AI41">
        <v>7550511</v>
      </c>
      <c r="AJ41">
        <v>7510323</v>
      </c>
      <c r="AK41">
        <v>6715248</v>
      </c>
      <c r="AL41">
        <v>5758175</v>
      </c>
      <c r="AM41">
        <v>5421759</v>
      </c>
      <c r="AN41">
        <v>4960948</v>
      </c>
      <c r="AO41">
        <v>5118279</v>
      </c>
      <c r="AP41">
        <v>5349697</v>
      </c>
      <c r="AQ41">
        <v>4919680</v>
      </c>
      <c r="AR41">
        <v>4153376</v>
      </c>
      <c r="AS41">
        <v>4810811</v>
      </c>
      <c r="AT41">
        <v>4871614</v>
      </c>
      <c r="AU41">
        <v>5184122</v>
      </c>
      <c r="AV41">
        <v>5010825</v>
      </c>
      <c r="AW41">
        <v>0</v>
      </c>
      <c r="AX41">
        <v>0</v>
      </c>
      <c r="AY41">
        <v>0</v>
      </c>
      <c r="AZ41">
        <v>0</v>
      </c>
      <c r="BA41">
        <v>0</v>
      </c>
      <c r="BB41">
        <v>0</v>
      </c>
    </row>
    <row r="42" spans="1:54">
      <c r="A42">
        <v>41</v>
      </c>
      <c r="B42" t="s">
        <v>0</v>
      </c>
      <c r="C42" t="s">
        <v>1</v>
      </c>
      <c r="D42" t="s">
        <v>9</v>
      </c>
      <c r="E42">
        <v>0</v>
      </c>
      <c r="F42">
        <v>0</v>
      </c>
      <c r="G42">
        <v>0</v>
      </c>
      <c r="H42">
        <v>0</v>
      </c>
      <c r="I42">
        <v>0</v>
      </c>
      <c r="J42">
        <v>0</v>
      </c>
      <c r="K42">
        <v>0</v>
      </c>
      <c r="L42">
        <v>0</v>
      </c>
      <c r="M42">
        <v>0</v>
      </c>
      <c r="N42">
        <v>4167399</v>
      </c>
      <c r="O42">
        <v>6379191</v>
      </c>
      <c r="P42">
        <v>7829520</v>
      </c>
      <c r="Q42">
        <v>7405553</v>
      </c>
      <c r="R42">
        <v>7266418</v>
      </c>
      <c r="S42">
        <v>7211178</v>
      </c>
      <c r="T42">
        <v>6125394</v>
      </c>
      <c r="U42">
        <v>4050098</v>
      </c>
      <c r="V42">
        <v>4330890</v>
      </c>
      <c r="W42">
        <v>4144152</v>
      </c>
      <c r="X42">
        <v>4682531</v>
      </c>
      <c r="Y42">
        <v>5366911</v>
      </c>
      <c r="Z42">
        <v>4647479</v>
      </c>
      <c r="AA42">
        <v>4907971</v>
      </c>
      <c r="AB42">
        <v>4298003</v>
      </c>
      <c r="AC42">
        <v>4467629</v>
      </c>
      <c r="AD42">
        <v>4115529</v>
      </c>
      <c r="AE42">
        <v>4867898</v>
      </c>
      <c r="AF42">
        <v>4165773</v>
      </c>
      <c r="AG42">
        <v>3135150</v>
      </c>
      <c r="AH42">
        <v>4368012</v>
      </c>
      <c r="AI42">
        <v>6408733</v>
      </c>
      <c r="AJ42">
        <v>4233989</v>
      </c>
      <c r="AK42">
        <v>5321561</v>
      </c>
      <c r="AL42">
        <v>6362179</v>
      </c>
      <c r="AM42">
        <v>8176588</v>
      </c>
      <c r="AN42">
        <v>10567667</v>
      </c>
      <c r="AO42">
        <v>11141705</v>
      </c>
      <c r="AP42">
        <v>17887975</v>
      </c>
      <c r="AQ42">
        <v>13490468</v>
      </c>
      <c r="AR42">
        <v>11479671</v>
      </c>
      <c r="AS42">
        <v>14714276</v>
      </c>
      <c r="AT42">
        <v>17376037</v>
      </c>
      <c r="AU42">
        <v>16569866</v>
      </c>
      <c r="AV42">
        <v>17869250</v>
      </c>
      <c r="AW42">
        <v>0</v>
      </c>
      <c r="AX42">
        <v>0</v>
      </c>
      <c r="AY42">
        <v>0</v>
      </c>
      <c r="AZ42">
        <v>0</v>
      </c>
      <c r="BA42">
        <v>0</v>
      </c>
      <c r="BB42">
        <v>0</v>
      </c>
    </row>
    <row r="43" spans="1:54">
      <c r="A43">
        <v>42</v>
      </c>
      <c r="B43" t="s">
        <v>0</v>
      </c>
      <c r="C43" t="s">
        <v>1</v>
      </c>
      <c r="D43" t="s">
        <v>12</v>
      </c>
      <c r="E43">
        <v>0</v>
      </c>
      <c r="F43">
        <v>0</v>
      </c>
      <c r="G43">
        <v>0</v>
      </c>
      <c r="H43">
        <v>0</v>
      </c>
      <c r="I43">
        <v>0</v>
      </c>
      <c r="J43">
        <v>0</v>
      </c>
      <c r="K43">
        <v>0</v>
      </c>
      <c r="L43">
        <v>0</v>
      </c>
      <c r="M43">
        <v>0</v>
      </c>
      <c r="N43">
        <v>5642519</v>
      </c>
      <c r="O43">
        <v>5843830</v>
      </c>
      <c r="P43">
        <v>5831561</v>
      </c>
      <c r="Q43">
        <v>6255641</v>
      </c>
      <c r="R43">
        <v>7981102</v>
      </c>
      <c r="S43">
        <v>8965917</v>
      </c>
      <c r="T43">
        <v>10013988</v>
      </c>
      <c r="U43">
        <v>11845824</v>
      </c>
      <c r="V43">
        <v>12342251</v>
      </c>
      <c r="W43">
        <v>12628300</v>
      </c>
      <c r="X43">
        <v>13168515</v>
      </c>
      <c r="Y43">
        <v>12618891</v>
      </c>
      <c r="Z43">
        <v>13246762</v>
      </c>
      <c r="AA43">
        <v>14130988</v>
      </c>
      <c r="AB43">
        <v>16219822</v>
      </c>
      <c r="AC43">
        <v>17026953</v>
      </c>
      <c r="AD43">
        <v>17073747</v>
      </c>
      <c r="AE43">
        <v>18545161</v>
      </c>
      <c r="AF43">
        <v>20622196</v>
      </c>
      <c r="AG43">
        <v>22691303</v>
      </c>
      <c r="AH43">
        <v>23650054</v>
      </c>
      <c r="AI43">
        <v>24358887</v>
      </c>
      <c r="AJ43">
        <v>27121638</v>
      </c>
      <c r="AK43">
        <v>30227868</v>
      </c>
      <c r="AL43">
        <v>35581371</v>
      </c>
      <c r="AM43">
        <v>28865327</v>
      </c>
      <c r="AN43">
        <v>31536985</v>
      </c>
      <c r="AO43">
        <v>30157804</v>
      </c>
      <c r="AP43">
        <v>26235078</v>
      </c>
      <c r="AQ43">
        <v>20059437</v>
      </c>
      <c r="AR43">
        <v>20464224</v>
      </c>
      <c r="AS43">
        <v>21711733</v>
      </c>
      <c r="AT43">
        <v>23494522</v>
      </c>
      <c r="AU43">
        <v>25732848</v>
      </c>
      <c r="AV43">
        <v>28246512</v>
      </c>
      <c r="AW43">
        <v>0</v>
      </c>
      <c r="AX43">
        <v>0</v>
      </c>
      <c r="AY43">
        <v>0</v>
      </c>
      <c r="AZ43">
        <v>0</v>
      </c>
      <c r="BA43">
        <v>0</v>
      </c>
      <c r="BB43">
        <v>0</v>
      </c>
    </row>
    <row r="44" spans="1:54">
      <c r="A44">
        <v>43</v>
      </c>
      <c r="B44" t="s">
        <v>18</v>
      </c>
      <c r="C44" t="s">
        <v>41</v>
      </c>
      <c r="D44" t="s">
        <v>43</v>
      </c>
      <c r="E44">
        <v>0</v>
      </c>
      <c r="F44">
        <v>0</v>
      </c>
      <c r="G44">
        <v>0</v>
      </c>
      <c r="H44">
        <v>0</v>
      </c>
      <c r="I44">
        <v>0</v>
      </c>
      <c r="J44">
        <v>0</v>
      </c>
      <c r="K44">
        <v>0</v>
      </c>
      <c r="L44">
        <v>0</v>
      </c>
      <c r="M44">
        <v>0</v>
      </c>
      <c r="N44">
        <v>15326394</v>
      </c>
      <c r="O44">
        <v>17184256</v>
      </c>
      <c r="P44">
        <v>18736302</v>
      </c>
      <c r="Q44">
        <v>27212145</v>
      </c>
      <c r="R44">
        <v>35678979</v>
      </c>
      <c r="S44">
        <v>37940402</v>
      </c>
      <c r="T44">
        <v>45532071</v>
      </c>
      <c r="U44">
        <v>55140221</v>
      </c>
      <c r="V44">
        <v>49813940</v>
      </c>
      <c r="W44">
        <v>49017478</v>
      </c>
      <c r="X44">
        <v>49929473</v>
      </c>
      <c r="Y44">
        <v>55180758</v>
      </c>
      <c r="Z44">
        <v>9421934</v>
      </c>
      <c r="AA44">
        <v>13995973</v>
      </c>
      <c r="AB44">
        <v>15807744</v>
      </c>
      <c r="AC44">
        <v>12965729</v>
      </c>
      <c r="AD44">
        <v>11151274</v>
      </c>
      <c r="AE44">
        <v>10484862</v>
      </c>
      <c r="AF44">
        <v>9180634</v>
      </c>
      <c r="AG44">
        <v>11569479</v>
      </c>
      <c r="AH44">
        <v>10009257</v>
      </c>
      <c r="AI44">
        <v>4451768</v>
      </c>
      <c r="AJ44">
        <v>19772225</v>
      </c>
      <c r="AK44">
        <v>30623482</v>
      </c>
      <c r="AL44">
        <v>40084404</v>
      </c>
      <c r="AM44">
        <v>32404604</v>
      </c>
      <c r="AN44">
        <v>25599222</v>
      </c>
      <c r="AO44">
        <v>14223530</v>
      </c>
      <c r="AP44">
        <v>19549556</v>
      </c>
      <c r="AQ44">
        <v>45592389</v>
      </c>
      <c r="AR44">
        <v>60111083</v>
      </c>
      <c r="AS44">
        <v>67193033</v>
      </c>
      <c r="AT44">
        <v>74230044</v>
      </c>
      <c r="AU44">
        <v>74634832</v>
      </c>
      <c r="AV44">
        <v>73337141</v>
      </c>
      <c r="AW44">
        <v>0</v>
      </c>
      <c r="AX44">
        <v>0</v>
      </c>
      <c r="AY44">
        <v>0</v>
      </c>
      <c r="AZ44">
        <v>0</v>
      </c>
      <c r="BA44">
        <v>0</v>
      </c>
      <c r="BB44">
        <v>0</v>
      </c>
    </row>
    <row r="45" spans="1:54">
      <c r="A45">
        <v>44</v>
      </c>
      <c r="B45" t="s">
        <v>0</v>
      </c>
      <c r="C45" t="s">
        <v>2</v>
      </c>
      <c r="D45" t="s">
        <v>13</v>
      </c>
      <c r="E45">
        <v>0</v>
      </c>
      <c r="F45">
        <v>0</v>
      </c>
      <c r="G45">
        <v>0</v>
      </c>
      <c r="H45">
        <v>0</v>
      </c>
      <c r="I45">
        <v>0</v>
      </c>
      <c r="J45">
        <v>0</v>
      </c>
      <c r="K45">
        <v>0</v>
      </c>
      <c r="L45">
        <v>0</v>
      </c>
      <c r="M45">
        <v>0</v>
      </c>
      <c r="N45">
        <v>4164639</v>
      </c>
      <c r="O45">
        <v>6161455</v>
      </c>
      <c r="P45">
        <v>8031106</v>
      </c>
      <c r="Q45">
        <v>10057631</v>
      </c>
      <c r="R45">
        <v>12918217</v>
      </c>
      <c r="S45">
        <v>15040053</v>
      </c>
      <c r="T45">
        <v>16540403</v>
      </c>
      <c r="U45">
        <v>17927586</v>
      </c>
      <c r="V45">
        <v>5563505</v>
      </c>
      <c r="W45">
        <v>4801018</v>
      </c>
      <c r="X45">
        <v>5484490</v>
      </c>
      <c r="Y45">
        <v>5575617</v>
      </c>
      <c r="Z45">
        <v>4948152</v>
      </c>
      <c r="AA45">
        <v>5418897</v>
      </c>
      <c r="AB45">
        <v>5129292</v>
      </c>
      <c r="AC45">
        <v>5733469</v>
      </c>
      <c r="AD45">
        <v>5607514</v>
      </c>
      <c r="AE45">
        <v>7593251</v>
      </c>
      <c r="AF45">
        <v>8042909</v>
      </c>
      <c r="AG45">
        <v>7236440</v>
      </c>
      <c r="AH45">
        <v>8817982</v>
      </c>
      <c r="AI45">
        <v>10778913</v>
      </c>
      <c r="AJ45">
        <v>9167566</v>
      </c>
      <c r="AK45">
        <v>9688791</v>
      </c>
      <c r="AL45">
        <v>11082321</v>
      </c>
      <c r="AM45">
        <v>13769120</v>
      </c>
      <c r="AN45">
        <v>13963858</v>
      </c>
      <c r="AO45">
        <v>17576530</v>
      </c>
      <c r="AP45">
        <v>19513412</v>
      </c>
      <c r="AQ45">
        <v>17814688</v>
      </c>
      <c r="AR45">
        <v>16823058</v>
      </c>
      <c r="AS45">
        <v>17740432</v>
      </c>
      <c r="AT45">
        <v>18763913</v>
      </c>
      <c r="AU45">
        <v>19135512</v>
      </c>
      <c r="AV45">
        <v>19735919</v>
      </c>
      <c r="AW45">
        <v>0</v>
      </c>
      <c r="AX45">
        <v>0</v>
      </c>
      <c r="AY45">
        <v>0</v>
      </c>
      <c r="AZ45">
        <v>0</v>
      </c>
      <c r="BA45">
        <v>0</v>
      </c>
      <c r="BB45">
        <v>0</v>
      </c>
    </row>
    <row r="46" spans="1:54">
      <c r="A46">
        <v>45</v>
      </c>
      <c r="B46" t="s">
        <v>0</v>
      </c>
      <c r="C46" t="s">
        <v>2</v>
      </c>
      <c r="D46" t="s">
        <v>194</v>
      </c>
      <c r="E46">
        <v>0</v>
      </c>
      <c r="F46">
        <v>0</v>
      </c>
      <c r="G46">
        <v>0</v>
      </c>
      <c r="H46">
        <v>0</v>
      </c>
      <c r="I46">
        <v>0</v>
      </c>
      <c r="J46">
        <v>0</v>
      </c>
      <c r="K46">
        <v>0</v>
      </c>
      <c r="L46">
        <v>0</v>
      </c>
      <c r="M46">
        <v>0</v>
      </c>
      <c r="N46">
        <v>8341390</v>
      </c>
      <c r="O46">
        <v>9633000</v>
      </c>
      <c r="P46">
        <v>10457653</v>
      </c>
      <c r="Q46">
        <v>10247525</v>
      </c>
      <c r="R46">
        <v>12023811</v>
      </c>
      <c r="S46">
        <v>13669050</v>
      </c>
      <c r="T46">
        <v>15883433</v>
      </c>
      <c r="U46">
        <v>17811925</v>
      </c>
      <c r="V46">
        <v>17952801</v>
      </c>
      <c r="W46">
        <v>19768596</v>
      </c>
      <c r="X46">
        <v>21711247</v>
      </c>
      <c r="Y46">
        <v>23585687</v>
      </c>
      <c r="Z46">
        <v>30982334</v>
      </c>
      <c r="AA46">
        <v>31763213</v>
      </c>
      <c r="AB46">
        <v>31683191</v>
      </c>
      <c r="AC46">
        <v>34829550</v>
      </c>
      <c r="AD46">
        <v>38289284</v>
      </c>
      <c r="AE46">
        <v>40854610</v>
      </c>
      <c r="AF46">
        <v>46097777</v>
      </c>
      <c r="AG46">
        <v>48346003</v>
      </c>
      <c r="AH46">
        <v>58329216</v>
      </c>
      <c r="AI46">
        <v>63232225</v>
      </c>
      <c r="AJ46">
        <v>71363075</v>
      </c>
      <c r="AK46">
        <v>77250722</v>
      </c>
      <c r="AL46">
        <v>80177239</v>
      </c>
      <c r="AM46">
        <v>85921028</v>
      </c>
      <c r="AN46">
        <v>93010454</v>
      </c>
      <c r="AO46">
        <v>98257486</v>
      </c>
      <c r="AP46">
        <v>100276363</v>
      </c>
      <c r="AQ46">
        <v>101027894</v>
      </c>
      <c r="AR46">
        <v>97570930</v>
      </c>
      <c r="AS46">
        <v>100368537</v>
      </c>
      <c r="AT46">
        <v>104532561</v>
      </c>
      <c r="AU46">
        <v>109553183</v>
      </c>
      <c r="AV46">
        <v>112399651</v>
      </c>
      <c r="AW46">
        <v>0</v>
      </c>
      <c r="AX46">
        <v>0</v>
      </c>
      <c r="AY46">
        <v>0</v>
      </c>
      <c r="AZ46">
        <v>0</v>
      </c>
      <c r="BA46">
        <v>0</v>
      </c>
      <c r="BB46">
        <v>0</v>
      </c>
    </row>
    <row r="47" spans="1:54">
      <c r="A47">
        <v>46</v>
      </c>
      <c r="B47" t="s">
        <v>18</v>
      </c>
      <c r="C47" t="s">
        <v>41</v>
      </c>
      <c r="D47" t="s">
        <v>15</v>
      </c>
      <c r="E47">
        <v>0</v>
      </c>
      <c r="F47">
        <v>0</v>
      </c>
      <c r="G47">
        <v>0</v>
      </c>
      <c r="H47">
        <v>0</v>
      </c>
      <c r="I47">
        <v>0</v>
      </c>
      <c r="J47">
        <v>0</v>
      </c>
      <c r="K47">
        <v>0</v>
      </c>
      <c r="L47">
        <v>0</v>
      </c>
      <c r="M47">
        <v>0</v>
      </c>
      <c r="N47">
        <v>-10335303</v>
      </c>
      <c r="O47">
        <v>-10894517</v>
      </c>
      <c r="P47">
        <v>-11887489</v>
      </c>
      <c r="Q47">
        <v>-12528720</v>
      </c>
      <c r="R47">
        <v>-12913795</v>
      </c>
      <c r="S47">
        <v>-14047155</v>
      </c>
      <c r="T47">
        <v>-15758488</v>
      </c>
      <c r="U47">
        <v>-17725324</v>
      </c>
      <c r="V47">
        <v>-19420311</v>
      </c>
      <c r="W47">
        <v>-21251402</v>
      </c>
      <c r="X47">
        <v>-22848992</v>
      </c>
      <c r="Y47">
        <v>-26481732</v>
      </c>
      <c r="Z47">
        <v>-27760841</v>
      </c>
      <c r="AA47">
        <v>-29326048</v>
      </c>
      <c r="AB47">
        <v>-30964392</v>
      </c>
      <c r="AC47">
        <v>-31723411</v>
      </c>
      <c r="AD47">
        <v>-32123809</v>
      </c>
      <c r="AE47">
        <v>-31795676</v>
      </c>
      <c r="AF47">
        <v>-31493901</v>
      </c>
      <c r="AG47">
        <v>-33299480</v>
      </c>
      <c r="AH47">
        <v>-33887563</v>
      </c>
      <c r="AI47">
        <v>-38771656</v>
      </c>
      <c r="AJ47">
        <v>-41734573</v>
      </c>
      <c r="AK47">
        <v>-45536446</v>
      </c>
      <c r="AL47">
        <v>-54665833</v>
      </c>
      <c r="AM47">
        <v>-57439174</v>
      </c>
      <c r="AN47">
        <v>-57688305</v>
      </c>
      <c r="AO47">
        <v>-58153090</v>
      </c>
      <c r="AP47">
        <v>-56337574</v>
      </c>
      <c r="AQ47">
        <v>-59356093</v>
      </c>
      <c r="AR47">
        <v>-57799064</v>
      </c>
      <c r="AS47">
        <v>-58372058</v>
      </c>
      <c r="AT47">
        <v>-61699123</v>
      </c>
      <c r="AU47">
        <v>-62272034</v>
      </c>
      <c r="AV47">
        <v>-64260027</v>
      </c>
      <c r="AW47">
        <v>0</v>
      </c>
      <c r="AX47">
        <v>0</v>
      </c>
      <c r="AY47">
        <v>0</v>
      </c>
      <c r="AZ47">
        <v>0</v>
      </c>
      <c r="BA47">
        <v>0</v>
      </c>
      <c r="BB47">
        <v>0</v>
      </c>
    </row>
    <row r="48" spans="1:54">
      <c r="A48">
        <v>47</v>
      </c>
      <c r="B48" t="s">
        <v>0</v>
      </c>
      <c r="C48" t="s">
        <v>2</v>
      </c>
      <c r="D48" t="s">
        <v>16</v>
      </c>
      <c r="E48">
        <v>0</v>
      </c>
      <c r="F48">
        <v>0</v>
      </c>
      <c r="G48">
        <v>0</v>
      </c>
      <c r="H48">
        <v>0</v>
      </c>
      <c r="I48">
        <v>0</v>
      </c>
      <c r="J48">
        <v>0</v>
      </c>
      <c r="K48">
        <v>0</v>
      </c>
      <c r="L48">
        <v>0</v>
      </c>
      <c r="M48">
        <v>0</v>
      </c>
      <c r="N48">
        <v>14031154</v>
      </c>
      <c r="O48">
        <v>17240949</v>
      </c>
      <c r="P48">
        <v>20233222</v>
      </c>
      <c r="Q48">
        <v>27416969</v>
      </c>
      <c r="R48">
        <v>30610640</v>
      </c>
      <c r="S48">
        <v>36285574</v>
      </c>
      <c r="T48">
        <v>50888782</v>
      </c>
      <c r="U48">
        <v>59605976</v>
      </c>
      <c r="V48">
        <v>57234466</v>
      </c>
      <c r="W48">
        <v>58979925</v>
      </c>
      <c r="X48">
        <v>70279883</v>
      </c>
      <c r="Y48">
        <v>61496254</v>
      </c>
      <c r="Z48">
        <v>80548468</v>
      </c>
      <c r="AA48">
        <v>86823768</v>
      </c>
      <c r="AB48">
        <v>86148733</v>
      </c>
      <c r="AC48">
        <v>91445381</v>
      </c>
      <c r="AD48">
        <v>133003671</v>
      </c>
      <c r="AE48">
        <v>163630677</v>
      </c>
      <c r="AF48">
        <v>202869262</v>
      </c>
      <c r="AG48">
        <v>202892663</v>
      </c>
      <c r="AH48">
        <v>237185135</v>
      </c>
      <c r="AI48">
        <v>65366063</v>
      </c>
      <c r="AJ48">
        <v>-70639641</v>
      </c>
      <c r="AK48">
        <v>76243075</v>
      </c>
      <c r="AL48">
        <v>319821409</v>
      </c>
      <c r="AM48">
        <v>268012830</v>
      </c>
      <c r="AN48">
        <v>295140122</v>
      </c>
      <c r="AO48">
        <v>477666015</v>
      </c>
      <c r="AP48">
        <v>-65516951</v>
      </c>
      <c r="AQ48">
        <v>-617535968</v>
      </c>
      <c r="AR48">
        <v>351703928</v>
      </c>
      <c r="AS48">
        <v>485354988</v>
      </c>
      <c r="AT48">
        <v>97715350</v>
      </c>
      <c r="AU48">
        <v>388306592</v>
      </c>
      <c r="AV48">
        <v>538987532</v>
      </c>
      <c r="AW48">
        <v>0</v>
      </c>
      <c r="AX48">
        <v>0</v>
      </c>
      <c r="AY48">
        <v>0</v>
      </c>
      <c r="AZ48">
        <v>0</v>
      </c>
      <c r="BA48">
        <v>0</v>
      </c>
      <c r="BB48">
        <v>0</v>
      </c>
    </row>
    <row r="49" spans="1:54">
      <c r="A49">
        <v>48</v>
      </c>
      <c r="B49" t="s">
        <v>18</v>
      </c>
      <c r="C49" t="s">
        <v>41</v>
      </c>
      <c r="D49" t="s">
        <v>42</v>
      </c>
      <c r="E49">
        <v>0</v>
      </c>
      <c r="F49">
        <v>0</v>
      </c>
      <c r="G49">
        <v>0</v>
      </c>
      <c r="H49">
        <v>0</v>
      </c>
      <c r="I49">
        <v>0</v>
      </c>
      <c r="J49">
        <v>0</v>
      </c>
      <c r="K49">
        <v>0</v>
      </c>
      <c r="L49">
        <v>0</v>
      </c>
      <c r="M49">
        <v>0</v>
      </c>
      <c r="N49">
        <v>16725998</v>
      </c>
      <c r="O49">
        <v>18650130</v>
      </c>
      <c r="P49">
        <v>21316508</v>
      </c>
      <c r="Q49">
        <v>23162124</v>
      </c>
      <c r="R49">
        <v>26093110</v>
      </c>
      <c r="S49">
        <v>29195532</v>
      </c>
      <c r="T49">
        <v>31651311</v>
      </c>
      <c r="U49">
        <v>35555474</v>
      </c>
      <c r="V49">
        <v>38786642</v>
      </c>
      <c r="W49">
        <v>42131706</v>
      </c>
      <c r="X49">
        <v>46821905</v>
      </c>
      <c r="Y49">
        <v>52023117</v>
      </c>
      <c r="Z49">
        <v>57327293</v>
      </c>
      <c r="AA49">
        <v>63397702</v>
      </c>
      <c r="AB49">
        <v>66838500</v>
      </c>
      <c r="AC49">
        <v>72135714</v>
      </c>
      <c r="AD49">
        <v>79241399</v>
      </c>
      <c r="AE49">
        <v>83204583</v>
      </c>
      <c r="AF49">
        <v>90621254</v>
      </c>
      <c r="AG49">
        <v>95949025</v>
      </c>
      <c r="AH49">
        <v>106581171</v>
      </c>
      <c r="AI49">
        <v>116556397</v>
      </c>
      <c r="AJ49">
        <v>128596440</v>
      </c>
      <c r="AK49">
        <v>141716972</v>
      </c>
      <c r="AL49">
        <v>154564283</v>
      </c>
      <c r="AM49">
        <v>165886533</v>
      </c>
      <c r="AN49">
        <v>175982997</v>
      </c>
      <c r="AO49">
        <v>184916909</v>
      </c>
      <c r="AP49">
        <v>199632225</v>
      </c>
      <c r="AQ49">
        <v>210904021</v>
      </c>
      <c r="AR49">
        <v>223659874</v>
      </c>
      <c r="AS49">
        <v>239017752</v>
      </c>
      <c r="AT49">
        <v>249507210</v>
      </c>
      <c r="AU49">
        <v>263675303</v>
      </c>
      <c r="AV49">
        <v>276557940</v>
      </c>
      <c r="AW49">
        <v>0</v>
      </c>
      <c r="AX49">
        <v>0</v>
      </c>
      <c r="AY49">
        <v>0</v>
      </c>
      <c r="AZ49">
        <v>0</v>
      </c>
      <c r="BA49">
        <v>0</v>
      </c>
      <c r="BB49">
        <v>0</v>
      </c>
    </row>
    <row r="50" spans="1:54">
      <c r="A50">
        <v>49</v>
      </c>
      <c r="B50" t="s">
        <v>18</v>
      </c>
      <c r="C50" t="s">
        <v>173</v>
      </c>
      <c r="D50" t="s">
        <v>37</v>
      </c>
      <c r="E50" t="s">
        <v>65</v>
      </c>
      <c r="F50" t="s">
        <v>127</v>
      </c>
      <c r="G50">
        <v>0</v>
      </c>
      <c r="H50" t="s">
        <v>177</v>
      </c>
      <c r="I50">
        <v>0</v>
      </c>
      <c r="J50">
        <v>0</v>
      </c>
      <c r="K50">
        <v>0</v>
      </c>
      <c r="L50">
        <v>0</v>
      </c>
      <c r="M50">
        <v>0</v>
      </c>
      <c r="N50">
        <v>-1029796</v>
      </c>
      <c r="O50">
        <v>-1216762</v>
      </c>
      <c r="P50">
        <v>-1630330</v>
      </c>
      <c r="Q50">
        <v>-2027139</v>
      </c>
      <c r="R50">
        <v>-2684522</v>
      </c>
      <c r="S50">
        <v>-3523411</v>
      </c>
      <c r="T50">
        <v>-4690624</v>
      </c>
      <c r="U50">
        <v>-4842790</v>
      </c>
      <c r="V50">
        <v>-5654352</v>
      </c>
      <c r="W50">
        <v>-7059265</v>
      </c>
      <c r="X50">
        <v>-7485308</v>
      </c>
      <c r="Y50">
        <v>-7664880</v>
      </c>
      <c r="Z50">
        <v>-7844161</v>
      </c>
      <c r="AA50">
        <v>-8826523</v>
      </c>
      <c r="AB50">
        <v>-9794293</v>
      </c>
      <c r="AC50">
        <v>-10809971</v>
      </c>
      <c r="AD50">
        <v>-11811550</v>
      </c>
      <c r="AE50">
        <v>-12100219</v>
      </c>
      <c r="AF50">
        <v>-12095577</v>
      </c>
      <c r="AG50">
        <v>-12324788</v>
      </c>
      <c r="AH50">
        <v>-12156586</v>
      </c>
      <c r="AI50">
        <v>-12022163</v>
      </c>
      <c r="AJ50">
        <v>-13263260</v>
      </c>
      <c r="AK50">
        <v>-13853904</v>
      </c>
      <c r="AL50">
        <v>-15099262</v>
      </c>
      <c r="AM50">
        <v>-15675487</v>
      </c>
      <c r="AN50">
        <v>-16995089</v>
      </c>
      <c r="AO50">
        <v>-17749751</v>
      </c>
      <c r="AP50">
        <v>-18252970</v>
      </c>
      <c r="AQ50">
        <v>-17741160</v>
      </c>
      <c r="AR50">
        <v>-17815384</v>
      </c>
      <c r="AS50">
        <v>-18227379</v>
      </c>
      <c r="AT50">
        <v>-19736863</v>
      </c>
      <c r="AU50">
        <v>-20418338</v>
      </c>
      <c r="AV50">
        <v>-20987366</v>
      </c>
      <c r="AW50">
        <v>0</v>
      </c>
      <c r="AX50">
        <v>0</v>
      </c>
      <c r="AY50">
        <v>0</v>
      </c>
      <c r="AZ50">
        <v>0</v>
      </c>
      <c r="BA50">
        <v>0</v>
      </c>
      <c r="BB50">
        <v>0</v>
      </c>
    </row>
    <row r="51" spans="1:54">
      <c r="A51">
        <v>50</v>
      </c>
      <c r="B51" t="s">
        <v>0</v>
      </c>
      <c r="C51" t="s">
        <v>2</v>
      </c>
      <c r="D51" t="s">
        <v>195</v>
      </c>
      <c r="E51">
        <v>0</v>
      </c>
      <c r="F51">
        <v>0</v>
      </c>
      <c r="G51">
        <v>0</v>
      </c>
      <c r="H51">
        <v>0</v>
      </c>
      <c r="I51">
        <v>0</v>
      </c>
      <c r="J51">
        <v>0</v>
      </c>
      <c r="K51">
        <v>0</v>
      </c>
      <c r="L51">
        <v>0</v>
      </c>
      <c r="M51">
        <v>0</v>
      </c>
      <c r="N51">
        <v>81292629</v>
      </c>
      <c r="O51">
        <v>88437337</v>
      </c>
      <c r="P51">
        <v>85502834</v>
      </c>
      <c r="Q51">
        <v>88258003</v>
      </c>
      <c r="R51">
        <v>95231190</v>
      </c>
      <c r="S51">
        <v>104202200</v>
      </c>
      <c r="T51">
        <v>111015126</v>
      </c>
      <c r="U51">
        <v>112427046</v>
      </c>
      <c r="V51">
        <v>114969460</v>
      </c>
      <c r="W51">
        <v>122907299</v>
      </c>
      <c r="X51">
        <v>133570055</v>
      </c>
      <c r="Y51">
        <v>150661095</v>
      </c>
      <c r="Z51">
        <v>175472125</v>
      </c>
      <c r="AA51">
        <v>195035800</v>
      </c>
      <c r="AB51">
        <v>211844762</v>
      </c>
      <c r="AC51">
        <v>225096515</v>
      </c>
      <c r="AD51">
        <v>230970501</v>
      </c>
      <c r="AE51">
        <v>240743728</v>
      </c>
      <c r="AF51">
        <v>251502204</v>
      </c>
      <c r="AG51">
        <v>266792002</v>
      </c>
      <c r="AH51">
        <v>287920677</v>
      </c>
      <c r="AI51">
        <v>319727453</v>
      </c>
      <c r="AJ51">
        <v>356158735</v>
      </c>
      <c r="AK51">
        <v>383978208</v>
      </c>
      <c r="AL51">
        <v>418484351</v>
      </c>
      <c r="AM51">
        <v>433937947</v>
      </c>
      <c r="AN51">
        <v>446074798</v>
      </c>
      <c r="AO51">
        <v>453189367</v>
      </c>
      <c r="AP51">
        <v>465765779</v>
      </c>
      <c r="AQ51">
        <v>525689590</v>
      </c>
      <c r="AR51">
        <v>614424632</v>
      </c>
      <c r="AS51">
        <v>637390141</v>
      </c>
      <c r="AT51">
        <v>580970673</v>
      </c>
      <c r="AU51">
        <v>579577772</v>
      </c>
      <c r="AV51">
        <v>598840824</v>
      </c>
      <c r="AW51">
        <v>0</v>
      </c>
      <c r="AX51">
        <v>0</v>
      </c>
      <c r="AY51">
        <v>0</v>
      </c>
      <c r="AZ51">
        <v>0</v>
      </c>
      <c r="BA51">
        <v>0</v>
      </c>
      <c r="BB51">
        <v>0</v>
      </c>
    </row>
    <row r="52" spans="1:54">
      <c r="A52">
        <v>51</v>
      </c>
      <c r="B52" t="s">
        <v>18</v>
      </c>
      <c r="C52" t="s">
        <v>173</v>
      </c>
      <c r="D52" t="s">
        <v>39</v>
      </c>
      <c r="E52" t="s">
        <v>174</v>
      </c>
      <c r="F52" t="s">
        <v>196</v>
      </c>
      <c r="G52">
        <v>0</v>
      </c>
      <c r="H52">
        <v>0</v>
      </c>
      <c r="I52" t="s">
        <v>182</v>
      </c>
      <c r="J52">
        <v>0</v>
      </c>
      <c r="K52">
        <v>0</v>
      </c>
      <c r="L52">
        <v>0</v>
      </c>
      <c r="M52">
        <v>0</v>
      </c>
      <c r="N52">
        <v>20630918</v>
      </c>
      <c r="O52">
        <v>23940260</v>
      </c>
      <c r="P52">
        <v>26092255</v>
      </c>
      <c r="Q52">
        <v>27631556</v>
      </c>
      <c r="R52">
        <v>30815647</v>
      </c>
      <c r="S52">
        <v>33240350</v>
      </c>
      <c r="T52">
        <v>35511240</v>
      </c>
      <c r="U52">
        <v>39379119</v>
      </c>
      <c r="V52">
        <v>43764981</v>
      </c>
      <c r="W52">
        <v>49061316</v>
      </c>
      <c r="X52">
        <v>57375142</v>
      </c>
      <c r="Y52">
        <v>71429490</v>
      </c>
      <c r="Z52">
        <v>109991676</v>
      </c>
      <c r="AA52">
        <v>119558699</v>
      </c>
      <c r="AB52">
        <v>130802913</v>
      </c>
      <c r="AC52">
        <v>140429746</v>
      </c>
      <c r="AD52">
        <v>141770725</v>
      </c>
      <c r="AE52">
        <v>148127427</v>
      </c>
      <c r="AF52">
        <v>150176972</v>
      </c>
      <c r="AG52">
        <v>158041669</v>
      </c>
      <c r="AH52">
        <v>172403743</v>
      </c>
      <c r="AI52">
        <v>193019301</v>
      </c>
      <c r="AJ52">
        <v>212622838</v>
      </c>
      <c r="AK52">
        <v>235174973</v>
      </c>
      <c r="AL52">
        <v>261877054</v>
      </c>
      <c r="AM52">
        <v>286705180</v>
      </c>
      <c r="AN52">
        <v>288665189</v>
      </c>
      <c r="AO52">
        <v>296358198</v>
      </c>
      <c r="AP52">
        <v>310249563</v>
      </c>
      <c r="AQ52">
        <v>330320096</v>
      </c>
      <c r="AR52">
        <v>356181593</v>
      </c>
      <c r="AS52">
        <v>388626578</v>
      </c>
      <c r="AT52">
        <v>393156476</v>
      </c>
      <c r="AU52">
        <v>423997662</v>
      </c>
      <c r="AV52">
        <v>447827472</v>
      </c>
      <c r="AW52">
        <v>0</v>
      </c>
      <c r="AX52">
        <v>0</v>
      </c>
      <c r="AY52">
        <v>0</v>
      </c>
      <c r="AZ52">
        <v>0</v>
      </c>
      <c r="BA52">
        <v>0</v>
      </c>
      <c r="BB52">
        <v>0</v>
      </c>
    </row>
    <row r="53" spans="1:54">
      <c r="A53">
        <v>52</v>
      </c>
      <c r="B53" t="s">
        <v>18</v>
      </c>
      <c r="C53" t="s">
        <v>40</v>
      </c>
      <c r="D53">
        <v>0</v>
      </c>
      <c r="E53">
        <v>0</v>
      </c>
      <c r="F53">
        <v>0</v>
      </c>
      <c r="G53">
        <v>0</v>
      </c>
      <c r="H53">
        <v>0</v>
      </c>
      <c r="I53">
        <v>0</v>
      </c>
      <c r="J53">
        <v>0</v>
      </c>
      <c r="K53">
        <v>0</v>
      </c>
      <c r="L53">
        <v>0</v>
      </c>
      <c r="M53">
        <v>0</v>
      </c>
      <c r="N53">
        <v>33490017</v>
      </c>
      <c r="O53">
        <v>36047905</v>
      </c>
      <c r="P53">
        <v>36321833</v>
      </c>
      <c r="Q53">
        <v>36125794</v>
      </c>
      <c r="R53">
        <v>38891922</v>
      </c>
      <c r="S53">
        <v>42895231</v>
      </c>
      <c r="T53">
        <v>46789058</v>
      </c>
      <c r="U53">
        <v>51030336</v>
      </c>
      <c r="V53">
        <v>53109075</v>
      </c>
      <c r="W53">
        <v>56919626</v>
      </c>
      <c r="X53">
        <v>61059762</v>
      </c>
      <c r="Y53">
        <v>65282138</v>
      </c>
      <c r="Z53">
        <v>66757855</v>
      </c>
      <c r="AA53">
        <v>68898275</v>
      </c>
      <c r="AB53">
        <v>70736640</v>
      </c>
      <c r="AC53">
        <v>75526320</v>
      </c>
      <c r="AD53">
        <v>75227274</v>
      </c>
      <c r="AE53">
        <v>82143509</v>
      </c>
      <c r="AF53">
        <v>85160967</v>
      </c>
      <c r="AG53">
        <v>94425013</v>
      </c>
      <c r="AH53">
        <v>102791222</v>
      </c>
      <c r="AI53">
        <v>112524167</v>
      </c>
      <c r="AJ53">
        <v>120882962</v>
      </c>
      <c r="AK53">
        <v>118239247</v>
      </c>
      <c r="AL53">
        <v>119089366</v>
      </c>
      <c r="AM53">
        <v>122609628</v>
      </c>
      <c r="AN53">
        <v>131804808</v>
      </c>
      <c r="AO53">
        <v>148596531</v>
      </c>
      <c r="AP53">
        <v>151893372</v>
      </c>
      <c r="AQ53">
        <v>156733765</v>
      </c>
      <c r="AR53">
        <v>158039258</v>
      </c>
      <c r="AS53">
        <v>154779816</v>
      </c>
      <c r="AT53">
        <v>148651663</v>
      </c>
      <c r="AU53">
        <v>145235828</v>
      </c>
      <c r="AV53">
        <v>154342431</v>
      </c>
      <c r="AW53">
        <v>0</v>
      </c>
      <c r="AX53">
        <v>0</v>
      </c>
      <c r="AY53">
        <v>0</v>
      </c>
      <c r="AZ53">
        <v>0</v>
      </c>
      <c r="BA53">
        <v>0</v>
      </c>
      <c r="BB53">
        <v>0</v>
      </c>
    </row>
    <row r="54" spans="1:54">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row>
    <row r="55" spans="1:54">
      <c r="A55">
        <v>54</v>
      </c>
      <c r="B55" t="e">
        <v>#N/A</v>
      </c>
      <c r="C55" t="e">
        <v>#N/A</v>
      </c>
      <c r="D55" t="e">
        <v>#N/A</v>
      </c>
      <c r="E55" t="e">
        <v>#N/A</v>
      </c>
      <c r="F55" t="e">
        <v>#N/A</v>
      </c>
      <c r="G55" t="e">
        <v>#N/A</v>
      </c>
      <c r="H55" t="e">
        <v>#N/A</v>
      </c>
      <c r="I55" t="e">
        <v>#N/A</v>
      </c>
      <c r="J55" t="e">
        <v>#N/A</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row>
    <row r="56" spans="1:54">
      <c r="A56">
        <v>55</v>
      </c>
      <c r="B56" t="e">
        <v>#N/A</v>
      </c>
      <c r="C56" t="e">
        <v>#N/A</v>
      </c>
      <c r="D56" t="e">
        <v>#N/A</v>
      </c>
      <c r="E56" t="e">
        <v>#N/A</v>
      </c>
      <c r="F56" t="e">
        <v>#N/A</v>
      </c>
      <c r="G56" t="e">
        <v>#N/A</v>
      </c>
      <c r="H56" t="e">
        <v>#N/A</v>
      </c>
      <c r="I56" t="e">
        <v>#N/A</v>
      </c>
      <c r="J56" t="e">
        <v>#N/A</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c r="A57">
        <v>56</v>
      </c>
      <c r="B57" t="e">
        <v>#N/A</v>
      </c>
      <c r="C57" t="e">
        <v>#N/A</v>
      </c>
      <c r="D57" t="e">
        <v>#N/A</v>
      </c>
      <c r="E57" t="e">
        <v>#N/A</v>
      </c>
      <c r="F57" t="e">
        <v>#N/A</v>
      </c>
      <c r="G57" t="e">
        <v>#N/A</v>
      </c>
      <c r="H57" t="e">
        <v>#N/A</v>
      </c>
      <c r="I57" t="e">
        <v>#N/A</v>
      </c>
      <c r="J57" t="e">
        <v>#N/A</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c r="A58">
        <v>57</v>
      </c>
      <c r="B58" t="e">
        <v>#N/A</v>
      </c>
      <c r="C58" t="e">
        <v>#N/A</v>
      </c>
      <c r="D58" t="e">
        <v>#N/A</v>
      </c>
      <c r="E58" t="e">
        <v>#N/A</v>
      </c>
      <c r="F58" t="e">
        <v>#N/A</v>
      </c>
      <c r="G58" t="e">
        <v>#N/A</v>
      </c>
      <c r="H58" t="e">
        <v>#N/A</v>
      </c>
      <c r="I58" t="e">
        <v>#N/A</v>
      </c>
      <c r="J58" t="e">
        <v>#N/A</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row>
    <row r="59" spans="1:54">
      <c r="A59">
        <v>58</v>
      </c>
      <c r="B59" t="e">
        <v>#N/A</v>
      </c>
      <c r="C59" t="e">
        <v>#N/A</v>
      </c>
      <c r="D59" t="e">
        <v>#N/A</v>
      </c>
      <c r="E59" t="e">
        <v>#N/A</v>
      </c>
      <c r="F59" t="e">
        <v>#N/A</v>
      </c>
      <c r="G59" t="e">
        <v>#N/A</v>
      </c>
      <c r="H59" t="e">
        <v>#N/A</v>
      </c>
      <c r="I59" t="e">
        <v>#N/A</v>
      </c>
      <c r="J59" t="e">
        <v>#N/A</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row>
    <row r="60" spans="1:54">
      <c r="A60">
        <v>59</v>
      </c>
      <c r="B60" t="e">
        <v>#N/A</v>
      </c>
      <c r="C60" t="e">
        <v>#N/A</v>
      </c>
      <c r="D60" t="e">
        <v>#N/A</v>
      </c>
      <c r="E60" t="e">
        <v>#N/A</v>
      </c>
      <c r="F60" t="e">
        <v>#N/A</v>
      </c>
      <c r="G60" t="e">
        <v>#N/A</v>
      </c>
      <c r="H60" t="e">
        <v>#N/A</v>
      </c>
      <c r="I60" t="e">
        <v>#N/A</v>
      </c>
      <c r="J60" t="e">
        <v>#N/A</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row>
    <row r="61" spans="1:54">
      <c r="A61">
        <v>60</v>
      </c>
      <c r="B61" t="e">
        <v>#N/A</v>
      </c>
      <c r="C61" t="e">
        <v>#N/A</v>
      </c>
      <c r="D61" t="e">
        <v>#N/A</v>
      </c>
      <c r="E61" t="e">
        <v>#N/A</v>
      </c>
      <c r="F61" t="e">
        <v>#N/A</v>
      </c>
      <c r="G61" t="e">
        <v>#N/A</v>
      </c>
      <c r="H61" t="e">
        <v>#N/A</v>
      </c>
      <c r="I61" t="e">
        <v>#N/A</v>
      </c>
      <c r="J61" t="e">
        <v>#N/A</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c r="A62">
        <v>61</v>
      </c>
      <c r="B62" t="e">
        <v>#N/A</v>
      </c>
      <c r="C62" t="e">
        <v>#N/A</v>
      </c>
      <c r="D62" t="e">
        <v>#N/A</v>
      </c>
      <c r="E62" t="e">
        <v>#N/A</v>
      </c>
      <c r="F62" t="e">
        <v>#N/A</v>
      </c>
      <c r="G62" t="e">
        <v>#N/A</v>
      </c>
      <c r="H62" t="e">
        <v>#N/A</v>
      </c>
      <c r="I62" t="e">
        <v>#N/A</v>
      </c>
      <c r="J62" t="e">
        <v>#N/A</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row>
    <row r="63" spans="1:54">
      <c r="A63">
        <v>62</v>
      </c>
      <c r="B63" t="e">
        <v>#N/A</v>
      </c>
      <c r="C63" t="e">
        <v>#N/A</v>
      </c>
      <c r="D63" t="e">
        <v>#N/A</v>
      </c>
      <c r="E63" t="e">
        <v>#N/A</v>
      </c>
      <c r="F63" t="e">
        <v>#N/A</v>
      </c>
      <c r="G63" t="e">
        <v>#N/A</v>
      </c>
      <c r="H63" t="e">
        <v>#N/A</v>
      </c>
      <c r="I63" t="e">
        <v>#N/A</v>
      </c>
      <c r="J63" t="e">
        <v>#N/A</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row>
    <row r="64" spans="1:54">
      <c r="A64">
        <v>63</v>
      </c>
      <c r="B64" t="e">
        <v>#N/A</v>
      </c>
      <c r="C64" t="e">
        <v>#N/A</v>
      </c>
      <c r="D64" t="e">
        <v>#N/A</v>
      </c>
      <c r="E64" t="e">
        <v>#N/A</v>
      </c>
      <c r="F64" t="e">
        <v>#N/A</v>
      </c>
      <c r="G64" t="e">
        <v>#N/A</v>
      </c>
      <c r="H64" t="e">
        <v>#N/A</v>
      </c>
      <c r="I64" t="e">
        <v>#N/A</v>
      </c>
      <c r="J64" t="e">
        <v>#N/A</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row>
    <row r="65" spans="1:54">
      <c r="A65">
        <v>64</v>
      </c>
      <c r="B65" t="e">
        <v>#N/A</v>
      </c>
      <c r="C65" t="e">
        <v>#N/A</v>
      </c>
      <c r="D65" t="e">
        <v>#N/A</v>
      </c>
      <c r="E65" t="e">
        <v>#N/A</v>
      </c>
      <c r="F65" t="e">
        <v>#N/A</v>
      </c>
      <c r="G65" t="e">
        <v>#N/A</v>
      </c>
      <c r="H65" t="e">
        <v>#N/A</v>
      </c>
      <c r="I65" t="e">
        <v>#N/A</v>
      </c>
      <c r="J65" t="e">
        <v>#N/A</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row>
    <row r="66" spans="1:54">
      <c r="A66">
        <v>65</v>
      </c>
      <c r="B66" t="e">
        <v>#N/A</v>
      </c>
      <c r="C66" t="e">
        <v>#N/A</v>
      </c>
      <c r="D66" t="e">
        <v>#N/A</v>
      </c>
      <c r="E66" t="e">
        <v>#N/A</v>
      </c>
      <c r="F66" t="e">
        <v>#N/A</v>
      </c>
      <c r="G66" t="e">
        <v>#N/A</v>
      </c>
      <c r="H66" t="e">
        <v>#N/A</v>
      </c>
      <c r="I66" t="e">
        <v>#N/A</v>
      </c>
      <c r="J66" t="e">
        <v>#N/A</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row>
    <row r="67" spans="1:54">
      <c r="A67">
        <v>66</v>
      </c>
      <c r="B67" t="e">
        <v>#N/A</v>
      </c>
      <c r="C67" t="e">
        <v>#N/A</v>
      </c>
      <c r="D67" t="e">
        <v>#N/A</v>
      </c>
      <c r="E67" t="e">
        <v>#N/A</v>
      </c>
      <c r="F67" t="e">
        <v>#N/A</v>
      </c>
      <c r="G67" t="e">
        <v>#N/A</v>
      </c>
      <c r="H67" t="e">
        <v>#N/A</v>
      </c>
      <c r="I67" t="e">
        <v>#N/A</v>
      </c>
      <c r="J67" t="e">
        <v>#N/A</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row>
    <row r="68" spans="1:54">
      <c r="A68">
        <v>67</v>
      </c>
      <c r="B68" t="e">
        <v>#N/A</v>
      </c>
      <c r="C68" t="e">
        <v>#N/A</v>
      </c>
      <c r="D68" t="e">
        <v>#N/A</v>
      </c>
      <c r="E68" t="e">
        <v>#N/A</v>
      </c>
      <c r="F68" t="e">
        <v>#N/A</v>
      </c>
      <c r="G68" t="e">
        <v>#N/A</v>
      </c>
      <c r="H68" t="e">
        <v>#N/A</v>
      </c>
      <c r="I68" t="e">
        <v>#N/A</v>
      </c>
      <c r="J68" t="e">
        <v>#N/A</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c r="A69">
        <v>68</v>
      </c>
      <c r="B69" t="e">
        <v>#N/A</v>
      </c>
      <c r="C69" t="e">
        <v>#N/A</v>
      </c>
      <c r="D69" t="e">
        <v>#N/A</v>
      </c>
      <c r="E69" t="e">
        <v>#N/A</v>
      </c>
      <c r="F69" t="e">
        <v>#N/A</v>
      </c>
      <c r="G69" t="e">
        <v>#N/A</v>
      </c>
      <c r="H69" t="e">
        <v>#N/A</v>
      </c>
      <c r="I69" t="e">
        <v>#N/A</v>
      </c>
      <c r="J69" t="e">
        <v>#N/A</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c r="A70">
        <v>69</v>
      </c>
      <c r="B70" t="e">
        <v>#N/A</v>
      </c>
      <c r="C70" t="e">
        <v>#N/A</v>
      </c>
      <c r="D70" t="e">
        <v>#N/A</v>
      </c>
      <c r="E70" t="e">
        <v>#N/A</v>
      </c>
      <c r="F70" t="e">
        <v>#N/A</v>
      </c>
      <c r="G70" t="e">
        <v>#N/A</v>
      </c>
      <c r="H70" t="e">
        <v>#N/A</v>
      </c>
      <c r="I70" t="e">
        <v>#N/A</v>
      </c>
      <c r="J70" t="e">
        <v>#N/A</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row>
    <row r="71" spans="1:54">
      <c r="A71">
        <v>70</v>
      </c>
      <c r="B71" t="e">
        <v>#N/A</v>
      </c>
      <c r="C71" t="e">
        <v>#N/A</v>
      </c>
      <c r="D71" t="e">
        <v>#N/A</v>
      </c>
      <c r="E71" t="e">
        <v>#N/A</v>
      </c>
      <c r="F71" t="e">
        <v>#N/A</v>
      </c>
      <c r="G71" t="e">
        <v>#N/A</v>
      </c>
      <c r="H71" t="e">
        <v>#N/A</v>
      </c>
      <c r="I71" t="e">
        <v>#N/A</v>
      </c>
      <c r="J71" t="e">
        <v>#N/A</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row>
    <row r="72" spans="1:54">
      <c r="A72">
        <v>71</v>
      </c>
      <c r="B72" t="e">
        <v>#N/A</v>
      </c>
      <c r="C72" t="e">
        <v>#N/A</v>
      </c>
      <c r="D72" t="e">
        <v>#N/A</v>
      </c>
      <c r="E72" t="e">
        <v>#N/A</v>
      </c>
      <c r="F72" t="e">
        <v>#N/A</v>
      </c>
      <c r="G72" t="e">
        <v>#N/A</v>
      </c>
      <c r="H72" t="e">
        <v>#N/A</v>
      </c>
      <c r="I72" t="e">
        <v>#N/A</v>
      </c>
      <c r="J72" t="e">
        <v>#N/A</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row>
    <row r="73" spans="1:54">
      <c r="A73">
        <v>72</v>
      </c>
      <c r="B73" t="e">
        <v>#N/A</v>
      </c>
      <c r="C73" t="e">
        <v>#N/A</v>
      </c>
      <c r="D73" t="e">
        <v>#N/A</v>
      </c>
      <c r="E73" t="e">
        <v>#N/A</v>
      </c>
      <c r="F73" t="e">
        <v>#N/A</v>
      </c>
      <c r="G73" t="e">
        <v>#N/A</v>
      </c>
      <c r="H73" t="e">
        <v>#N/A</v>
      </c>
      <c r="I73" t="e">
        <v>#N/A</v>
      </c>
      <c r="J73" t="e">
        <v>#N/A</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row>
    <row r="74" spans="1:54">
      <c r="A74">
        <v>73</v>
      </c>
      <c r="B74" t="e">
        <v>#N/A</v>
      </c>
      <c r="C74" t="e">
        <v>#N/A</v>
      </c>
      <c r="D74" t="e">
        <v>#N/A</v>
      </c>
      <c r="E74" t="e">
        <v>#N/A</v>
      </c>
      <c r="F74" t="e">
        <v>#N/A</v>
      </c>
      <c r="G74" t="e">
        <v>#N/A</v>
      </c>
      <c r="H74" t="e">
        <v>#N/A</v>
      </c>
      <c r="I74" t="e">
        <v>#N/A</v>
      </c>
      <c r="J74" t="e">
        <v>#N/A</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c r="A75">
        <v>74</v>
      </c>
      <c r="B75" t="e">
        <v>#N/A</v>
      </c>
      <c r="C75" t="e">
        <v>#N/A</v>
      </c>
      <c r="D75" t="e">
        <v>#N/A</v>
      </c>
      <c r="E75" t="e">
        <v>#N/A</v>
      </c>
      <c r="F75" t="e">
        <v>#N/A</v>
      </c>
      <c r="G75" t="e">
        <v>#N/A</v>
      </c>
      <c r="H75" t="e">
        <v>#N/A</v>
      </c>
      <c r="I75" t="e">
        <v>#N/A</v>
      </c>
      <c r="J75" t="e">
        <v>#N/A</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row>
    <row r="76" spans="1:54">
      <c r="A76">
        <v>75</v>
      </c>
      <c r="B76" t="e">
        <v>#N/A</v>
      </c>
      <c r="C76" t="e">
        <v>#N/A</v>
      </c>
      <c r="D76" t="e">
        <v>#N/A</v>
      </c>
      <c r="E76" t="e">
        <v>#N/A</v>
      </c>
      <c r="F76" t="e">
        <v>#N/A</v>
      </c>
      <c r="G76" t="e">
        <v>#N/A</v>
      </c>
      <c r="H76" t="e">
        <v>#N/A</v>
      </c>
      <c r="I76" t="e">
        <v>#N/A</v>
      </c>
      <c r="J76" t="e">
        <v>#N/A</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row>
    <row r="77" spans="1:54">
      <c r="A77">
        <v>76</v>
      </c>
      <c r="B77" t="e">
        <v>#N/A</v>
      </c>
      <c r="C77" t="e">
        <v>#N/A</v>
      </c>
      <c r="D77" t="e">
        <v>#N/A</v>
      </c>
      <c r="E77" t="e">
        <v>#N/A</v>
      </c>
      <c r="F77" t="e">
        <v>#N/A</v>
      </c>
      <c r="G77" t="e">
        <v>#N/A</v>
      </c>
      <c r="H77" t="e">
        <v>#N/A</v>
      </c>
      <c r="I77" t="e">
        <v>#N/A</v>
      </c>
      <c r="J77" t="e">
        <v>#N/A</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row>
    <row r="78" spans="1:54">
      <c r="A78">
        <v>77</v>
      </c>
      <c r="B78" t="e">
        <v>#N/A</v>
      </c>
      <c r="C78" t="e">
        <v>#N/A</v>
      </c>
      <c r="D78" t="e">
        <v>#N/A</v>
      </c>
      <c r="E78" t="e">
        <v>#N/A</v>
      </c>
      <c r="F78" t="e">
        <v>#N/A</v>
      </c>
      <c r="G78" t="e">
        <v>#N/A</v>
      </c>
      <c r="H78" t="e">
        <v>#N/A</v>
      </c>
      <c r="I78" t="e">
        <v>#N/A</v>
      </c>
      <c r="J78" t="e">
        <v>#N/A</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row>
    <row r="79" spans="1:54">
      <c r="A79">
        <v>78</v>
      </c>
      <c r="B79" t="e">
        <v>#N/A</v>
      </c>
      <c r="C79" t="e">
        <v>#N/A</v>
      </c>
      <c r="D79" t="e">
        <v>#N/A</v>
      </c>
      <c r="E79" t="e">
        <v>#N/A</v>
      </c>
      <c r="F79" t="e">
        <v>#N/A</v>
      </c>
      <c r="G79" t="e">
        <v>#N/A</v>
      </c>
      <c r="H79" t="e">
        <v>#N/A</v>
      </c>
      <c r="I79" t="e">
        <v>#N/A</v>
      </c>
      <c r="J79" t="e">
        <v>#N/A</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row>
    <row r="80" spans="1:54">
      <c r="A80">
        <v>79</v>
      </c>
      <c r="B80" t="e">
        <v>#N/A</v>
      </c>
      <c r="C80" t="e">
        <v>#N/A</v>
      </c>
      <c r="D80" t="e">
        <v>#N/A</v>
      </c>
      <c r="E80" t="e">
        <v>#N/A</v>
      </c>
      <c r="F80" t="e">
        <v>#N/A</v>
      </c>
      <c r="G80" t="e">
        <v>#N/A</v>
      </c>
      <c r="H80" t="e">
        <v>#N/A</v>
      </c>
      <c r="I80" t="e">
        <v>#N/A</v>
      </c>
      <c r="J80" t="e">
        <v>#N/A</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row>
    <row r="81" spans="1:54">
      <c r="A81">
        <v>80</v>
      </c>
      <c r="B81" t="e">
        <v>#N/A</v>
      </c>
      <c r="C81" t="e">
        <v>#N/A</v>
      </c>
      <c r="D81" t="e">
        <v>#N/A</v>
      </c>
      <c r="E81" t="e">
        <v>#N/A</v>
      </c>
      <c r="F81" t="e">
        <v>#N/A</v>
      </c>
      <c r="G81" t="e">
        <v>#N/A</v>
      </c>
      <c r="H81" t="e">
        <v>#N/A</v>
      </c>
      <c r="I81" t="e">
        <v>#N/A</v>
      </c>
      <c r="J81" t="e">
        <v>#N/A</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c r="A82">
        <v>81</v>
      </c>
      <c r="B82" t="e">
        <v>#N/A</v>
      </c>
      <c r="C82" t="e">
        <v>#N/A</v>
      </c>
      <c r="D82" t="e">
        <v>#N/A</v>
      </c>
      <c r="E82" t="e">
        <v>#N/A</v>
      </c>
      <c r="F82" t="e">
        <v>#N/A</v>
      </c>
      <c r="G82" t="e">
        <v>#N/A</v>
      </c>
      <c r="H82" t="e">
        <v>#N/A</v>
      </c>
      <c r="I82" t="e">
        <v>#N/A</v>
      </c>
      <c r="J82" t="e">
        <v>#N/A</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c r="A83">
        <v>82</v>
      </c>
      <c r="B83" t="e">
        <v>#N/A</v>
      </c>
      <c r="C83" t="e">
        <v>#N/A</v>
      </c>
      <c r="D83" t="e">
        <v>#N/A</v>
      </c>
      <c r="E83" t="e">
        <v>#N/A</v>
      </c>
      <c r="F83" t="e">
        <v>#N/A</v>
      </c>
      <c r="G83" t="e">
        <v>#N/A</v>
      </c>
      <c r="H83" t="e">
        <v>#N/A</v>
      </c>
      <c r="I83" t="e">
        <v>#N/A</v>
      </c>
      <c r="J83" t="e">
        <v>#N/A</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row>
    <row r="84" spans="1:54">
      <c r="A84">
        <v>83</v>
      </c>
      <c r="B84" t="e">
        <v>#N/A</v>
      </c>
      <c r="C84" t="e">
        <v>#N/A</v>
      </c>
      <c r="D84" t="e">
        <v>#N/A</v>
      </c>
      <c r="E84" t="e">
        <v>#N/A</v>
      </c>
      <c r="F84" t="e">
        <v>#N/A</v>
      </c>
      <c r="G84" t="e">
        <v>#N/A</v>
      </c>
      <c r="H84" t="e">
        <v>#N/A</v>
      </c>
      <c r="I84" t="e">
        <v>#N/A</v>
      </c>
      <c r="J84" t="e">
        <v>#N/A</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row>
    <row r="85" spans="1:54">
      <c r="A85">
        <v>84</v>
      </c>
      <c r="B85" t="e">
        <v>#N/A</v>
      </c>
      <c r="C85" t="e">
        <v>#N/A</v>
      </c>
      <c r="D85" t="e">
        <v>#N/A</v>
      </c>
      <c r="E85" t="e">
        <v>#N/A</v>
      </c>
      <c r="F85" t="e">
        <v>#N/A</v>
      </c>
      <c r="G85" t="e">
        <v>#N/A</v>
      </c>
      <c r="H85" t="e">
        <v>#N/A</v>
      </c>
      <c r="I85" t="e">
        <v>#N/A</v>
      </c>
      <c r="J85" t="e">
        <v>#N/A</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row>
    <row r="86" spans="1:54">
      <c r="A86">
        <v>85</v>
      </c>
      <c r="B86" t="e">
        <v>#N/A</v>
      </c>
      <c r="C86" t="e">
        <v>#N/A</v>
      </c>
      <c r="D86" t="e">
        <v>#N/A</v>
      </c>
      <c r="E86" t="e">
        <v>#N/A</v>
      </c>
      <c r="F86" t="e">
        <v>#N/A</v>
      </c>
      <c r="G86" t="e">
        <v>#N/A</v>
      </c>
      <c r="H86" t="e">
        <v>#N/A</v>
      </c>
      <c r="I86" t="e">
        <v>#N/A</v>
      </c>
      <c r="J86" t="e">
        <v>#N/A</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row>
    <row r="87" spans="1:54">
      <c r="A87">
        <v>86</v>
      </c>
      <c r="B87" t="e">
        <v>#N/A</v>
      </c>
      <c r="C87" t="e">
        <v>#N/A</v>
      </c>
      <c r="D87" t="e">
        <v>#N/A</v>
      </c>
      <c r="E87" t="e">
        <v>#N/A</v>
      </c>
      <c r="F87" t="e">
        <v>#N/A</v>
      </c>
      <c r="G87" t="e">
        <v>#N/A</v>
      </c>
      <c r="H87" t="e">
        <v>#N/A</v>
      </c>
      <c r="I87" t="e">
        <v>#N/A</v>
      </c>
      <c r="J87" t="e">
        <v>#N/A</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row>
    <row r="88" spans="1:54">
      <c r="A88">
        <v>87</v>
      </c>
      <c r="B88" t="e">
        <v>#N/A</v>
      </c>
      <c r="C88" t="e">
        <v>#N/A</v>
      </c>
      <c r="D88" t="e">
        <v>#N/A</v>
      </c>
      <c r="E88" t="e">
        <v>#N/A</v>
      </c>
      <c r="F88" t="e">
        <v>#N/A</v>
      </c>
      <c r="G88" t="e">
        <v>#N/A</v>
      </c>
      <c r="H88" t="e">
        <v>#N/A</v>
      </c>
      <c r="I88" t="e">
        <v>#N/A</v>
      </c>
      <c r="J88" t="e">
        <v>#N/A</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row>
    <row r="89" spans="1:54">
      <c r="A89">
        <v>88</v>
      </c>
      <c r="B89" t="e">
        <v>#N/A</v>
      </c>
      <c r="C89" t="e">
        <v>#N/A</v>
      </c>
      <c r="D89" t="e">
        <v>#N/A</v>
      </c>
      <c r="E89" t="e">
        <v>#N/A</v>
      </c>
      <c r="F89" t="e">
        <v>#N/A</v>
      </c>
      <c r="G89" t="e">
        <v>#N/A</v>
      </c>
      <c r="H89" t="e">
        <v>#N/A</v>
      </c>
      <c r="I89" t="e">
        <v>#N/A</v>
      </c>
      <c r="J89" t="e">
        <v>#N/A</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row>
    <row r="90" spans="1:54">
      <c r="A90">
        <v>89</v>
      </c>
      <c r="B90" t="e">
        <v>#N/A</v>
      </c>
      <c r="C90" t="e">
        <v>#N/A</v>
      </c>
      <c r="D90" t="e">
        <v>#N/A</v>
      </c>
      <c r="E90" t="e">
        <v>#N/A</v>
      </c>
      <c r="F90" t="e">
        <v>#N/A</v>
      </c>
      <c r="G90" t="e">
        <v>#N/A</v>
      </c>
      <c r="H90" t="e">
        <v>#N/A</v>
      </c>
      <c r="I90" t="e">
        <v>#N/A</v>
      </c>
      <c r="J90" t="e">
        <v>#N/A</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row>
    <row r="91" spans="1:54">
      <c r="A91">
        <v>90</v>
      </c>
      <c r="B91" t="e">
        <v>#N/A</v>
      </c>
      <c r="C91" t="e">
        <v>#N/A</v>
      </c>
      <c r="D91" t="e">
        <v>#N/A</v>
      </c>
      <c r="E91" t="e">
        <v>#N/A</v>
      </c>
      <c r="F91" t="e">
        <v>#N/A</v>
      </c>
      <c r="G91" t="e">
        <v>#N/A</v>
      </c>
      <c r="H91" t="e">
        <v>#N/A</v>
      </c>
      <c r="I91" t="e">
        <v>#N/A</v>
      </c>
      <c r="J91" t="e">
        <v>#N/A</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row>
    <row r="92" spans="1:54">
      <c r="A92">
        <v>91</v>
      </c>
      <c r="B92" t="e">
        <v>#N/A</v>
      </c>
      <c r="C92" t="e">
        <v>#N/A</v>
      </c>
      <c r="D92" t="e">
        <v>#N/A</v>
      </c>
      <c r="E92" t="e">
        <v>#N/A</v>
      </c>
      <c r="F92" t="e">
        <v>#N/A</v>
      </c>
      <c r="G92" t="e">
        <v>#N/A</v>
      </c>
      <c r="H92" t="e">
        <v>#N/A</v>
      </c>
      <c r="I92" t="e">
        <v>#N/A</v>
      </c>
      <c r="J92" t="e">
        <v>#N/A</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row>
    <row r="93" spans="1:54">
      <c r="A93">
        <v>92</v>
      </c>
      <c r="B93" t="e">
        <v>#N/A</v>
      </c>
      <c r="C93" t="e">
        <v>#N/A</v>
      </c>
      <c r="D93" t="e">
        <v>#N/A</v>
      </c>
      <c r="E93" t="e">
        <v>#N/A</v>
      </c>
      <c r="F93" t="e">
        <v>#N/A</v>
      </c>
      <c r="G93" t="e">
        <v>#N/A</v>
      </c>
      <c r="H93" t="e">
        <v>#N/A</v>
      </c>
      <c r="I93" t="e">
        <v>#N/A</v>
      </c>
      <c r="J93" t="e">
        <v>#N/A</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row>
    <row r="94" spans="1:54">
      <c r="A94">
        <v>93</v>
      </c>
      <c r="B94" t="e">
        <v>#N/A</v>
      </c>
      <c r="C94" t="e">
        <v>#N/A</v>
      </c>
      <c r="D94" t="e">
        <v>#N/A</v>
      </c>
      <c r="E94" t="e">
        <v>#N/A</v>
      </c>
      <c r="F94" t="e">
        <v>#N/A</v>
      </c>
      <c r="G94" t="e">
        <v>#N/A</v>
      </c>
      <c r="H94" t="e">
        <v>#N/A</v>
      </c>
      <c r="I94" t="e">
        <v>#N/A</v>
      </c>
      <c r="J94" t="e">
        <v>#N/A</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row>
    <row r="95" spans="1:54">
      <c r="A95">
        <v>94</v>
      </c>
      <c r="B95" t="e">
        <v>#N/A</v>
      </c>
      <c r="C95" t="e">
        <v>#N/A</v>
      </c>
      <c r="D95" t="e">
        <v>#N/A</v>
      </c>
      <c r="E95" t="e">
        <v>#N/A</v>
      </c>
      <c r="F95" t="e">
        <v>#N/A</v>
      </c>
      <c r="G95" t="e">
        <v>#N/A</v>
      </c>
      <c r="H95" t="e">
        <v>#N/A</v>
      </c>
      <c r="I95" t="e">
        <v>#N/A</v>
      </c>
      <c r="J95" t="e">
        <v>#N/A</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row>
    <row r="96" spans="1:54">
      <c r="A96">
        <v>95</v>
      </c>
      <c r="B96" t="e">
        <v>#N/A</v>
      </c>
      <c r="C96" t="e">
        <v>#N/A</v>
      </c>
      <c r="D96" t="e">
        <v>#N/A</v>
      </c>
      <c r="E96" t="e">
        <v>#N/A</v>
      </c>
      <c r="F96" t="e">
        <v>#N/A</v>
      </c>
      <c r="G96" t="e">
        <v>#N/A</v>
      </c>
      <c r="H96" t="e">
        <v>#N/A</v>
      </c>
      <c r="I96" t="e">
        <v>#N/A</v>
      </c>
      <c r="J96" t="e">
        <v>#N/A</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row>
    <row r="97" spans="1:54">
      <c r="A97">
        <v>96</v>
      </c>
      <c r="B97" t="e">
        <v>#N/A</v>
      </c>
      <c r="C97" t="e">
        <v>#N/A</v>
      </c>
      <c r="D97" t="e">
        <v>#N/A</v>
      </c>
      <c r="E97" t="e">
        <v>#N/A</v>
      </c>
      <c r="F97" t="e">
        <v>#N/A</v>
      </c>
      <c r="G97" t="e">
        <v>#N/A</v>
      </c>
      <c r="H97" t="e">
        <v>#N/A</v>
      </c>
      <c r="I97" t="e">
        <v>#N/A</v>
      </c>
      <c r="J97" t="e">
        <v>#N/A</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row r="98" spans="1:54">
      <c r="A98">
        <v>97</v>
      </c>
      <c r="B98" t="e">
        <v>#N/A</v>
      </c>
      <c r="C98" t="e">
        <v>#N/A</v>
      </c>
      <c r="D98" t="e">
        <v>#N/A</v>
      </c>
      <c r="E98" t="e">
        <v>#N/A</v>
      </c>
      <c r="F98" t="e">
        <v>#N/A</v>
      </c>
      <c r="G98" t="e">
        <v>#N/A</v>
      </c>
      <c r="H98" t="e">
        <v>#N/A</v>
      </c>
      <c r="I98" t="e">
        <v>#N/A</v>
      </c>
      <c r="J98" t="e">
        <v>#N/A</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c r="A99">
        <v>98</v>
      </c>
      <c r="B99" t="e">
        <v>#N/A</v>
      </c>
      <c r="C99" t="e">
        <v>#N/A</v>
      </c>
      <c r="D99" t="e">
        <v>#N/A</v>
      </c>
      <c r="E99" t="e">
        <v>#N/A</v>
      </c>
      <c r="F99" t="e">
        <v>#N/A</v>
      </c>
      <c r="G99" t="e">
        <v>#N/A</v>
      </c>
      <c r="H99" t="e">
        <v>#N/A</v>
      </c>
      <c r="I99" t="e">
        <v>#N/A</v>
      </c>
      <c r="J99" t="e">
        <v>#N/A</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row>
    <row r="100" spans="1:54">
      <c r="A100">
        <v>99</v>
      </c>
      <c r="B100" t="e">
        <v>#N/A</v>
      </c>
      <c r="C100" t="e">
        <v>#N/A</v>
      </c>
      <c r="D100" t="e">
        <v>#N/A</v>
      </c>
      <c r="E100" t="e">
        <v>#N/A</v>
      </c>
      <c r="F100" t="e">
        <v>#N/A</v>
      </c>
      <c r="G100" t="e">
        <v>#N/A</v>
      </c>
      <c r="H100" t="e">
        <v>#N/A</v>
      </c>
      <c r="I100" t="e">
        <v>#N/A</v>
      </c>
      <c r="J100" t="e">
        <v>#N/A</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row>
    <row r="101" spans="1:54">
      <c r="A101">
        <v>100</v>
      </c>
      <c r="B101" t="e">
        <v>#N/A</v>
      </c>
      <c r="C101" t="e">
        <v>#N/A</v>
      </c>
      <c r="D101" t="e">
        <v>#N/A</v>
      </c>
      <c r="E101" t="e">
        <v>#N/A</v>
      </c>
      <c r="F101" t="e">
        <v>#N/A</v>
      </c>
      <c r="G101" t="e">
        <v>#N/A</v>
      </c>
      <c r="H101" t="e">
        <v>#N/A</v>
      </c>
      <c r="I101" t="e">
        <v>#N/A</v>
      </c>
      <c r="J101" t="e">
        <v>#N/A</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row>
    <row r="102" spans="1:54">
      <c r="A102">
        <v>101</v>
      </c>
      <c r="B102" t="e">
        <v>#N/A</v>
      </c>
      <c r="C102" t="e">
        <v>#N/A</v>
      </c>
      <c r="D102" t="e">
        <v>#N/A</v>
      </c>
      <c r="E102" t="e">
        <v>#N/A</v>
      </c>
      <c r="F102" t="e">
        <v>#N/A</v>
      </c>
      <c r="G102" t="e">
        <v>#N/A</v>
      </c>
      <c r="H102" t="e">
        <v>#N/A</v>
      </c>
      <c r="I102" t="e">
        <v>#N/A</v>
      </c>
      <c r="J102" t="e">
        <v>#N/A</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row>
    <row r="103" spans="1:54">
      <c r="A103">
        <v>102</v>
      </c>
      <c r="B103" t="e">
        <v>#N/A</v>
      </c>
      <c r="C103" t="e">
        <v>#N/A</v>
      </c>
      <c r="D103" t="e">
        <v>#N/A</v>
      </c>
      <c r="E103" t="e">
        <v>#N/A</v>
      </c>
      <c r="F103" t="e">
        <v>#N/A</v>
      </c>
      <c r="G103" t="e">
        <v>#N/A</v>
      </c>
      <c r="H103" t="e">
        <v>#N/A</v>
      </c>
      <c r="I103" t="e">
        <v>#N/A</v>
      </c>
      <c r="J103" t="e">
        <v>#N/A</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row>
    <row r="104" spans="1:54">
      <c r="A104">
        <v>103</v>
      </c>
      <c r="B104" t="e">
        <v>#N/A</v>
      </c>
      <c r="C104" t="e">
        <v>#N/A</v>
      </c>
      <c r="D104" t="e">
        <v>#N/A</v>
      </c>
      <c r="E104" t="e">
        <v>#N/A</v>
      </c>
      <c r="F104" t="e">
        <v>#N/A</v>
      </c>
      <c r="G104" t="e">
        <v>#N/A</v>
      </c>
      <c r="H104" t="e">
        <v>#N/A</v>
      </c>
      <c r="I104" t="e">
        <v>#N/A</v>
      </c>
      <c r="J104" t="e">
        <v>#N/A</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row>
    <row r="105" spans="1:54">
      <c r="A105">
        <v>104</v>
      </c>
      <c r="B105" t="e">
        <v>#N/A</v>
      </c>
      <c r="C105" t="e">
        <v>#N/A</v>
      </c>
      <c r="D105" t="e">
        <v>#N/A</v>
      </c>
      <c r="E105" t="e">
        <v>#N/A</v>
      </c>
      <c r="F105" t="e">
        <v>#N/A</v>
      </c>
      <c r="G105" t="e">
        <v>#N/A</v>
      </c>
      <c r="H105" t="e">
        <v>#N/A</v>
      </c>
      <c r="I105" t="e">
        <v>#N/A</v>
      </c>
      <c r="J105" t="e">
        <v>#N/A</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row>
    <row r="106" spans="1:54">
      <c r="A106">
        <v>105</v>
      </c>
      <c r="B106" t="e">
        <v>#N/A</v>
      </c>
      <c r="C106" t="e">
        <v>#N/A</v>
      </c>
      <c r="D106" t="e">
        <v>#N/A</v>
      </c>
      <c r="E106" t="e">
        <v>#N/A</v>
      </c>
      <c r="F106" t="e">
        <v>#N/A</v>
      </c>
      <c r="G106" t="e">
        <v>#N/A</v>
      </c>
      <c r="H106" t="e">
        <v>#N/A</v>
      </c>
      <c r="I106" t="e">
        <v>#N/A</v>
      </c>
      <c r="J106" t="e">
        <v>#N/A</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row>
    <row r="107" spans="1:54">
      <c r="A107">
        <v>106</v>
      </c>
      <c r="B107" t="e">
        <v>#N/A</v>
      </c>
      <c r="C107" t="e">
        <v>#N/A</v>
      </c>
      <c r="D107" t="e">
        <v>#N/A</v>
      </c>
      <c r="E107" t="e">
        <v>#N/A</v>
      </c>
      <c r="F107" t="e">
        <v>#N/A</v>
      </c>
      <c r="G107" t="e">
        <v>#N/A</v>
      </c>
      <c r="H107" t="e">
        <v>#N/A</v>
      </c>
      <c r="I107" t="e">
        <v>#N/A</v>
      </c>
      <c r="J107" t="e">
        <v>#N/A</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row>
    <row r="108" spans="1:54">
      <c r="A108">
        <v>107</v>
      </c>
      <c r="B108" t="e">
        <v>#N/A</v>
      </c>
      <c r="C108" t="e">
        <v>#N/A</v>
      </c>
      <c r="D108" t="e">
        <v>#N/A</v>
      </c>
      <c r="E108" t="e">
        <v>#N/A</v>
      </c>
      <c r="F108" t="e">
        <v>#N/A</v>
      </c>
      <c r="G108" t="e">
        <v>#N/A</v>
      </c>
      <c r="H108" t="e">
        <v>#N/A</v>
      </c>
      <c r="I108" t="e">
        <v>#N/A</v>
      </c>
      <c r="J108" t="e">
        <v>#N/A</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row>
    <row r="109" spans="1:54">
      <c r="A109">
        <v>108</v>
      </c>
      <c r="B109" t="e">
        <v>#N/A</v>
      </c>
      <c r="C109" t="e">
        <v>#N/A</v>
      </c>
      <c r="D109" t="e">
        <v>#N/A</v>
      </c>
      <c r="E109" t="e">
        <v>#N/A</v>
      </c>
      <c r="F109" t="e">
        <v>#N/A</v>
      </c>
      <c r="G109" t="e">
        <v>#N/A</v>
      </c>
      <c r="H109" t="e">
        <v>#N/A</v>
      </c>
      <c r="I109" t="e">
        <v>#N/A</v>
      </c>
      <c r="J109" t="e">
        <v>#N/A</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row>
    <row r="110" spans="1:54">
      <c r="A110">
        <v>109</v>
      </c>
      <c r="B110" t="e">
        <v>#N/A</v>
      </c>
      <c r="C110" t="e">
        <v>#N/A</v>
      </c>
      <c r="D110" t="e">
        <v>#N/A</v>
      </c>
      <c r="E110" t="e">
        <v>#N/A</v>
      </c>
      <c r="F110" t="e">
        <v>#N/A</v>
      </c>
      <c r="G110" t="e">
        <v>#N/A</v>
      </c>
      <c r="H110" t="e">
        <v>#N/A</v>
      </c>
      <c r="I110" t="e">
        <v>#N/A</v>
      </c>
      <c r="J110" t="e">
        <v>#N/A</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row>
    <row r="111" spans="1:54">
      <c r="A111">
        <v>110</v>
      </c>
      <c r="B111" t="e">
        <v>#N/A</v>
      </c>
      <c r="C111" t="e">
        <v>#N/A</v>
      </c>
      <c r="D111" t="e">
        <v>#N/A</v>
      </c>
      <c r="E111" t="e">
        <v>#N/A</v>
      </c>
      <c r="F111" t="e">
        <v>#N/A</v>
      </c>
      <c r="G111" t="e">
        <v>#N/A</v>
      </c>
      <c r="H111" t="e">
        <v>#N/A</v>
      </c>
      <c r="I111" t="e">
        <v>#N/A</v>
      </c>
      <c r="J111" t="e">
        <v>#N/A</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row>
    <row r="112" spans="1:54">
      <c r="A112">
        <v>111</v>
      </c>
      <c r="B112" t="e">
        <v>#N/A</v>
      </c>
      <c r="C112" t="e">
        <v>#N/A</v>
      </c>
      <c r="D112" t="e">
        <v>#N/A</v>
      </c>
      <c r="E112" t="e">
        <v>#N/A</v>
      </c>
      <c r="F112" t="e">
        <v>#N/A</v>
      </c>
      <c r="G112" t="e">
        <v>#N/A</v>
      </c>
      <c r="H112" t="e">
        <v>#N/A</v>
      </c>
      <c r="I112" t="e">
        <v>#N/A</v>
      </c>
      <c r="J112" t="e">
        <v>#N/A</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row>
    <row r="113" spans="1:54">
      <c r="A113">
        <v>112</v>
      </c>
      <c r="B113" t="e">
        <v>#N/A</v>
      </c>
      <c r="C113" t="e">
        <v>#N/A</v>
      </c>
      <c r="D113" t="e">
        <v>#N/A</v>
      </c>
      <c r="E113" t="e">
        <v>#N/A</v>
      </c>
      <c r="F113" t="e">
        <v>#N/A</v>
      </c>
      <c r="G113" t="e">
        <v>#N/A</v>
      </c>
      <c r="H113" t="e">
        <v>#N/A</v>
      </c>
      <c r="I113" t="e">
        <v>#N/A</v>
      </c>
      <c r="J113" t="e">
        <v>#N/A</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row>
    <row r="114" spans="1:54">
      <c r="A114">
        <v>113</v>
      </c>
      <c r="B114" t="e">
        <v>#N/A</v>
      </c>
      <c r="C114" t="e">
        <v>#N/A</v>
      </c>
      <c r="D114" t="e">
        <v>#N/A</v>
      </c>
      <c r="E114" t="e">
        <v>#N/A</v>
      </c>
      <c r="F114" t="e">
        <v>#N/A</v>
      </c>
      <c r="G114" t="e">
        <v>#N/A</v>
      </c>
      <c r="H114" t="e">
        <v>#N/A</v>
      </c>
      <c r="I114" t="e">
        <v>#N/A</v>
      </c>
      <c r="J114" t="e">
        <v>#N/A</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row>
    <row r="115" spans="1:54">
      <c r="A115">
        <v>114</v>
      </c>
      <c r="B115" t="e">
        <v>#N/A</v>
      </c>
      <c r="C115" t="e">
        <v>#N/A</v>
      </c>
      <c r="D115" t="e">
        <v>#N/A</v>
      </c>
      <c r="E115" t="e">
        <v>#N/A</v>
      </c>
      <c r="F115" t="e">
        <v>#N/A</v>
      </c>
      <c r="G115" t="e">
        <v>#N/A</v>
      </c>
      <c r="H115" t="e">
        <v>#N/A</v>
      </c>
      <c r="I115" t="e">
        <v>#N/A</v>
      </c>
      <c r="J115" t="e">
        <v>#N/A</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row>
    <row r="116" spans="1:54">
      <c r="A116">
        <v>115</v>
      </c>
      <c r="B116" t="e">
        <v>#N/A</v>
      </c>
      <c r="C116" t="e">
        <v>#N/A</v>
      </c>
      <c r="D116" t="e">
        <v>#N/A</v>
      </c>
      <c r="E116" t="e">
        <v>#N/A</v>
      </c>
      <c r="F116" t="e">
        <v>#N/A</v>
      </c>
      <c r="G116" t="e">
        <v>#N/A</v>
      </c>
      <c r="H116" t="e">
        <v>#N/A</v>
      </c>
      <c r="I116" t="e">
        <v>#N/A</v>
      </c>
      <c r="J116" t="e">
        <v>#N/A</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row>
    <row r="117" spans="1:54">
      <c r="A117">
        <v>116</v>
      </c>
      <c r="B117" t="e">
        <v>#N/A</v>
      </c>
      <c r="C117" t="e">
        <v>#N/A</v>
      </c>
      <c r="D117" t="e">
        <v>#N/A</v>
      </c>
      <c r="E117" t="e">
        <v>#N/A</v>
      </c>
      <c r="F117" t="e">
        <v>#N/A</v>
      </c>
      <c r="G117" t="e">
        <v>#N/A</v>
      </c>
      <c r="H117" t="e">
        <v>#N/A</v>
      </c>
      <c r="I117" t="e">
        <v>#N/A</v>
      </c>
      <c r="J117" t="e">
        <v>#N/A</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row>
    <row r="118" spans="1:54">
      <c r="A118">
        <v>117</v>
      </c>
      <c r="B118" t="e">
        <v>#N/A</v>
      </c>
      <c r="C118" t="e">
        <v>#N/A</v>
      </c>
      <c r="D118" t="e">
        <v>#N/A</v>
      </c>
      <c r="E118" t="e">
        <v>#N/A</v>
      </c>
      <c r="F118" t="e">
        <v>#N/A</v>
      </c>
      <c r="G118" t="e">
        <v>#N/A</v>
      </c>
      <c r="H118" t="e">
        <v>#N/A</v>
      </c>
      <c r="I118" t="e">
        <v>#N/A</v>
      </c>
      <c r="J118" t="e">
        <v>#N/A</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row>
    <row r="119" spans="1:54">
      <c r="A119">
        <v>118</v>
      </c>
      <c r="B119" t="e">
        <v>#N/A</v>
      </c>
      <c r="C119" t="e">
        <v>#N/A</v>
      </c>
      <c r="D119" t="e">
        <v>#N/A</v>
      </c>
      <c r="E119" t="e">
        <v>#N/A</v>
      </c>
      <c r="F119" t="e">
        <v>#N/A</v>
      </c>
      <c r="G119" t="e">
        <v>#N/A</v>
      </c>
      <c r="H119" t="e">
        <v>#N/A</v>
      </c>
      <c r="I119" t="e">
        <v>#N/A</v>
      </c>
      <c r="J119" t="e">
        <v>#N/A</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row>
    <row r="120" spans="1:54">
      <c r="A120">
        <v>119</v>
      </c>
      <c r="B120" t="e">
        <v>#N/A</v>
      </c>
      <c r="C120" t="e">
        <v>#N/A</v>
      </c>
      <c r="D120" t="e">
        <v>#N/A</v>
      </c>
      <c r="E120" t="e">
        <v>#N/A</v>
      </c>
      <c r="F120" t="e">
        <v>#N/A</v>
      </c>
      <c r="G120" t="e">
        <v>#N/A</v>
      </c>
      <c r="H120" t="e">
        <v>#N/A</v>
      </c>
      <c r="I120" t="e">
        <v>#N/A</v>
      </c>
      <c r="J120" t="e">
        <v>#N/A</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row>
    <row r="121" spans="1:54">
      <c r="A121">
        <v>120</v>
      </c>
      <c r="B121" t="e">
        <v>#N/A</v>
      </c>
      <c r="C121" t="e">
        <v>#N/A</v>
      </c>
      <c r="D121" t="e">
        <v>#N/A</v>
      </c>
      <c r="E121" t="e">
        <v>#N/A</v>
      </c>
      <c r="F121" t="e">
        <v>#N/A</v>
      </c>
      <c r="G121" t="e">
        <v>#N/A</v>
      </c>
      <c r="H121" t="e">
        <v>#N/A</v>
      </c>
      <c r="I121" t="e">
        <v>#N/A</v>
      </c>
      <c r="J121" t="e">
        <v>#N/A</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row>
    <row r="122" spans="1:54">
      <c r="A122">
        <v>121</v>
      </c>
      <c r="B122" t="e">
        <v>#N/A</v>
      </c>
      <c r="C122" t="e">
        <v>#N/A</v>
      </c>
      <c r="D122" t="e">
        <v>#N/A</v>
      </c>
      <c r="E122" t="e">
        <v>#N/A</v>
      </c>
      <c r="F122" t="e">
        <v>#N/A</v>
      </c>
      <c r="G122" t="e">
        <v>#N/A</v>
      </c>
      <c r="H122" t="e">
        <v>#N/A</v>
      </c>
      <c r="I122" t="e">
        <v>#N/A</v>
      </c>
      <c r="J122" t="e">
        <v>#N/A</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row>
    <row r="123" spans="1:54">
      <c r="A123">
        <v>122</v>
      </c>
      <c r="B123" t="e">
        <v>#N/A</v>
      </c>
      <c r="C123" t="e">
        <v>#N/A</v>
      </c>
      <c r="D123" t="e">
        <v>#N/A</v>
      </c>
      <c r="E123" t="e">
        <v>#N/A</v>
      </c>
      <c r="F123" t="e">
        <v>#N/A</v>
      </c>
      <c r="G123" t="e">
        <v>#N/A</v>
      </c>
      <c r="H123" t="e">
        <v>#N/A</v>
      </c>
      <c r="I123" t="e">
        <v>#N/A</v>
      </c>
      <c r="J123" t="e">
        <v>#N/A</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row>
    <row r="124" spans="1:54">
      <c r="A124">
        <v>123</v>
      </c>
      <c r="B124" t="e">
        <v>#N/A</v>
      </c>
      <c r="C124" t="e">
        <v>#N/A</v>
      </c>
      <c r="D124" t="e">
        <v>#N/A</v>
      </c>
      <c r="E124" t="e">
        <v>#N/A</v>
      </c>
      <c r="F124" t="e">
        <v>#N/A</v>
      </c>
      <c r="G124" t="e">
        <v>#N/A</v>
      </c>
      <c r="H124" t="e">
        <v>#N/A</v>
      </c>
      <c r="I124" t="e">
        <v>#N/A</v>
      </c>
      <c r="J124" t="e">
        <v>#N/A</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row>
    <row r="125" spans="1:54">
      <c r="A125">
        <v>124</v>
      </c>
      <c r="B125" t="e">
        <v>#N/A</v>
      </c>
      <c r="C125" t="e">
        <v>#N/A</v>
      </c>
      <c r="D125" t="e">
        <v>#N/A</v>
      </c>
      <c r="E125" t="e">
        <v>#N/A</v>
      </c>
      <c r="F125" t="e">
        <v>#N/A</v>
      </c>
      <c r="G125" t="e">
        <v>#N/A</v>
      </c>
      <c r="H125" t="e">
        <v>#N/A</v>
      </c>
      <c r="I125" t="e">
        <v>#N/A</v>
      </c>
      <c r="J125" t="e">
        <v>#N/A</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row>
    <row r="126" spans="1:54">
      <c r="A126">
        <v>125</v>
      </c>
      <c r="B126" t="e">
        <v>#N/A</v>
      </c>
      <c r="C126" t="e">
        <v>#N/A</v>
      </c>
      <c r="D126" t="e">
        <v>#N/A</v>
      </c>
      <c r="E126" t="e">
        <v>#N/A</v>
      </c>
      <c r="F126" t="e">
        <v>#N/A</v>
      </c>
      <c r="G126" t="e">
        <v>#N/A</v>
      </c>
      <c r="H126" t="e">
        <v>#N/A</v>
      </c>
      <c r="I126" t="e">
        <v>#N/A</v>
      </c>
      <c r="J126" t="e">
        <v>#N/A</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row>
    <row r="127" spans="1:54">
      <c r="A127">
        <v>126</v>
      </c>
      <c r="B127" t="e">
        <v>#N/A</v>
      </c>
      <c r="C127" t="e">
        <v>#N/A</v>
      </c>
      <c r="D127" t="e">
        <v>#N/A</v>
      </c>
      <c r="E127" t="e">
        <v>#N/A</v>
      </c>
      <c r="F127" t="e">
        <v>#N/A</v>
      </c>
      <c r="G127" t="e">
        <v>#N/A</v>
      </c>
      <c r="H127" t="e">
        <v>#N/A</v>
      </c>
      <c r="I127" t="e">
        <v>#N/A</v>
      </c>
      <c r="J127" t="e">
        <v>#N/A</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row>
    <row r="128" spans="1:54">
      <c r="A128">
        <v>127</v>
      </c>
      <c r="B128" t="e">
        <v>#N/A</v>
      </c>
      <c r="C128" t="e">
        <v>#N/A</v>
      </c>
      <c r="D128" t="e">
        <v>#N/A</v>
      </c>
      <c r="E128" t="e">
        <v>#N/A</v>
      </c>
      <c r="F128" t="e">
        <v>#N/A</v>
      </c>
      <c r="G128" t="e">
        <v>#N/A</v>
      </c>
      <c r="H128" t="e">
        <v>#N/A</v>
      </c>
      <c r="I128" t="e">
        <v>#N/A</v>
      </c>
      <c r="J128" t="e">
        <v>#N/A</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row>
    <row r="129" spans="1:54">
      <c r="A129">
        <v>128</v>
      </c>
      <c r="B129" t="e">
        <v>#N/A</v>
      </c>
      <c r="C129" t="e">
        <v>#N/A</v>
      </c>
      <c r="D129" t="e">
        <v>#N/A</v>
      </c>
      <c r="E129" t="e">
        <v>#N/A</v>
      </c>
      <c r="F129" t="e">
        <v>#N/A</v>
      </c>
      <c r="G129" t="e">
        <v>#N/A</v>
      </c>
      <c r="H129" t="e">
        <v>#N/A</v>
      </c>
      <c r="I129" t="e">
        <v>#N/A</v>
      </c>
      <c r="J129" t="e">
        <v>#N/A</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row>
    <row r="130" spans="1:54">
      <c r="A130">
        <v>129</v>
      </c>
      <c r="B130" t="e">
        <v>#N/A</v>
      </c>
      <c r="C130" t="e">
        <v>#N/A</v>
      </c>
      <c r="D130" t="e">
        <v>#N/A</v>
      </c>
      <c r="E130" t="e">
        <v>#N/A</v>
      </c>
      <c r="F130" t="e">
        <v>#N/A</v>
      </c>
      <c r="G130" t="e">
        <v>#N/A</v>
      </c>
      <c r="H130" t="e">
        <v>#N/A</v>
      </c>
      <c r="I130" t="e">
        <v>#N/A</v>
      </c>
      <c r="J130" t="e">
        <v>#N/A</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row>
    <row r="131" spans="1:54">
      <c r="A131">
        <v>130</v>
      </c>
      <c r="B131" t="e">
        <v>#N/A</v>
      </c>
      <c r="C131" t="e">
        <v>#N/A</v>
      </c>
      <c r="D131" t="e">
        <v>#N/A</v>
      </c>
      <c r="E131" t="e">
        <v>#N/A</v>
      </c>
      <c r="F131" t="e">
        <v>#N/A</v>
      </c>
      <c r="G131" t="e">
        <v>#N/A</v>
      </c>
      <c r="H131" t="e">
        <v>#N/A</v>
      </c>
      <c r="I131" t="e">
        <v>#N/A</v>
      </c>
      <c r="J131" t="e">
        <v>#N/A</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row>
    <row r="132" spans="1:54">
      <c r="A132">
        <v>131</v>
      </c>
      <c r="B132" t="e">
        <v>#N/A</v>
      </c>
      <c r="C132" t="e">
        <v>#N/A</v>
      </c>
      <c r="D132" t="e">
        <v>#N/A</v>
      </c>
      <c r="E132" t="e">
        <v>#N/A</v>
      </c>
      <c r="F132" t="e">
        <v>#N/A</v>
      </c>
      <c r="G132" t="e">
        <v>#N/A</v>
      </c>
      <c r="H132" t="e">
        <v>#N/A</v>
      </c>
      <c r="I132" t="e">
        <v>#N/A</v>
      </c>
      <c r="J132" t="e">
        <v>#N/A</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row>
    <row r="133" spans="1:54">
      <c r="A133">
        <v>132</v>
      </c>
      <c r="B133" t="e">
        <v>#N/A</v>
      </c>
      <c r="C133" t="e">
        <v>#N/A</v>
      </c>
      <c r="D133" t="e">
        <v>#N/A</v>
      </c>
      <c r="E133" t="e">
        <v>#N/A</v>
      </c>
      <c r="F133" t="e">
        <v>#N/A</v>
      </c>
      <c r="G133" t="e">
        <v>#N/A</v>
      </c>
      <c r="H133" t="e">
        <v>#N/A</v>
      </c>
      <c r="I133" t="e">
        <v>#N/A</v>
      </c>
      <c r="J133" t="e">
        <v>#N/A</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row>
    <row r="134" spans="1:54">
      <c r="A134">
        <v>133</v>
      </c>
      <c r="B134" t="e">
        <v>#N/A</v>
      </c>
      <c r="C134" t="e">
        <v>#N/A</v>
      </c>
      <c r="D134" t="e">
        <v>#N/A</v>
      </c>
      <c r="E134" t="e">
        <v>#N/A</v>
      </c>
      <c r="F134" t="e">
        <v>#N/A</v>
      </c>
      <c r="G134" t="e">
        <v>#N/A</v>
      </c>
      <c r="H134" t="e">
        <v>#N/A</v>
      </c>
      <c r="I134" t="e">
        <v>#N/A</v>
      </c>
      <c r="J134" t="e">
        <v>#N/A</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row>
    <row r="135" spans="1:54">
      <c r="A135">
        <v>134</v>
      </c>
      <c r="B135" t="e">
        <v>#N/A</v>
      </c>
      <c r="C135" t="e">
        <v>#N/A</v>
      </c>
      <c r="D135" t="e">
        <v>#N/A</v>
      </c>
      <c r="E135" t="e">
        <v>#N/A</v>
      </c>
      <c r="F135" t="e">
        <v>#N/A</v>
      </c>
      <c r="G135" t="e">
        <v>#N/A</v>
      </c>
      <c r="H135" t="e">
        <v>#N/A</v>
      </c>
      <c r="I135" t="e">
        <v>#N/A</v>
      </c>
      <c r="J135" t="e">
        <v>#N/A</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row>
    <row r="136" spans="1:54">
      <c r="A136">
        <v>135</v>
      </c>
      <c r="B136" t="e">
        <v>#N/A</v>
      </c>
      <c r="C136" t="e">
        <v>#N/A</v>
      </c>
      <c r="D136" t="e">
        <v>#N/A</v>
      </c>
      <c r="E136" t="e">
        <v>#N/A</v>
      </c>
      <c r="F136" t="e">
        <v>#N/A</v>
      </c>
      <c r="G136" t="e">
        <v>#N/A</v>
      </c>
      <c r="H136" t="e">
        <v>#N/A</v>
      </c>
      <c r="I136" t="e">
        <v>#N/A</v>
      </c>
      <c r="J136" t="e">
        <v>#N/A</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row>
    <row r="137" spans="1:54">
      <c r="A137">
        <v>136</v>
      </c>
      <c r="B137" t="e">
        <v>#N/A</v>
      </c>
      <c r="C137" t="e">
        <v>#N/A</v>
      </c>
      <c r="D137" t="e">
        <v>#N/A</v>
      </c>
      <c r="E137" t="e">
        <v>#N/A</v>
      </c>
      <c r="F137" t="e">
        <v>#N/A</v>
      </c>
      <c r="G137" t="e">
        <v>#N/A</v>
      </c>
      <c r="H137" t="e">
        <v>#N/A</v>
      </c>
      <c r="I137" t="e">
        <v>#N/A</v>
      </c>
      <c r="J137" t="e">
        <v>#N/A</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row>
    <row r="138" spans="1:54">
      <c r="A138">
        <v>137</v>
      </c>
      <c r="B138" t="e">
        <v>#N/A</v>
      </c>
      <c r="C138" t="e">
        <v>#N/A</v>
      </c>
      <c r="D138" t="e">
        <v>#N/A</v>
      </c>
      <c r="E138" t="e">
        <v>#N/A</v>
      </c>
      <c r="F138" t="e">
        <v>#N/A</v>
      </c>
      <c r="G138" t="e">
        <v>#N/A</v>
      </c>
      <c r="H138" t="e">
        <v>#N/A</v>
      </c>
      <c r="I138" t="e">
        <v>#N/A</v>
      </c>
      <c r="J138" t="e">
        <v>#N/A</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row>
    <row r="139" spans="1:54">
      <c r="A139">
        <v>138</v>
      </c>
      <c r="B139" t="e">
        <v>#N/A</v>
      </c>
      <c r="C139" t="e">
        <v>#N/A</v>
      </c>
      <c r="D139" t="e">
        <v>#N/A</v>
      </c>
      <c r="E139" t="e">
        <v>#N/A</v>
      </c>
      <c r="F139" t="e">
        <v>#N/A</v>
      </c>
      <c r="G139" t="e">
        <v>#N/A</v>
      </c>
      <c r="H139" t="e">
        <v>#N/A</v>
      </c>
      <c r="I139" t="e">
        <v>#N/A</v>
      </c>
      <c r="J139" t="e">
        <v>#N/A</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row>
    <row r="140" spans="1:54">
      <c r="A140">
        <v>139</v>
      </c>
      <c r="B140" t="e">
        <v>#N/A</v>
      </c>
      <c r="C140" t="e">
        <v>#N/A</v>
      </c>
      <c r="D140" t="e">
        <v>#N/A</v>
      </c>
      <c r="E140" t="e">
        <v>#N/A</v>
      </c>
      <c r="F140" t="e">
        <v>#N/A</v>
      </c>
      <c r="G140" t="e">
        <v>#N/A</v>
      </c>
      <c r="H140" t="e">
        <v>#N/A</v>
      </c>
      <c r="I140" t="e">
        <v>#N/A</v>
      </c>
      <c r="J140" t="e">
        <v>#N/A</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row>
    <row r="141" spans="1:54">
      <c r="A141">
        <v>140</v>
      </c>
      <c r="B141" t="e">
        <v>#N/A</v>
      </c>
      <c r="C141" t="e">
        <v>#N/A</v>
      </c>
      <c r="D141" t="e">
        <v>#N/A</v>
      </c>
      <c r="E141" t="e">
        <v>#N/A</v>
      </c>
      <c r="F141" t="e">
        <v>#N/A</v>
      </c>
      <c r="G141" t="e">
        <v>#N/A</v>
      </c>
      <c r="H141" t="e">
        <v>#N/A</v>
      </c>
      <c r="I141" t="e">
        <v>#N/A</v>
      </c>
      <c r="J141" t="e">
        <v>#N/A</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row>
    <row r="142" spans="1:54">
      <c r="A142">
        <v>141</v>
      </c>
      <c r="B142" t="e">
        <v>#N/A</v>
      </c>
      <c r="C142" t="e">
        <v>#N/A</v>
      </c>
      <c r="D142" t="e">
        <v>#N/A</v>
      </c>
      <c r="E142" t="e">
        <v>#N/A</v>
      </c>
      <c r="F142" t="e">
        <v>#N/A</v>
      </c>
      <c r="G142" t="e">
        <v>#N/A</v>
      </c>
      <c r="H142" t="e">
        <v>#N/A</v>
      </c>
      <c r="I142" t="e">
        <v>#N/A</v>
      </c>
      <c r="J142" t="e">
        <v>#N/A</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row>
    <row r="143" spans="1:54">
      <c r="A143">
        <v>142</v>
      </c>
      <c r="B143" t="e">
        <v>#N/A</v>
      </c>
      <c r="C143" t="e">
        <v>#N/A</v>
      </c>
      <c r="D143" t="e">
        <v>#N/A</v>
      </c>
      <c r="E143" t="e">
        <v>#N/A</v>
      </c>
      <c r="F143" t="e">
        <v>#N/A</v>
      </c>
      <c r="G143" t="e">
        <v>#N/A</v>
      </c>
      <c r="H143" t="e">
        <v>#N/A</v>
      </c>
      <c r="I143" t="e">
        <v>#N/A</v>
      </c>
      <c r="J143" t="e">
        <v>#N/A</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row>
    <row r="144" spans="1:54">
      <c r="A144">
        <v>143</v>
      </c>
      <c r="B144" t="e">
        <v>#N/A</v>
      </c>
      <c r="C144" t="e">
        <v>#N/A</v>
      </c>
      <c r="D144" t="e">
        <v>#N/A</v>
      </c>
      <c r="E144" t="e">
        <v>#N/A</v>
      </c>
      <c r="F144" t="e">
        <v>#N/A</v>
      </c>
      <c r="G144" t="e">
        <v>#N/A</v>
      </c>
      <c r="H144" t="e">
        <v>#N/A</v>
      </c>
      <c r="I144" t="e">
        <v>#N/A</v>
      </c>
      <c r="J144" t="e">
        <v>#N/A</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row>
    <row r="145" spans="1:54">
      <c r="A145">
        <v>144</v>
      </c>
      <c r="B145" t="e">
        <v>#N/A</v>
      </c>
      <c r="C145" t="e">
        <v>#N/A</v>
      </c>
      <c r="D145" t="e">
        <v>#N/A</v>
      </c>
      <c r="E145" t="e">
        <v>#N/A</v>
      </c>
      <c r="F145" t="e">
        <v>#N/A</v>
      </c>
      <c r="G145" t="e">
        <v>#N/A</v>
      </c>
      <c r="H145" t="e">
        <v>#N/A</v>
      </c>
      <c r="I145" t="e">
        <v>#N/A</v>
      </c>
      <c r="J145" t="e">
        <v>#N/A</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row>
    <row r="146" spans="1:54">
      <c r="A146">
        <v>145</v>
      </c>
      <c r="B146" t="e">
        <v>#N/A</v>
      </c>
      <c r="C146" t="e">
        <v>#N/A</v>
      </c>
      <c r="D146" t="e">
        <v>#N/A</v>
      </c>
      <c r="E146" t="e">
        <v>#N/A</v>
      </c>
      <c r="F146" t="e">
        <v>#N/A</v>
      </c>
      <c r="G146" t="e">
        <v>#N/A</v>
      </c>
      <c r="H146" t="e">
        <v>#N/A</v>
      </c>
      <c r="I146" t="e">
        <v>#N/A</v>
      </c>
      <c r="J146" t="e">
        <v>#N/A</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row>
    <row r="147" spans="1:54">
      <c r="A147">
        <v>146</v>
      </c>
      <c r="B147" t="e">
        <v>#N/A</v>
      </c>
      <c r="C147" t="e">
        <v>#N/A</v>
      </c>
      <c r="D147" t="e">
        <v>#N/A</v>
      </c>
      <c r="E147" t="e">
        <v>#N/A</v>
      </c>
      <c r="F147" t="e">
        <v>#N/A</v>
      </c>
      <c r="G147" t="e">
        <v>#N/A</v>
      </c>
      <c r="H147" t="e">
        <v>#N/A</v>
      </c>
      <c r="I147" t="e">
        <v>#N/A</v>
      </c>
      <c r="J147" t="e">
        <v>#N/A</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row>
    <row r="148" spans="1:54">
      <c r="A148">
        <v>147</v>
      </c>
      <c r="B148" t="e">
        <v>#N/A</v>
      </c>
      <c r="C148" t="e">
        <v>#N/A</v>
      </c>
      <c r="D148" t="e">
        <v>#N/A</v>
      </c>
      <c r="E148" t="e">
        <v>#N/A</v>
      </c>
      <c r="F148" t="e">
        <v>#N/A</v>
      </c>
      <c r="G148" t="e">
        <v>#N/A</v>
      </c>
      <c r="H148" t="e">
        <v>#N/A</v>
      </c>
      <c r="I148" t="e">
        <v>#N/A</v>
      </c>
      <c r="J148" t="e">
        <v>#N/A</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row>
    <row r="149" spans="1:54">
      <c r="A149">
        <v>148</v>
      </c>
      <c r="B149" t="e">
        <v>#N/A</v>
      </c>
      <c r="C149" t="e">
        <v>#N/A</v>
      </c>
      <c r="D149" t="e">
        <v>#N/A</v>
      </c>
      <c r="E149" t="e">
        <v>#N/A</v>
      </c>
      <c r="F149" t="e">
        <v>#N/A</v>
      </c>
      <c r="G149" t="e">
        <v>#N/A</v>
      </c>
      <c r="H149" t="e">
        <v>#N/A</v>
      </c>
      <c r="I149" t="e">
        <v>#N/A</v>
      </c>
      <c r="J149" t="e">
        <v>#N/A</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row>
    <row r="150" spans="1:54">
      <c r="A150">
        <v>149</v>
      </c>
      <c r="B150" t="e">
        <v>#N/A</v>
      </c>
      <c r="C150" t="e">
        <v>#N/A</v>
      </c>
      <c r="D150" t="e">
        <v>#N/A</v>
      </c>
      <c r="E150" t="e">
        <v>#N/A</v>
      </c>
      <c r="F150" t="e">
        <v>#N/A</v>
      </c>
      <c r="G150" t="e">
        <v>#N/A</v>
      </c>
      <c r="H150" t="e">
        <v>#N/A</v>
      </c>
      <c r="I150" t="e">
        <v>#N/A</v>
      </c>
      <c r="J150" t="e">
        <v>#N/A</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row>
    <row r="151" spans="1:54">
      <c r="A151">
        <v>150</v>
      </c>
      <c r="B151" t="e">
        <v>#N/A</v>
      </c>
      <c r="C151" t="e">
        <v>#N/A</v>
      </c>
      <c r="D151" t="e">
        <v>#N/A</v>
      </c>
      <c r="E151" t="e">
        <v>#N/A</v>
      </c>
      <c r="F151" t="e">
        <v>#N/A</v>
      </c>
      <c r="G151" t="e">
        <v>#N/A</v>
      </c>
      <c r="H151" t="e">
        <v>#N/A</v>
      </c>
      <c r="I151" t="e">
        <v>#N/A</v>
      </c>
      <c r="J151" t="e">
        <v>#N/A</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row>
    <row r="152" spans="1:54">
      <c r="A152">
        <v>151</v>
      </c>
      <c r="B152" t="e">
        <v>#N/A</v>
      </c>
      <c r="C152" t="e">
        <v>#N/A</v>
      </c>
      <c r="D152" t="e">
        <v>#N/A</v>
      </c>
      <c r="E152" t="e">
        <v>#N/A</v>
      </c>
      <c r="F152" t="e">
        <v>#N/A</v>
      </c>
      <c r="G152" t="e">
        <v>#N/A</v>
      </c>
      <c r="H152" t="e">
        <v>#N/A</v>
      </c>
      <c r="I152" t="e">
        <v>#N/A</v>
      </c>
      <c r="J152" t="e">
        <v>#N/A</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row>
    <row r="153" spans="1:54">
      <c r="A153">
        <v>152</v>
      </c>
      <c r="B153" t="e">
        <v>#N/A</v>
      </c>
      <c r="C153" t="e">
        <v>#N/A</v>
      </c>
      <c r="D153" t="e">
        <v>#N/A</v>
      </c>
      <c r="E153" t="e">
        <v>#N/A</v>
      </c>
      <c r="F153" t="e">
        <v>#N/A</v>
      </c>
      <c r="G153" t="e">
        <v>#N/A</v>
      </c>
      <c r="H153" t="e">
        <v>#N/A</v>
      </c>
      <c r="I153" t="e">
        <v>#N/A</v>
      </c>
      <c r="J153" t="e">
        <v>#N/A</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row>
    <row r="154" spans="1:54">
      <c r="A154">
        <v>153</v>
      </c>
      <c r="B154" t="e">
        <v>#N/A</v>
      </c>
      <c r="C154" t="e">
        <v>#N/A</v>
      </c>
      <c r="D154" t="e">
        <v>#N/A</v>
      </c>
      <c r="E154" t="e">
        <v>#N/A</v>
      </c>
      <c r="F154" t="e">
        <v>#N/A</v>
      </c>
      <c r="G154" t="e">
        <v>#N/A</v>
      </c>
      <c r="H154" t="e">
        <v>#N/A</v>
      </c>
      <c r="I154" t="e">
        <v>#N/A</v>
      </c>
      <c r="J154" t="e">
        <v>#N/A</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row>
    <row r="155" spans="1:54">
      <c r="A155">
        <v>154</v>
      </c>
      <c r="B155" t="e">
        <v>#N/A</v>
      </c>
      <c r="C155" t="e">
        <v>#N/A</v>
      </c>
      <c r="D155" t="e">
        <v>#N/A</v>
      </c>
      <c r="E155" t="e">
        <v>#N/A</v>
      </c>
      <c r="F155" t="e">
        <v>#N/A</v>
      </c>
      <c r="G155" t="e">
        <v>#N/A</v>
      </c>
      <c r="H155" t="e">
        <v>#N/A</v>
      </c>
      <c r="I155" t="e">
        <v>#N/A</v>
      </c>
      <c r="J155" t="e">
        <v>#N/A</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row>
    <row r="156" spans="1:54">
      <c r="A156">
        <v>155</v>
      </c>
      <c r="B156" t="e">
        <v>#N/A</v>
      </c>
      <c r="C156" t="e">
        <v>#N/A</v>
      </c>
      <c r="D156" t="e">
        <v>#N/A</v>
      </c>
      <c r="E156" t="e">
        <v>#N/A</v>
      </c>
      <c r="F156" t="e">
        <v>#N/A</v>
      </c>
      <c r="G156" t="e">
        <v>#N/A</v>
      </c>
      <c r="H156" t="e">
        <v>#N/A</v>
      </c>
      <c r="I156" t="e">
        <v>#N/A</v>
      </c>
      <c r="J156" t="e">
        <v>#N/A</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row>
    <row r="157" spans="1:54">
      <c r="A157">
        <v>156</v>
      </c>
      <c r="B157" t="e">
        <v>#N/A</v>
      </c>
      <c r="C157" t="e">
        <v>#N/A</v>
      </c>
      <c r="D157" t="e">
        <v>#N/A</v>
      </c>
      <c r="E157" t="e">
        <v>#N/A</v>
      </c>
      <c r="F157" t="e">
        <v>#N/A</v>
      </c>
      <c r="G157" t="e">
        <v>#N/A</v>
      </c>
      <c r="H157" t="e">
        <v>#N/A</v>
      </c>
      <c r="I157" t="e">
        <v>#N/A</v>
      </c>
      <c r="J157" t="e">
        <v>#N/A</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row>
    <row r="158" spans="1:54">
      <c r="A158">
        <v>157</v>
      </c>
      <c r="B158" t="e">
        <v>#N/A</v>
      </c>
      <c r="C158" t="e">
        <v>#N/A</v>
      </c>
      <c r="D158" t="e">
        <v>#N/A</v>
      </c>
      <c r="E158" t="e">
        <v>#N/A</v>
      </c>
      <c r="F158" t="e">
        <v>#N/A</v>
      </c>
      <c r="G158" t="e">
        <v>#N/A</v>
      </c>
      <c r="H158" t="e">
        <v>#N/A</v>
      </c>
      <c r="I158" t="e">
        <v>#N/A</v>
      </c>
      <c r="J158" t="e">
        <v>#N/A</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row>
    <row r="159" spans="1:54">
      <c r="A159">
        <v>158</v>
      </c>
      <c r="B159" t="e">
        <v>#N/A</v>
      </c>
      <c r="C159" t="e">
        <v>#N/A</v>
      </c>
      <c r="D159" t="e">
        <v>#N/A</v>
      </c>
      <c r="E159" t="e">
        <v>#N/A</v>
      </c>
      <c r="F159" t="e">
        <v>#N/A</v>
      </c>
      <c r="G159" t="e">
        <v>#N/A</v>
      </c>
      <c r="H159" t="e">
        <v>#N/A</v>
      </c>
      <c r="I159" t="e">
        <v>#N/A</v>
      </c>
      <c r="J159" t="e">
        <v>#N/A</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row>
    <row r="160" spans="1:54">
      <c r="A160">
        <v>159</v>
      </c>
      <c r="B160" t="e">
        <v>#N/A</v>
      </c>
      <c r="C160" t="e">
        <v>#N/A</v>
      </c>
      <c r="D160" t="e">
        <v>#N/A</v>
      </c>
      <c r="E160" t="e">
        <v>#N/A</v>
      </c>
      <c r="F160" t="e">
        <v>#N/A</v>
      </c>
      <c r="G160" t="e">
        <v>#N/A</v>
      </c>
      <c r="H160" t="e">
        <v>#N/A</v>
      </c>
      <c r="I160" t="e">
        <v>#N/A</v>
      </c>
      <c r="J160" t="e">
        <v>#N/A</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row>
    <row r="161" spans="1:54">
      <c r="A161">
        <v>160</v>
      </c>
      <c r="B161" t="e">
        <v>#N/A</v>
      </c>
      <c r="C161" t="e">
        <v>#N/A</v>
      </c>
      <c r="D161" t="e">
        <v>#N/A</v>
      </c>
      <c r="E161" t="e">
        <v>#N/A</v>
      </c>
      <c r="F161" t="e">
        <v>#N/A</v>
      </c>
      <c r="G161" t="e">
        <v>#N/A</v>
      </c>
      <c r="H161" t="e">
        <v>#N/A</v>
      </c>
      <c r="I161" t="e">
        <v>#N/A</v>
      </c>
      <c r="J161" t="e">
        <v>#N/A</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row>
    <row r="162" spans="1:54">
      <c r="A162">
        <v>161</v>
      </c>
      <c r="B162" t="e">
        <v>#N/A</v>
      </c>
      <c r="C162" t="e">
        <v>#N/A</v>
      </c>
      <c r="D162" t="e">
        <v>#N/A</v>
      </c>
      <c r="E162" t="e">
        <v>#N/A</v>
      </c>
      <c r="F162" t="e">
        <v>#N/A</v>
      </c>
      <c r="G162" t="e">
        <v>#N/A</v>
      </c>
      <c r="H162" t="e">
        <v>#N/A</v>
      </c>
      <c r="I162" t="e">
        <v>#N/A</v>
      </c>
      <c r="J162" t="e">
        <v>#N/A</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row>
    <row r="163" spans="1:54">
      <c r="A163">
        <v>162</v>
      </c>
      <c r="B163" t="e">
        <v>#N/A</v>
      </c>
      <c r="C163" t="e">
        <v>#N/A</v>
      </c>
      <c r="D163" t="e">
        <v>#N/A</v>
      </c>
      <c r="E163" t="e">
        <v>#N/A</v>
      </c>
      <c r="F163" t="e">
        <v>#N/A</v>
      </c>
      <c r="G163" t="e">
        <v>#N/A</v>
      </c>
      <c r="H163" t="e">
        <v>#N/A</v>
      </c>
      <c r="I163" t="e">
        <v>#N/A</v>
      </c>
      <c r="J163" t="e">
        <v>#N/A</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row>
    <row r="164" spans="1:54">
      <c r="A164">
        <v>163</v>
      </c>
      <c r="B164" t="e">
        <v>#N/A</v>
      </c>
      <c r="C164" t="e">
        <v>#N/A</v>
      </c>
      <c r="D164" t="e">
        <v>#N/A</v>
      </c>
      <c r="E164" t="e">
        <v>#N/A</v>
      </c>
      <c r="F164" t="e">
        <v>#N/A</v>
      </c>
      <c r="G164" t="e">
        <v>#N/A</v>
      </c>
      <c r="H164" t="e">
        <v>#N/A</v>
      </c>
      <c r="I164" t="e">
        <v>#N/A</v>
      </c>
      <c r="J164" t="e">
        <v>#N/A</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row>
    <row r="165" spans="1:54">
      <c r="A165">
        <v>164</v>
      </c>
      <c r="B165" t="e">
        <v>#N/A</v>
      </c>
      <c r="C165" t="e">
        <v>#N/A</v>
      </c>
      <c r="D165" t="e">
        <v>#N/A</v>
      </c>
      <c r="E165" t="e">
        <v>#N/A</v>
      </c>
      <c r="F165" t="e">
        <v>#N/A</v>
      </c>
      <c r="G165" t="e">
        <v>#N/A</v>
      </c>
      <c r="H165" t="e">
        <v>#N/A</v>
      </c>
      <c r="I165" t="e">
        <v>#N/A</v>
      </c>
      <c r="J165" t="e">
        <v>#N/A</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row>
    <row r="166" spans="1:54">
      <c r="A166">
        <v>165</v>
      </c>
      <c r="B166" t="e">
        <v>#N/A</v>
      </c>
      <c r="C166" t="e">
        <v>#N/A</v>
      </c>
      <c r="D166" t="e">
        <v>#N/A</v>
      </c>
      <c r="E166" t="e">
        <v>#N/A</v>
      </c>
      <c r="F166" t="e">
        <v>#N/A</v>
      </c>
      <c r="G166" t="e">
        <v>#N/A</v>
      </c>
      <c r="H166" t="e">
        <v>#N/A</v>
      </c>
      <c r="I166" t="e">
        <v>#N/A</v>
      </c>
      <c r="J166" t="e">
        <v>#N/A</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row>
    <row r="167" spans="1:54">
      <c r="A167">
        <v>166</v>
      </c>
      <c r="B167" t="e">
        <v>#N/A</v>
      </c>
      <c r="C167" t="e">
        <v>#N/A</v>
      </c>
      <c r="D167" t="e">
        <v>#N/A</v>
      </c>
      <c r="E167" t="e">
        <v>#N/A</v>
      </c>
      <c r="F167" t="e">
        <v>#N/A</v>
      </c>
      <c r="G167" t="e">
        <v>#N/A</v>
      </c>
      <c r="H167" t="e">
        <v>#N/A</v>
      </c>
      <c r="I167" t="e">
        <v>#N/A</v>
      </c>
      <c r="J167" t="e">
        <v>#N/A</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row>
    <row r="168" spans="1:54">
      <c r="A168">
        <v>167</v>
      </c>
      <c r="B168" t="e">
        <v>#N/A</v>
      </c>
      <c r="C168" t="e">
        <v>#N/A</v>
      </c>
      <c r="D168" t="e">
        <v>#N/A</v>
      </c>
      <c r="E168" t="e">
        <v>#N/A</v>
      </c>
      <c r="F168" t="e">
        <v>#N/A</v>
      </c>
      <c r="G168" t="e">
        <v>#N/A</v>
      </c>
      <c r="H168" t="e">
        <v>#N/A</v>
      </c>
      <c r="I168" t="e">
        <v>#N/A</v>
      </c>
      <c r="J168" t="e">
        <v>#N/A</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row>
    <row r="169" spans="1:54">
      <c r="A169">
        <v>168</v>
      </c>
      <c r="B169" t="e">
        <v>#N/A</v>
      </c>
      <c r="C169" t="e">
        <v>#N/A</v>
      </c>
      <c r="D169" t="e">
        <v>#N/A</v>
      </c>
      <c r="E169" t="e">
        <v>#N/A</v>
      </c>
      <c r="F169" t="e">
        <v>#N/A</v>
      </c>
      <c r="G169" t="e">
        <v>#N/A</v>
      </c>
      <c r="H169" t="e">
        <v>#N/A</v>
      </c>
      <c r="I169" t="e">
        <v>#N/A</v>
      </c>
      <c r="J169" t="e">
        <v>#N/A</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row>
    <row r="170" spans="1:54">
      <c r="A170">
        <v>169</v>
      </c>
      <c r="B170" t="e">
        <v>#N/A</v>
      </c>
      <c r="C170" t="e">
        <v>#N/A</v>
      </c>
      <c r="D170" t="e">
        <v>#N/A</v>
      </c>
      <c r="E170" t="e">
        <v>#N/A</v>
      </c>
      <c r="F170" t="e">
        <v>#N/A</v>
      </c>
      <c r="G170" t="e">
        <v>#N/A</v>
      </c>
      <c r="H170" t="e">
        <v>#N/A</v>
      </c>
      <c r="I170" t="e">
        <v>#N/A</v>
      </c>
      <c r="J170" t="e">
        <v>#N/A</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row>
    <row r="171" spans="1:54">
      <c r="A171">
        <v>170</v>
      </c>
      <c r="B171" t="e">
        <v>#N/A</v>
      </c>
      <c r="C171" t="e">
        <v>#N/A</v>
      </c>
      <c r="D171" t="e">
        <v>#N/A</v>
      </c>
      <c r="E171" t="e">
        <v>#N/A</v>
      </c>
      <c r="F171" t="e">
        <v>#N/A</v>
      </c>
      <c r="G171" t="e">
        <v>#N/A</v>
      </c>
      <c r="H171" t="e">
        <v>#N/A</v>
      </c>
      <c r="I171" t="e">
        <v>#N/A</v>
      </c>
      <c r="J171" t="e">
        <v>#N/A</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row>
    <row r="172" spans="1:54">
      <c r="A172">
        <v>171</v>
      </c>
      <c r="B172" t="e">
        <v>#N/A</v>
      </c>
      <c r="C172" t="e">
        <v>#N/A</v>
      </c>
      <c r="D172" t="e">
        <v>#N/A</v>
      </c>
      <c r="E172" t="e">
        <v>#N/A</v>
      </c>
      <c r="F172" t="e">
        <v>#N/A</v>
      </c>
      <c r="G172" t="e">
        <v>#N/A</v>
      </c>
      <c r="H172" t="e">
        <v>#N/A</v>
      </c>
      <c r="I172" t="e">
        <v>#N/A</v>
      </c>
      <c r="J172" t="e">
        <v>#N/A</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row>
    <row r="173" spans="1:54">
      <c r="A173">
        <v>172</v>
      </c>
      <c r="B173" t="e">
        <v>#N/A</v>
      </c>
      <c r="C173" t="e">
        <v>#N/A</v>
      </c>
      <c r="D173" t="e">
        <v>#N/A</v>
      </c>
      <c r="E173" t="e">
        <v>#N/A</v>
      </c>
      <c r="F173" t="e">
        <v>#N/A</v>
      </c>
      <c r="G173" t="e">
        <v>#N/A</v>
      </c>
      <c r="H173" t="e">
        <v>#N/A</v>
      </c>
      <c r="I173" t="e">
        <v>#N/A</v>
      </c>
      <c r="J173" t="e">
        <v>#N/A</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row>
    <row r="174" spans="1:54">
      <c r="A174">
        <v>173</v>
      </c>
      <c r="B174" t="e">
        <v>#N/A</v>
      </c>
      <c r="C174" t="e">
        <v>#N/A</v>
      </c>
      <c r="D174" t="e">
        <v>#N/A</v>
      </c>
      <c r="E174" t="e">
        <v>#N/A</v>
      </c>
      <c r="F174" t="e">
        <v>#N/A</v>
      </c>
      <c r="G174" t="e">
        <v>#N/A</v>
      </c>
      <c r="H174" t="e">
        <v>#N/A</v>
      </c>
      <c r="I174" t="e">
        <v>#N/A</v>
      </c>
      <c r="J174" t="e">
        <v>#N/A</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row>
    <row r="175" spans="1:54">
      <c r="A175">
        <v>174</v>
      </c>
      <c r="B175" t="e">
        <v>#N/A</v>
      </c>
      <c r="C175" t="e">
        <v>#N/A</v>
      </c>
      <c r="D175" t="e">
        <v>#N/A</v>
      </c>
      <c r="E175" t="e">
        <v>#N/A</v>
      </c>
      <c r="F175" t="e">
        <v>#N/A</v>
      </c>
      <c r="G175" t="e">
        <v>#N/A</v>
      </c>
      <c r="H175" t="e">
        <v>#N/A</v>
      </c>
      <c r="I175" t="e">
        <v>#N/A</v>
      </c>
      <c r="J175" t="e">
        <v>#N/A</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row>
    <row r="176" spans="1:54">
      <c r="A176">
        <v>175</v>
      </c>
      <c r="B176" t="e">
        <v>#N/A</v>
      </c>
      <c r="C176" t="e">
        <v>#N/A</v>
      </c>
      <c r="D176" t="e">
        <v>#N/A</v>
      </c>
      <c r="E176" t="e">
        <v>#N/A</v>
      </c>
      <c r="F176" t="e">
        <v>#N/A</v>
      </c>
      <c r="G176" t="e">
        <v>#N/A</v>
      </c>
      <c r="H176" t="e">
        <v>#N/A</v>
      </c>
      <c r="I176" t="e">
        <v>#N/A</v>
      </c>
      <c r="J176" t="e">
        <v>#N/A</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row>
    <row r="177" spans="1:54">
      <c r="A177">
        <v>176</v>
      </c>
      <c r="B177" t="e">
        <v>#N/A</v>
      </c>
      <c r="C177" t="e">
        <v>#N/A</v>
      </c>
      <c r="D177" t="e">
        <v>#N/A</v>
      </c>
      <c r="E177" t="e">
        <v>#N/A</v>
      </c>
      <c r="F177" t="e">
        <v>#N/A</v>
      </c>
      <c r="G177" t="e">
        <v>#N/A</v>
      </c>
      <c r="H177" t="e">
        <v>#N/A</v>
      </c>
      <c r="I177" t="e">
        <v>#N/A</v>
      </c>
      <c r="J177" t="e">
        <v>#N/A</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row>
    <row r="178" spans="1:54">
      <c r="A178">
        <v>177</v>
      </c>
      <c r="B178" t="e">
        <v>#N/A</v>
      </c>
      <c r="C178" t="e">
        <v>#N/A</v>
      </c>
      <c r="D178" t="e">
        <v>#N/A</v>
      </c>
      <c r="E178" t="e">
        <v>#N/A</v>
      </c>
      <c r="F178" t="e">
        <v>#N/A</v>
      </c>
      <c r="G178" t="e">
        <v>#N/A</v>
      </c>
      <c r="H178" t="e">
        <v>#N/A</v>
      </c>
      <c r="I178" t="e">
        <v>#N/A</v>
      </c>
      <c r="J178" t="e">
        <v>#N/A</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row>
    <row r="179" spans="1:54">
      <c r="A179">
        <v>178</v>
      </c>
      <c r="B179" t="e">
        <v>#N/A</v>
      </c>
      <c r="C179" t="e">
        <v>#N/A</v>
      </c>
      <c r="D179" t="e">
        <v>#N/A</v>
      </c>
      <c r="E179" t="e">
        <v>#N/A</v>
      </c>
      <c r="F179" t="e">
        <v>#N/A</v>
      </c>
      <c r="G179" t="e">
        <v>#N/A</v>
      </c>
      <c r="H179" t="e">
        <v>#N/A</v>
      </c>
      <c r="I179" t="e">
        <v>#N/A</v>
      </c>
      <c r="J179" t="e">
        <v>#N/A</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row>
    <row r="180" spans="1:54">
      <c r="A180">
        <v>179</v>
      </c>
      <c r="B180" t="e">
        <v>#N/A</v>
      </c>
      <c r="C180" t="e">
        <v>#N/A</v>
      </c>
      <c r="D180" t="e">
        <v>#N/A</v>
      </c>
      <c r="E180" t="e">
        <v>#N/A</v>
      </c>
      <c r="F180" t="e">
        <v>#N/A</v>
      </c>
      <c r="G180" t="e">
        <v>#N/A</v>
      </c>
      <c r="H180" t="e">
        <v>#N/A</v>
      </c>
      <c r="I180" t="e">
        <v>#N/A</v>
      </c>
      <c r="J180" t="e">
        <v>#N/A</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row>
    <row r="181" spans="1:54">
      <c r="A181">
        <v>180</v>
      </c>
      <c r="B181" t="e">
        <v>#N/A</v>
      </c>
      <c r="C181" t="e">
        <v>#N/A</v>
      </c>
      <c r="D181" t="e">
        <v>#N/A</v>
      </c>
      <c r="E181" t="e">
        <v>#N/A</v>
      </c>
      <c r="F181" t="e">
        <v>#N/A</v>
      </c>
      <c r="G181" t="e">
        <v>#N/A</v>
      </c>
      <c r="H181" t="e">
        <v>#N/A</v>
      </c>
      <c r="I181" t="e">
        <v>#N/A</v>
      </c>
      <c r="J181" t="e">
        <v>#N/A</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row>
    <row r="182" spans="1:54">
      <c r="A182">
        <v>181</v>
      </c>
      <c r="B182" t="e">
        <v>#N/A</v>
      </c>
      <c r="C182" t="e">
        <v>#N/A</v>
      </c>
      <c r="D182" t="e">
        <v>#N/A</v>
      </c>
      <c r="E182" t="e">
        <v>#N/A</v>
      </c>
      <c r="F182" t="e">
        <v>#N/A</v>
      </c>
      <c r="G182" t="e">
        <v>#N/A</v>
      </c>
      <c r="H182" t="e">
        <v>#N/A</v>
      </c>
      <c r="I182" t="e">
        <v>#N/A</v>
      </c>
      <c r="J182" t="e">
        <v>#N/A</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row>
    <row r="183" spans="1:54">
      <c r="A183">
        <v>182</v>
      </c>
      <c r="B183" t="e">
        <v>#N/A</v>
      </c>
      <c r="C183" t="e">
        <v>#N/A</v>
      </c>
      <c r="D183" t="e">
        <v>#N/A</v>
      </c>
      <c r="E183" t="e">
        <v>#N/A</v>
      </c>
      <c r="F183" t="e">
        <v>#N/A</v>
      </c>
      <c r="G183" t="e">
        <v>#N/A</v>
      </c>
      <c r="H183" t="e">
        <v>#N/A</v>
      </c>
      <c r="I183" t="e">
        <v>#N/A</v>
      </c>
      <c r="J183" t="e">
        <v>#N/A</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row>
    <row r="184" spans="1:54">
      <c r="A184">
        <v>183</v>
      </c>
      <c r="B184" t="e">
        <v>#N/A</v>
      </c>
      <c r="C184" t="e">
        <v>#N/A</v>
      </c>
      <c r="D184" t="e">
        <v>#N/A</v>
      </c>
      <c r="E184" t="e">
        <v>#N/A</v>
      </c>
      <c r="F184" t="e">
        <v>#N/A</v>
      </c>
      <c r="G184" t="e">
        <v>#N/A</v>
      </c>
      <c r="H184" t="e">
        <v>#N/A</v>
      </c>
      <c r="I184" t="e">
        <v>#N/A</v>
      </c>
      <c r="J184" t="e">
        <v>#N/A</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row>
    <row r="185" spans="1:54">
      <c r="A185">
        <v>184</v>
      </c>
      <c r="B185" t="e">
        <v>#N/A</v>
      </c>
      <c r="C185" t="e">
        <v>#N/A</v>
      </c>
      <c r="D185" t="e">
        <v>#N/A</v>
      </c>
      <c r="E185" t="e">
        <v>#N/A</v>
      </c>
      <c r="F185" t="e">
        <v>#N/A</v>
      </c>
      <c r="G185" t="e">
        <v>#N/A</v>
      </c>
      <c r="H185" t="e">
        <v>#N/A</v>
      </c>
      <c r="I185" t="e">
        <v>#N/A</v>
      </c>
      <c r="J185" t="e">
        <v>#N/A</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row>
    <row r="186" spans="1:54">
      <c r="A186">
        <v>185</v>
      </c>
      <c r="B186" t="e">
        <v>#N/A</v>
      </c>
      <c r="C186" t="e">
        <v>#N/A</v>
      </c>
      <c r="D186" t="e">
        <v>#N/A</v>
      </c>
      <c r="E186" t="e">
        <v>#N/A</v>
      </c>
      <c r="F186" t="e">
        <v>#N/A</v>
      </c>
      <c r="G186" t="e">
        <v>#N/A</v>
      </c>
      <c r="H186" t="e">
        <v>#N/A</v>
      </c>
      <c r="I186" t="e">
        <v>#N/A</v>
      </c>
      <c r="J186" t="e">
        <v>#N/A</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row>
    <row r="187" spans="1:54">
      <c r="A187">
        <v>186</v>
      </c>
      <c r="B187" t="e">
        <v>#N/A</v>
      </c>
      <c r="C187" t="e">
        <v>#N/A</v>
      </c>
      <c r="D187" t="e">
        <v>#N/A</v>
      </c>
      <c r="E187" t="e">
        <v>#N/A</v>
      </c>
      <c r="F187" t="e">
        <v>#N/A</v>
      </c>
      <c r="G187" t="e">
        <v>#N/A</v>
      </c>
      <c r="H187" t="e">
        <v>#N/A</v>
      </c>
      <c r="I187" t="e">
        <v>#N/A</v>
      </c>
      <c r="J187" t="e">
        <v>#N/A</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row>
    <row r="188" spans="1:54">
      <c r="A188">
        <v>187</v>
      </c>
      <c r="B188" t="e">
        <v>#N/A</v>
      </c>
      <c r="C188" t="e">
        <v>#N/A</v>
      </c>
      <c r="D188" t="e">
        <v>#N/A</v>
      </c>
      <c r="E188" t="e">
        <v>#N/A</v>
      </c>
      <c r="F188" t="e">
        <v>#N/A</v>
      </c>
      <c r="G188" t="e">
        <v>#N/A</v>
      </c>
      <c r="H188" t="e">
        <v>#N/A</v>
      </c>
      <c r="I188" t="e">
        <v>#N/A</v>
      </c>
      <c r="J188" t="e">
        <v>#N/A</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row>
    <row r="189" spans="1:54">
      <c r="A189">
        <v>188</v>
      </c>
      <c r="B189" t="e">
        <v>#N/A</v>
      </c>
      <c r="C189" t="e">
        <v>#N/A</v>
      </c>
      <c r="D189" t="e">
        <v>#N/A</v>
      </c>
      <c r="E189" t="e">
        <v>#N/A</v>
      </c>
      <c r="F189" t="e">
        <v>#N/A</v>
      </c>
      <c r="G189" t="e">
        <v>#N/A</v>
      </c>
      <c r="H189" t="e">
        <v>#N/A</v>
      </c>
      <c r="I189" t="e">
        <v>#N/A</v>
      </c>
      <c r="J189" t="e">
        <v>#N/A</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row>
    <row r="190" spans="1:54">
      <c r="A190">
        <v>189</v>
      </c>
      <c r="B190" t="e">
        <v>#N/A</v>
      </c>
      <c r="C190" t="e">
        <v>#N/A</v>
      </c>
      <c r="D190" t="e">
        <v>#N/A</v>
      </c>
      <c r="E190" t="e">
        <v>#N/A</v>
      </c>
      <c r="F190" t="e">
        <v>#N/A</v>
      </c>
      <c r="G190" t="e">
        <v>#N/A</v>
      </c>
      <c r="H190" t="e">
        <v>#N/A</v>
      </c>
      <c r="I190" t="e">
        <v>#N/A</v>
      </c>
      <c r="J190" t="e">
        <v>#N/A</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row>
    <row r="191" spans="1:54">
      <c r="A191">
        <v>190</v>
      </c>
      <c r="B191" t="e">
        <v>#N/A</v>
      </c>
      <c r="C191" t="e">
        <v>#N/A</v>
      </c>
      <c r="D191" t="e">
        <v>#N/A</v>
      </c>
      <c r="E191" t="e">
        <v>#N/A</v>
      </c>
      <c r="F191" t="e">
        <v>#N/A</v>
      </c>
      <c r="G191" t="e">
        <v>#N/A</v>
      </c>
      <c r="H191" t="e">
        <v>#N/A</v>
      </c>
      <c r="I191" t="e">
        <v>#N/A</v>
      </c>
      <c r="J191" t="e">
        <v>#N/A</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row>
    <row r="192" spans="1:54">
      <c r="A192">
        <v>191</v>
      </c>
      <c r="B192" t="e">
        <v>#N/A</v>
      </c>
      <c r="C192" t="e">
        <v>#N/A</v>
      </c>
      <c r="D192" t="e">
        <v>#N/A</v>
      </c>
      <c r="E192" t="e">
        <v>#N/A</v>
      </c>
      <c r="F192" t="e">
        <v>#N/A</v>
      </c>
      <c r="G192" t="e">
        <v>#N/A</v>
      </c>
      <c r="H192" t="e">
        <v>#N/A</v>
      </c>
      <c r="I192" t="e">
        <v>#N/A</v>
      </c>
      <c r="J192" t="e">
        <v>#N/A</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row>
    <row r="193" spans="1:54">
      <c r="A193">
        <v>192</v>
      </c>
      <c r="B193" t="e">
        <v>#N/A</v>
      </c>
      <c r="C193" t="e">
        <v>#N/A</v>
      </c>
      <c r="D193" t="e">
        <v>#N/A</v>
      </c>
      <c r="E193" t="e">
        <v>#N/A</v>
      </c>
      <c r="F193" t="e">
        <v>#N/A</v>
      </c>
      <c r="G193" t="e">
        <v>#N/A</v>
      </c>
      <c r="H193" t="e">
        <v>#N/A</v>
      </c>
      <c r="I193" t="e">
        <v>#N/A</v>
      </c>
      <c r="J193" t="e">
        <v>#N/A</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row>
    <row r="194" spans="1:54">
      <c r="A194">
        <v>193</v>
      </c>
      <c r="B194" t="e">
        <v>#N/A</v>
      </c>
      <c r="C194" t="e">
        <v>#N/A</v>
      </c>
      <c r="D194" t="e">
        <v>#N/A</v>
      </c>
      <c r="E194" t="e">
        <v>#N/A</v>
      </c>
      <c r="F194" t="e">
        <v>#N/A</v>
      </c>
      <c r="G194" t="e">
        <v>#N/A</v>
      </c>
      <c r="H194" t="e">
        <v>#N/A</v>
      </c>
      <c r="I194" t="e">
        <v>#N/A</v>
      </c>
      <c r="J194" t="e">
        <v>#N/A</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row>
    <row r="195" spans="1:54">
      <c r="A195">
        <v>194</v>
      </c>
      <c r="B195" t="e">
        <v>#N/A</v>
      </c>
      <c r="C195" t="e">
        <v>#N/A</v>
      </c>
      <c r="D195" t="e">
        <v>#N/A</v>
      </c>
      <c r="E195" t="e">
        <v>#N/A</v>
      </c>
      <c r="F195" t="e">
        <v>#N/A</v>
      </c>
      <c r="G195" t="e">
        <v>#N/A</v>
      </c>
      <c r="H195" t="e">
        <v>#N/A</v>
      </c>
      <c r="I195" t="e">
        <v>#N/A</v>
      </c>
      <c r="J195" t="e">
        <v>#N/A</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row>
    <row r="196" spans="1:54">
      <c r="A196">
        <v>195</v>
      </c>
      <c r="B196" t="e">
        <v>#N/A</v>
      </c>
      <c r="C196" t="e">
        <v>#N/A</v>
      </c>
      <c r="D196" t="e">
        <v>#N/A</v>
      </c>
      <c r="E196" t="e">
        <v>#N/A</v>
      </c>
      <c r="F196" t="e">
        <v>#N/A</v>
      </c>
      <c r="G196" t="e">
        <v>#N/A</v>
      </c>
      <c r="H196" t="e">
        <v>#N/A</v>
      </c>
      <c r="I196" t="e">
        <v>#N/A</v>
      </c>
      <c r="J196" t="e">
        <v>#N/A</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row>
    <row r="197" spans="1:54">
      <c r="A197">
        <v>196</v>
      </c>
      <c r="B197" t="e">
        <v>#N/A</v>
      </c>
      <c r="C197" t="e">
        <v>#N/A</v>
      </c>
      <c r="D197" t="e">
        <v>#N/A</v>
      </c>
      <c r="E197" t="e">
        <v>#N/A</v>
      </c>
      <c r="F197" t="e">
        <v>#N/A</v>
      </c>
      <c r="G197" t="e">
        <v>#N/A</v>
      </c>
      <c r="H197" t="e">
        <v>#N/A</v>
      </c>
      <c r="I197" t="e">
        <v>#N/A</v>
      </c>
      <c r="J197" t="e">
        <v>#N/A</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row>
    <row r="198" spans="1:54">
      <c r="A198">
        <v>197</v>
      </c>
      <c r="B198" t="e">
        <v>#N/A</v>
      </c>
      <c r="C198" t="e">
        <v>#N/A</v>
      </c>
      <c r="D198" t="e">
        <v>#N/A</v>
      </c>
      <c r="E198" t="e">
        <v>#N/A</v>
      </c>
      <c r="F198" t="e">
        <v>#N/A</v>
      </c>
      <c r="G198" t="e">
        <v>#N/A</v>
      </c>
      <c r="H198" t="e">
        <v>#N/A</v>
      </c>
      <c r="I198" t="e">
        <v>#N/A</v>
      </c>
      <c r="J198" t="e">
        <v>#N/A</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row>
    <row r="199" spans="1:54">
      <c r="A199">
        <v>198</v>
      </c>
      <c r="B199" t="e">
        <v>#N/A</v>
      </c>
      <c r="C199" t="e">
        <v>#N/A</v>
      </c>
      <c r="D199" t="e">
        <v>#N/A</v>
      </c>
      <c r="E199" t="e">
        <v>#N/A</v>
      </c>
      <c r="F199" t="e">
        <v>#N/A</v>
      </c>
      <c r="G199" t="e">
        <v>#N/A</v>
      </c>
      <c r="H199" t="e">
        <v>#N/A</v>
      </c>
      <c r="I199" t="e">
        <v>#N/A</v>
      </c>
      <c r="J199" t="e">
        <v>#N/A</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row>
    <row r="200" spans="1:54">
      <c r="A200">
        <v>199</v>
      </c>
      <c r="B200" t="e">
        <v>#N/A</v>
      </c>
      <c r="C200" t="e">
        <v>#N/A</v>
      </c>
      <c r="D200" t="e">
        <v>#N/A</v>
      </c>
      <c r="E200" t="e">
        <v>#N/A</v>
      </c>
      <c r="F200" t="e">
        <v>#N/A</v>
      </c>
      <c r="G200" t="e">
        <v>#N/A</v>
      </c>
      <c r="H200" t="e">
        <v>#N/A</v>
      </c>
      <c r="I200" t="e">
        <v>#N/A</v>
      </c>
      <c r="J200" t="e">
        <v>#N/A</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row>
    <row r="201" spans="1:54">
      <c r="A201">
        <v>200</v>
      </c>
      <c r="B201" t="e">
        <v>#N/A</v>
      </c>
      <c r="C201" t="e">
        <v>#N/A</v>
      </c>
      <c r="D201" t="e">
        <v>#N/A</v>
      </c>
      <c r="E201" t="e">
        <v>#N/A</v>
      </c>
      <c r="F201" t="e">
        <v>#N/A</v>
      </c>
      <c r="G201" t="e">
        <v>#N/A</v>
      </c>
      <c r="H201" t="e">
        <v>#N/A</v>
      </c>
      <c r="I201" t="e">
        <v>#N/A</v>
      </c>
      <c r="J201" t="e">
        <v>#N/A</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row>
  </sheetData>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9227BC-801D-4670-AD1D-8323DE55D2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FF256-E679-436C-A048-2BB105767EC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09e547d-5d8b-44e7-a14b-8000c5fc3681"/>
    <ds:schemaRef ds:uri="http://www.w3.org/XML/1998/namespace"/>
    <ds:schemaRef ds:uri="http://purl.org/dc/dcmitype/"/>
  </ds:schemaRefs>
</ds:datastoreItem>
</file>

<file path=customXml/itemProps3.xml><?xml version="1.0" encoding="utf-8"?>
<ds:datastoreItem xmlns:ds="http://schemas.openxmlformats.org/officeDocument/2006/customXml" ds:itemID="{74499522-5C98-4C04-BBE7-8F7237A46D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 P&amp;L</vt:lpstr>
      <vt:lpstr>Combined P&amp;L (detailed)</vt:lpstr>
      <vt:lpstr>Federal P&amp;L (detailed)</vt:lpstr>
      <vt:lpstr>State and Local P&amp;L (detailed)</vt:lpstr>
      <vt:lpstr>Combined P&amp;L</vt:lpstr>
      <vt:lpstr>Federal P&amp;L</vt:lpstr>
      <vt:lpstr>State and Local P&amp;L</vt:lpstr>
      <vt:lpstr>Federal Data</vt:lpstr>
      <vt:lpstr>S&amp;L Data</vt:lpstr>
      <vt:lpstr>Trust Funds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2017-01-03T00:27:10Z</dcterms:created>
  <dcterms:modified xsi:type="dcterms:W3CDTF">2017-03-29T18:39:18Z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