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DRIVE\Scuttle\Org_Manufacturing\"/>
    </mc:Choice>
  </mc:AlternateContent>
  <xr:revisionPtr revIDLastSave="0" documentId="13_ncr:1_{19713612-4392-46B5-8048-16D32C0D12EA}" xr6:coauthVersionLast="47" xr6:coauthVersionMax="47" xr10:uidLastSave="{00000000-0000-0000-0000-000000000000}"/>
  <bookViews>
    <workbookView xWindow="3600" yWindow="1890" windowWidth="23160" windowHeight="12180" xr2:uid="{E87B6D0B-B56F-4BF9-8E14-DB93351CBCC0}"/>
  </bookViews>
  <sheets>
    <sheet name="BOM_usa" sheetId="1" r:id="rId1"/>
    <sheet name="detail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0" i="1" l="1"/>
  <c r="H69" i="1"/>
  <c r="F26" i="1"/>
  <c r="H26" i="1" s="1"/>
  <c r="F36" i="1"/>
  <c r="H36" i="1" s="1"/>
  <c r="H19" i="1"/>
  <c r="H21" i="1"/>
  <c r="H67" i="1"/>
  <c r="C11" i="1" s="1"/>
  <c r="H61" i="1"/>
  <c r="H60" i="1"/>
  <c r="H55" i="1"/>
  <c r="F54" i="1"/>
  <c r="H54" i="1" s="1"/>
  <c r="F53" i="1"/>
  <c r="H53" i="1" s="1"/>
  <c r="F52" i="1"/>
  <c r="H52" i="1" s="1"/>
  <c r="F51" i="1"/>
  <c r="H51" i="1" s="1"/>
  <c r="H50" i="1"/>
  <c r="F49" i="1"/>
  <c r="H49" i="1" s="1"/>
  <c r="F48" i="1"/>
  <c r="H48" i="1" s="1"/>
  <c r="H47" i="1"/>
  <c r="F46" i="1"/>
  <c r="H46" i="1" s="1"/>
  <c r="H45" i="1"/>
  <c r="H44" i="1"/>
  <c r="H43" i="1"/>
  <c r="H42" i="1"/>
  <c r="F37" i="1"/>
  <c r="H37" i="1" s="1"/>
  <c r="F35" i="1"/>
  <c r="H35" i="1" s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5" i="1"/>
  <c r="H25" i="1" s="1"/>
  <c r="F24" i="1"/>
  <c r="H24" i="1" s="1"/>
  <c r="F23" i="1"/>
  <c r="H23" i="1" s="1"/>
  <c r="F22" i="1"/>
  <c r="H22" i="1" s="1"/>
  <c r="F20" i="1"/>
  <c r="H20" i="1" s="1"/>
  <c r="F18" i="1"/>
  <c r="H18" i="1" s="1"/>
  <c r="F17" i="1"/>
  <c r="H17" i="1" s="1"/>
  <c r="C10" i="1" l="1"/>
  <c r="C9" i="1"/>
  <c r="C8" i="1"/>
  <c r="F9" i="1" l="1"/>
  <c r="F8" i="1"/>
</calcChain>
</file>

<file path=xl/sharedStrings.xml><?xml version="1.0" encoding="utf-8"?>
<sst xmlns="http://schemas.openxmlformats.org/spreadsheetml/2006/main" count="358" uniqueCount="195">
  <si>
    <t>Part</t>
  </si>
  <si>
    <t>cost (each)</t>
  </si>
  <si>
    <t>Mechanical</t>
  </si>
  <si>
    <t>chassis</t>
  </si>
  <si>
    <t>amazon</t>
  </si>
  <si>
    <t>Wheel, urethane 83mm, with bearings (pair)</t>
  </si>
  <si>
    <t>B07531B4GK</t>
  </si>
  <si>
    <t>2022.05</t>
  </si>
  <si>
    <t>B07BQR7WX8</t>
  </si>
  <si>
    <t>2021.10</t>
  </si>
  <si>
    <t>Mcmaster</t>
  </si>
  <si>
    <t>Timing Belt, 5mm pitch, 245mm length, 9mm width</t>
  </si>
  <si>
    <t>B08PW2HD81</t>
  </si>
  <si>
    <t>Hex Nut, M8 (for axle)</t>
  </si>
  <si>
    <t>90591A161</t>
  </si>
  <si>
    <t>T-slot Framing Extrusion - 30mm x 1ft (for chassis)</t>
  </si>
  <si>
    <t>5537T97</t>
  </si>
  <si>
    <t>Caster wheels (for front)</t>
  </si>
  <si>
    <t>B01J4FED5E</t>
  </si>
  <si>
    <t>Screws - M8x110mm screw (axles)</t>
  </si>
  <si>
    <t>91290A470</t>
  </si>
  <si>
    <t>Screws, M6 x 14mm (for motor plates)</t>
  </si>
  <si>
    <t>91239A319</t>
  </si>
  <si>
    <t>2019.11</t>
  </si>
  <si>
    <t>Screws - M6 x 10mm (for casters &amp; chassis brackets)</t>
  </si>
  <si>
    <t xml:space="preserve">91239A316 </t>
  </si>
  <si>
    <t>McMaster</t>
  </si>
  <si>
    <t>Screw,  set screw, M5x0.6 (for motor pulley)</t>
  </si>
  <si>
    <t>91390A118</t>
  </si>
  <si>
    <t>Screw, Flat head, M3x10mm (for motors 6)</t>
  </si>
  <si>
    <t>92010A120</t>
  </si>
  <si>
    <t>Screw, self-tapping, M2 x 6mm, for plastic (for encdr brkt 4, ultrsnc brkt 4)</t>
  </si>
  <si>
    <t>B00GMQDSRI</t>
  </si>
  <si>
    <t>Screw, M2.5x10mm countersunk (for battery case)</t>
  </si>
  <si>
    <t>92010A020</t>
  </si>
  <si>
    <t>Screw, M2.5x6mm pan head (for motor driver mount 2, bbb lid 1)</t>
  </si>
  <si>
    <t>92005A066</t>
  </si>
  <si>
    <t>Nut, M6 nickel-plated steel for 3030 T-slot extrusion</t>
  </si>
  <si>
    <t>B077Z2HX42</t>
  </si>
  <si>
    <t>92148A200</t>
  </si>
  <si>
    <t>Washer, flat washer for M8 Bolt (for axles)</t>
  </si>
  <si>
    <t>93475A270</t>
  </si>
  <si>
    <t>Washer, 6x12mm (wheelBrackets)</t>
  </si>
  <si>
    <t>93475A250</t>
  </si>
  <si>
    <t>Washer, M6, split lock (for casters)</t>
  </si>
  <si>
    <t>91202A234</t>
  </si>
  <si>
    <t>Threaded insert, M2.5 x 3.4 heat set (btry 2, whlplts 4, m.driver 2)</t>
  </si>
  <si>
    <t>94180A321</t>
  </si>
  <si>
    <t>Electronics</t>
  </si>
  <si>
    <t>mouser</t>
  </si>
  <si>
    <t>Raspberry Pi 4, 2gb RAM</t>
  </si>
  <si>
    <t>actuator</t>
  </si>
  <si>
    <t>Motor Driver Board with Twin MC33886 H-Bridges (HW-231 model)</t>
  </si>
  <si>
    <t>B07VHFCYFQ</t>
  </si>
  <si>
    <t>Motor, DC 12v with 200 rpm gearbox (for drivetrain)</t>
  </si>
  <si>
    <t>B072R5QSRG</t>
  </si>
  <si>
    <t>Sensors</t>
  </si>
  <si>
    <t xml:space="preserve">Camera, USB, 2.1mm focal len, 150 deg FOV, </t>
  </si>
  <si>
    <t>‎B07QSTPGR8</t>
  </si>
  <si>
    <t>power</t>
  </si>
  <si>
    <t>Battery cell, Panasonic 18650 or other brand</t>
  </si>
  <si>
    <t>B00GS48XRE</t>
  </si>
  <si>
    <t>Encoder, AMS5048B, circuit boards</t>
  </si>
  <si>
    <t>connectors</t>
  </si>
  <si>
    <t>powerwerx</t>
  </si>
  <si>
    <t>Anderson PowerPole Connectors, 30amp</t>
  </si>
  <si>
    <t>WP30-100</t>
  </si>
  <si>
    <t>digikey</t>
  </si>
  <si>
    <t>Battery Tray, 3 cell li-ion  (BK-18650-PC6 on digikey)</t>
  </si>
  <si>
    <t>BK-18650-PC6</t>
  </si>
  <si>
    <t>Switch, rocker, SPST 10A BLK ON-OFF Symbols (for battery case)</t>
  </si>
  <si>
    <t>SRB22A2FBBNN</t>
  </si>
  <si>
    <t>Terminals - 22-16 AWG Insulated Female Quick Connect Terminal</t>
  </si>
  <si>
    <t>B06XCWFTJ9</t>
  </si>
  <si>
    <t>Power Wire - 18 AWG (black/red pair), price listed per meter</t>
  </si>
  <si>
    <t>B07428NBCW</t>
  </si>
  <si>
    <t>Wiring</t>
  </si>
  <si>
    <t>Cable, 20cm ribbon, with female Dupont terminals (i2c board ►encoders)</t>
  </si>
  <si>
    <t>B07GCY6CH7</t>
  </si>
  <si>
    <t>2022.06</t>
  </si>
  <si>
    <t>Cable, 10cm ribbon, with female Dupont terminals (pi►motor driver)</t>
  </si>
  <si>
    <t>B07GD312VG</t>
  </si>
  <si>
    <t>Connector - barrell, 5.5x2.1mm, power (for beaglebone)</t>
  </si>
  <si>
    <t>battery management system (BMS) circuit board, 3S, 40A</t>
  </si>
  <si>
    <t>B07JMY631D</t>
  </si>
  <si>
    <t>battery cell charger, 18650</t>
  </si>
  <si>
    <t>B08DNQXB1C</t>
  </si>
  <si>
    <t>3D Print</t>
  </si>
  <si>
    <t>Amazon</t>
  </si>
  <si>
    <t>B07D6BG8FR</t>
  </si>
  <si>
    <t>JLCPCB</t>
  </si>
  <si>
    <t>off-the-shelf</t>
  </si>
  <si>
    <t>EasySMX model 9101 2.4GHz Game Pad Controller, with USB dongle</t>
  </si>
  <si>
    <t>B01KV7B2CG</t>
  </si>
  <si>
    <t>Category</t>
  </si>
  <si>
    <t>Bracket - 90deg aluminum, for 3030 (for chassis)</t>
  </si>
  <si>
    <t>updated</t>
  </si>
  <si>
    <t>Mechanical Parts</t>
  </si>
  <si>
    <t>subtotal</t>
  </si>
  <si>
    <t>PN_990600491</t>
  </si>
  <si>
    <t>standard</t>
  </si>
  <si>
    <t>full kit</t>
  </si>
  <si>
    <t>cost</t>
  </si>
  <si>
    <t>build variation</t>
  </si>
  <si>
    <t>qty</t>
  </si>
  <si>
    <t>3D Printing</t>
  </si>
  <si>
    <t>Extras (kit parts)</t>
  </si>
  <si>
    <t>detail</t>
  </si>
  <si>
    <t>wheel</t>
  </si>
  <si>
    <t>bracket 90deg</t>
  </si>
  <si>
    <t>nut, m8</t>
  </si>
  <si>
    <t>extrusion, 3030</t>
  </si>
  <si>
    <t>caster</t>
  </si>
  <si>
    <t>screw, m8x110</t>
  </si>
  <si>
    <t>author</t>
  </si>
  <si>
    <t>David Malawey</t>
  </si>
  <si>
    <t>camera</t>
  </si>
  <si>
    <t>motor</t>
  </si>
  <si>
    <t>battery cell</t>
  </si>
  <si>
    <t>battery tray</t>
  </si>
  <si>
    <t>encoder</t>
  </si>
  <si>
    <t>switch</t>
  </si>
  <si>
    <t>connector, anderson</t>
  </si>
  <si>
    <t>pi</t>
  </si>
  <si>
    <t>gamepad</t>
  </si>
  <si>
    <t>pcb, battery</t>
  </si>
  <si>
    <t>terminal, spade</t>
  </si>
  <si>
    <t>terminal, barrell</t>
  </si>
  <si>
    <t>bms</t>
  </si>
  <si>
    <t>Name</t>
  </si>
  <si>
    <t>screw, m6</t>
  </si>
  <si>
    <t>screw, m6 x 10</t>
  </si>
  <si>
    <t>screw, m5</t>
  </si>
  <si>
    <t>Detail</t>
  </si>
  <si>
    <t>Cost by Category</t>
  </si>
  <si>
    <t>Cost by Kit</t>
  </si>
  <si>
    <t>screw, m3x10</t>
  </si>
  <si>
    <t>screw, tapping m2</t>
  </si>
  <si>
    <t>screw, m2.5x10</t>
  </si>
  <si>
    <t>screw, m2.5x6</t>
  </si>
  <si>
    <t>nut, m6 dropin</t>
  </si>
  <si>
    <t>washer, m8 flat</t>
  </si>
  <si>
    <t>washer, m8 spring</t>
  </si>
  <si>
    <t>Washer, lock spring washer for M8 bolt (for axles)</t>
  </si>
  <si>
    <t>washer, m6</t>
  </si>
  <si>
    <t>washer, m6 spring</t>
  </si>
  <si>
    <t>threaded insert, m2.5</t>
  </si>
  <si>
    <t>rail, DIN</t>
  </si>
  <si>
    <t>rail, DIN, steel, 35mm width, 305mm length</t>
  </si>
  <si>
    <t>micro SD card</t>
  </si>
  <si>
    <t>micro SD card, Samsung Evo Plus 32GB</t>
  </si>
  <si>
    <t>allen key, 6mm</t>
  </si>
  <si>
    <t>6mm hex key, allen wrench, for M8 socket-head machine screws</t>
  </si>
  <si>
    <t>About: Tables designed to extract part descriptions from main BOM sheet.  Appears to have remnants from version 2.0 robot which requires updating.  Purpose for today is simplifying BOM formatting.</t>
  </si>
  <si>
    <t>Filament, ABS, 1.75mm, 1kg spool, Green Gizmodorks or Blue Novamaker</t>
  </si>
  <si>
    <t>B079VV2W7P</t>
  </si>
  <si>
    <t>rail, DIN, 305mm</t>
  </si>
  <si>
    <t>charger, battery</t>
  </si>
  <si>
    <t>belt, timing, 5M</t>
  </si>
  <si>
    <t>filament, ABS</t>
  </si>
  <si>
    <t>compute</t>
  </si>
  <si>
    <t>B0749KG1JK</t>
  </si>
  <si>
    <t>Printing</t>
  </si>
  <si>
    <t>Kit Parts</t>
  </si>
  <si>
    <t>Author</t>
  </si>
  <si>
    <t>store</t>
  </si>
  <si>
    <t>category</t>
  </si>
  <si>
    <t>part</t>
  </si>
  <si>
    <t>part no.</t>
  </si>
  <si>
    <t>last update</t>
  </si>
  <si>
    <t>costs are computed by counting parts for 1 robot.</t>
  </si>
  <si>
    <t>when buying parts, some products contain larger quantities than required.</t>
  </si>
  <si>
    <t>This BOM denotes the cost of such parts per robot quantity</t>
  </si>
  <si>
    <t>battery charger</t>
  </si>
  <si>
    <t>battery circuit</t>
  </si>
  <si>
    <t>custom design</t>
  </si>
  <si>
    <t>raspberry pi 4</t>
  </si>
  <si>
    <t>computer</t>
  </si>
  <si>
    <t>wiring</t>
  </si>
  <si>
    <t>cable, dupont 20cm</t>
  </si>
  <si>
    <t>cable, dupont 10cm</t>
  </si>
  <si>
    <t>wire, paired 18awg</t>
  </si>
  <si>
    <t>motor driver</t>
  </si>
  <si>
    <t>Electronics Parts</t>
  </si>
  <si>
    <t>Extras (SCUTTLE Kit parts)</t>
  </si>
  <si>
    <t>grainger</t>
  </si>
  <si>
    <t>allen key, 6mm hex</t>
  </si>
  <si>
    <t>54TU80</t>
  </si>
  <si>
    <t>tools</t>
  </si>
  <si>
    <t>Custom PCB (optional, saves work) found on grabCAD (keyword: scuttle battery v3)</t>
  </si>
  <si>
    <t>3D Printing / Fabricated Parts</t>
  </si>
  <si>
    <t>Parts Details, SCUTTLE v3.0</t>
  </si>
  <si>
    <t>SCUTTLE BOM, USA, v3.0</t>
  </si>
  <si>
    <t>join our SCUTTLE discord if you see errors or have questions!</t>
  </si>
  <si>
    <t>This version of the bill of materials for SCUTTLE v3 informs vendors and part numbers for sourcing parts that match our original designs.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</si>
</sst>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.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4" fillId="0" borderId="1" xfId="3"/>
    <xf numFmtId="0" fontId="6" fillId="0" borderId="0" xfId="5"/>
    <xf numFmtId="0" fontId="5" fillId="0" borderId="2" xfId="4"/>
    <xf numFmtId="0" fontId="8" fillId="0" borderId="0" xfId="0" applyFont="1"/>
    <xf numFmtId="0" fontId="8" fillId="0" borderId="0" xfId="0" applyFont="1" applyAlignment="1">
      <alignment horizontal="right"/>
    </xf>
    <xf numFmtId="0" fontId="10" fillId="0" borderId="0" xfId="5" applyFont="1" applyFill="1"/>
    <xf numFmtId="0" fontId="3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 indent="1"/>
    </xf>
    <xf numFmtId="2" fontId="8" fillId="0" borderId="0" xfId="0" applyNumberFormat="1" applyFont="1"/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14" fontId="6" fillId="0" borderId="0" xfId="5" applyNumberFormat="1" applyAlignment="1">
      <alignment horizontal="left"/>
    </xf>
    <xf numFmtId="0" fontId="6" fillId="0" borderId="0" xfId="5" applyAlignment="1">
      <alignment horizontal="right" indent="1"/>
    </xf>
    <xf numFmtId="164" fontId="11" fillId="0" borderId="0" xfId="0" applyNumberFormat="1" applyFont="1" applyAlignment="1">
      <alignment horizontal="left" indent="1"/>
    </xf>
    <xf numFmtId="164" fontId="0" fillId="0" borderId="0" xfId="0" applyNumberFormat="1" applyAlignment="1">
      <alignment horizontal="left" indent="1"/>
    </xf>
    <xf numFmtId="164" fontId="8" fillId="0" borderId="0" xfId="0" applyNumberFormat="1" applyFont="1" applyAlignment="1">
      <alignment horizontal="left" indent="1"/>
    </xf>
    <xf numFmtId="0" fontId="8" fillId="0" borderId="0" xfId="0" applyFont="1" applyAlignment="1">
      <alignment horizontal="right" indent="1"/>
    </xf>
    <xf numFmtId="0" fontId="10" fillId="0" borderId="0" xfId="5" applyFont="1" applyFill="1" applyAlignment="1">
      <alignment horizontal="right" indent="1"/>
    </xf>
    <xf numFmtId="0" fontId="0" fillId="0" borderId="0" xfId="0" applyAlignment="1">
      <alignment horizontal="left" indent="1"/>
    </xf>
    <xf numFmtId="0" fontId="6" fillId="0" borderId="0" xfId="5" applyAlignment="1"/>
    <xf numFmtId="0" fontId="9" fillId="0" borderId="0" xfId="0" applyFont="1"/>
    <xf numFmtId="164" fontId="8" fillId="0" borderId="0" xfId="0" applyNumberFormat="1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2" fontId="0" fillId="2" borderId="0" xfId="0" applyNumberFormat="1" applyFill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 indent="1"/>
    </xf>
    <xf numFmtId="0" fontId="0" fillId="0" borderId="0" xfId="0" quotePrefix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0" fontId="2" fillId="0" borderId="0" xfId="2" applyFill="1" applyBorder="1" applyAlignment="1">
      <alignment horizontal="left"/>
    </xf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6" fillId="0" borderId="0" xfId="5" applyAlignment="1">
      <alignment horizontal="right" vertical="top"/>
    </xf>
    <xf numFmtId="0" fontId="6" fillId="0" borderId="0" xfId="5" applyAlignment="1">
      <alignment vertical="top"/>
    </xf>
    <xf numFmtId="0" fontId="6" fillId="0" borderId="0" xfId="5" applyAlignment="1">
      <alignment horizontal="right"/>
    </xf>
    <xf numFmtId="0" fontId="6" fillId="0" borderId="0" xfId="5" applyAlignment="1">
      <alignment horizontal="left" indent="1"/>
    </xf>
    <xf numFmtId="0" fontId="6" fillId="0" borderId="1" xfId="5" applyBorder="1"/>
    <xf numFmtId="0" fontId="6" fillId="0" borderId="0" xfId="5" applyAlignment="1">
      <alignment horizontal="left" wrapText="1"/>
    </xf>
    <xf numFmtId="0" fontId="6" fillId="0" borderId="0" xfId="5" applyAlignment="1">
      <alignment horizontal="left"/>
    </xf>
  </cellXfs>
  <cellStyles count="6">
    <cellStyle name="Comma" xfId="1" builtinId="3"/>
    <cellStyle name="Explanatory Text" xfId="5" builtinId="53"/>
    <cellStyle name="Heading 1" xfId="3" builtinId="16"/>
    <cellStyle name="Heading 2" xfId="4" builtinId="17"/>
    <cellStyle name="Hyperlink" xfId="2" builtinId="8"/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21DBFB-9A27-46C0-B015-4314C0C3AA0F}" name="Table1" displayName="Table1" ref="B16:I37" totalsRowShown="0" headerRowDxfId="62" dataDxfId="61">
  <autoFilter ref="B16:I37" xr:uid="{9B21DBFB-9A27-46C0-B015-4314C0C3AA0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1AD1016-6A32-4B0E-BE49-86D8B4556F36}" name="category" dataDxfId="60"/>
    <tableColumn id="2" xr3:uid="{88B8D2C8-16C7-4D0A-AB68-8E793C6176A6}" name="store" dataDxfId="59"/>
    <tableColumn id="3" xr3:uid="{8359AEC1-9283-41D7-9E50-348B360281C4}" name="part" dataDxfId="58"/>
    <tableColumn id="4" xr3:uid="{E0D91CEC-9416-4E6F-B280-D79027026421}" name="part no." dataDxfId="57"/>
    <tableColumn id="5" xr3:uid="{B6133166-DD4D-4058-A39B-BAFF9E4CEAC8}" name="cost (each)" dataDxfId="56"/>
    <tableColumn id="6" xr3:uid="{60F8C546-E0AB-4207-8880-F015AF56F2B8}" name="qty" dataDxfId="55"/>
    <tableColumn id="7" xr3:uid="{9C881785-5212-4A0F-B3B6-AF4348901745}" name="subtotal" dataDxfId="54">
      <calculatedColumnFormula>G17*F17</calculatedColumnFormula>
    </tableColumn>
    <tableColumn id="8" xr3:uid="{82A47205-B820-4F15-929C-087546358094}" name="last update" dataDxfId="53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4F0F744-E18A-47D1-AF8A-CD14D659C7DB}" name="Table613" displayName="Table613" ref="C51:D53" totalsRowShown="0">
  <autoFilter ref="C51:D53" xr:uid="{4B79E55E-64F4-4246-AD2E-99983573D9FB}">
    <filterColumn colId="0" hiddenButton="1"/>
    <filterColumn colId="1" hiddenButton="1"/>
  </autoFilter>
  <tableColumns count="2">
    <tableColumn id="2" xr3:uid="{A69C9BC7-6DEB-4AC3-B283-2314B4C9E69E}" name="Part" dataDxfId="1"/>
    <tableColumn id="3" xr3:uid="{5732F3B0-9874-49E6-9F7A-709DC67FFAB9}" name="detail" dataDxfId="0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91AD60-7AA6-4890-B33C-55D16B89767B}" name="Table2" displayName="Table2" ref="B41:I55" totalsRowShown="0" headerRowDxfId="52" dataDxfId="51">
  <autoFilter ref="B41:I55" xr:uid="{1091AD60-7AA6-4890-B33C-55D16B89767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83ACE31-E1C6-4323-A816-2FC75EA528BD}" name="category" dataDxfId="50"/>
    <tableColumn id="2" xr3:uid="{26FC0A30-9881-4FC3-A0E5-AC172675FE22}" name="store" dataDxfId="49"/>
    <tableColumn id="3" xr3:uid="{DD1AE55B-8F1E-483F-904F-B15087E60FDA}" name="part" dataDxfId="48"/>
    <tableColumn id="4" xr3:uid="{E747D6BC-ABB6-4CCB-888D-21D48E4B7B9B}" name="part no." dataDxfId="47"/>
    <tableColumn id="5" xr3:uid="{BFCB0B97-A1BA-42B8-83D4-D7E4718995CF}" name="cost (each)" dataDxfId="46"/>
    <tableColumn id="6" xr3:uid="{FC8B17D4-A367-4FAB-B1AA-754A9D3593E3}" name="qty" dataDxfId="45"/>
    <tableColumn id="7" xr3:uid="{861E9226-A65C-497E-885B-CD2A40DBA90A}" name="subtotal" dataDxfId="44">
      <calculatedColumnFormula>G42*F42</calculatedColumnFormula>
    </tableColumn>
    <tableColumn id="8" xr3:uid="{45141A8D-323E-4FB7-B1B2-8080FC005513}" name="last update" dataDxfId="43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5B152B-E462-4790-9098-681349B5ECA6}" name="Table3" displayName="Table3" ref="B7:C11" totalsRowShown="0" headerRowDxfId="42" dataDxfId="41" headerRowCellStyle="Explanatory Text">
  <autoFilter ref="B7:C11" xr:uid="{375B152B-E462-4790-9098-681349B5ECA6}">
    <filterColumn colId="0" hiddenButton="1"/>
    <filterColumn colId="1" hiddenButton="1"/>
  </autoFilter>
  <tableColumns count="2">
    <tableColumn id="1" xr3:uid="{10CEB741-CFDF-4231-A225-1E8A6A8F51FE}" name="Category" dataDxfId="40" dataCellStyle="Explanatory Text"/>
    <tableColumn id="2" xr3:uid="{1AB07A74-3FC7-4F2E-B5AC-33754693864D}" name="subtotal" dataDxfId="39"/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73A5AB-57C1-4A21-9ACD-B9169F2FD358}" name="Table4" displayName="Table4" ref="E7:F9" totalsRowShown="0" headerRowDxfId="38" dataDxfId="37">
  <autoFilter ref="E7:F9" xr:uid="{9C73A5AB-57C1-4A21-9ACD-B9169F2FD358}">
    <filterColumn colId="0" hiddenButton="1"/>
    <filterColumn colId="1" hiddenButton="1"/>
  </autoFilter>
  <tableColumns count="2">
    <tableColumn id="1" xr3:uid="{0426C9A0-D5A8-4832-A609-60374F5F5A34}" name="build variation" dataDxfId="36"/>
    <tableColumn id="2" xr3:uid="{DA4FFFDC-4214-4D28-94F9-86FC1C98C66C}" name="cost" dataDxfId="35"/>
  </tableColumns>
  <tableStyleInfo name="TableStyleMedium2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6223E0-3A33-4C43-AC47-1B9F9010E02B}" name="Table5" displayName="Table5" ref="B66:I70" totalsRowShown="0" headerRowDxfId="34" dataDxfId="33">
  <autoFilter ref="B66:I70" xr:uid="{796223E0-3A33-4C43-AC47-1B9F9010E02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339BF3C-075A-40B1-B7A0-4BC51DA6286C}" name="category" dataDxfId="32"/>
    <tableColumn id="2" xr3:uid="{6355F1D7-1DA6-418E-A5E5-0F3CDA02813B}" name="store" dataDxfId="31"/>
    <tableColumn id="3" xr3:uid="{688FCB34-4E1A-4AC0-A840-2B99F1F576A3}" name="part" dataDxfId="30"/>
    <tableColumn id="4" xr3:uid="{34486D00-7577-45DD-A1F0-25B69E8D66B8}" name="part no." dataDxfId="29"/>
    <tableColumn id="5" xr3:uid="{DC67E83C-F68C-4E6A-8BFC-F12814DE1297}" name="cost (each)" dataDxfId="28"/>
    <tableColumn id="6" xr3:uid="{394F5427-DAA9-4E33-9886-1817300FDB52}" name="qty" dataDxfId="27"/>
    <tableColumn id="7" xr3:uid="{872AFE1A-1F2C-4170-BC6C-81FB2B9839F0}" name="subtotal" dataDxfId="26" dataCellStyle="Comma"/>
    <tableColumn id="8" xr3:uid="{128A025A-FA38-488D-86B0-DEFB0744AC44}" name="last update" dataDxfId="25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79E55E-64F4-4246-AD2E-99983573D9FB}" name="Table6" displayName="Table6" ref="B59:I61" totalsRowShown="0" headerRowDxfId="24" dataDxfId="23">
  <autoFilter ref="B59:I61" xr:uid="{4B79E55E-64F4-4246-AD2E-99983573D9F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46B6C20-9E81-483A-A831-E00DB29568D1}" name="category" dataDxfId="22"/>
    <tableColumn id="2" xr3:uid="{003ED3D6-138F-48B7-8C45-66B99F7DBFF3}" name="store" dataDxfId="21"/>
    <tableColumn id="3" xr3:uid="{45A85715-0C40-4BE9-BD4B-87985547E9DE}" name="part" dataDxfId="20"/>
    <tableColumn id="4" xr3:uid="{BE055C50-758B-4440-91BD-0559A62445AD}" name="part no." dataDxfId="19"/>
    <tableColumn id="5" xr3:uid="{5226C310-0231-468C-AC98-A0CBF5168472}" name="cost (each)" dataDxfId="18"/>
    <tableColumn id="6" xr3:uid="{C562B61E-64D8-4EA5-A7C7-4A33C8F6E4B3}" name="qty" dataDxfId="17"/>
    <tableColumn id="7" xr3:uid="{9F84A929-F56E-43F4-AC91-5772B48DDB76}" name="subtotal" dataDxfId="16">
      <calculatedColumnFormula>G60*F60</calculatedColumnFormula>
    </tableColumn>
    <tableColumn id="8" xr3:uid="{AA0D1C7C-B76F-4299-89EC-2594C5013959}" name="last update" dataDxfId="15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E83F1FA-3D12-4094-ABF2-288B2035DF57}" name="Table18" displayName="Table18" ref="C7:D28" totalsRowShown="0" headerRowDxfId="14" dataDxfId="13">
  <autoFilter ref="C7:D28" xr:uid="{9B21DBFB-9A27-46C0-B015-4314C0C3AA0F}">
    <filterColumn colId="0" hiddenButton="1"/>
    <filterColumn colId="1" hiddenButton="1"/>
  </autoFilter>
  <tableColumns count="2">
    <tableColumn id="2" xr3:uid="{0B287A77-ED33-42E9-935C-5E990656ADCE}" name="Name" dataDxfId="12"/>
    <tableColumn id="3" xr3:uid="{8EEF8AD8-AB7B-4E71-BE8A-3B93D8EA5912}" name="detail" dataDxfId="11"/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78D342B-329C-4476-B036-F22E16161759}" name="Table29" displayName="Table29" ref="C32:D47" totalsRowShown="0" headerRowDxfId="10" dataDxfId="9">
  <autoFilter ref="C32:D47" xr:uid="{1091AD60-7AA6-4890-B33C-55D16B89767B}">
    <filterColumn colId="0" hiddenButton="1"/>
    <filterColumn colId="1" hiddenButton="1"/>
  </autoFilter>
  <tableColumns count="2">
    <tableColumn id="2" xr3:uid="{1DAACB0E-6F79-433D-AF0C-01EAA9A620BC}" name="Part" dataDxfId="8"/>
    <tableColumn id="3" xr3:uid="{CABA62EE-499B-477B-B5D9-0BCAACA4C076}" name="Detail" dataDxfId="7"/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9AAA99-4AD8-4458-9122-F0BA2BB06A74}" name="Table512" displayName="Table512" ref="C58:D62" totalsRowShown="0" headerRowDxfId="6" headerRowBorderDxfId="5" tableBorderDxfId="4">
  <autoFilter ref="C58:D62" xr:uid="{796223E0-3A33-4C43-AC47-1B9F9010E02B}">
    <filterColumn colId="0" hiddenButton="1"/>
    <filterColumn colId="1" hiddenButton="1"/>
  </autoFilter>
  <tableColumns count="2">
    <tableColumn id="2" xr3:uid="{2BFD3FD3-4689-483D-A459-2A41F407DE03}" name="Part" dataDxfId="3"/>
    <tableColumn id="3" xr3:uid="{8A73A10C-C317-4CC3-ACA5-EED7A2543CDC}" name="Detail" dataDxfId="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XET/SCUTTLE/blob/master/hardware/electronics/pcb_designs/I2C_Breakout_gerbers.zip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9D0F-34F7-4B36-B163-952CFA6A181C}">
  <sheetPr>
    <pageSetUpPr fitToPage="1"/>
  </sheetPr>
  <dimension ref="B1:I70"/>
  <sheetViews>
    <sheetView showGridLines="0" tabSelected="1" zoomScaleNormal="100" zoomScaleSheetLayoutView="85" workbookViewId="0">
      <selection activeCell="G4" sqref="G4"/>
    </sheetView>
  </sheetViews>
  <sheetFormatPr defaultRowHeight="15" x14ac:dyDescent="0.25"/>
  <cols>
    <col min="1" max="1" width="3.140625" customWidth="1"/>
    <col min="2" max="3" width="13" style="1" customWidth="1"/>
    <col min="4" max="4" width="20.42578125" customWidth="1"/>
    <col min="5" max="5" width="16" style="8" customWidth="1"/>
    <col min="6" max="6" width="13.7109375" customWidth="1"/>
    <col min="7" max="7" width="13.28515625" style="1" customWidth="1"/>
    <col min="8" max="8" width="11.5703125" customWidth="1"/>
    <col min="9" max="9" width="14.42578125" style="1" customWidth="1"/>
  </cols>
  <sheetData>
    <row r="1" spans="2:9" ht="20.25" thickBot="1" x14ac:dyDescent="0.35">
      <c r="B1" s="9" t="s">
        <v>192</v>
      </c>
      <c r="C1" s="9"/>
      <c r="D1" s="9"/>
      <c r="E1" s="51" t="s">
        <v>193</v>
      </c>
      <c r="F1" s="51"/>
      <c r="G1" s="51"/>
      <c r="H1" s="51"/>
      <c r="I1" s="51"/>
    </row>
    <row r="2" spans="2:9" ht="15.75" thickTop="1" x14ac:dyDescent="0.25">
      <c r="B2" s="53" t="s">
        <v>194</v>
      </c>
      <c r="D2" s="10"/>
      <c r="E2"/>
      <c r="G2"/>
      <c r="I2"/>
    </row>
    <row r="3" spans="2:9" x14ac:dyDescent="0.25">
      <c r="B3" s="49" t="s">
        <v>96</v>
      </c>
      <c r="C3" s="50">
        <v>2024.12</v>
      </c>
      <c r="D3" s="10"/>
      <c r="E3"/>
      <c r="G3"/>
      <c r="I3"/>
    </row>
    <row r="4" spans="2:9" x14ac:dyDescent="0.25">
      <c r="B4" s="49" t="s">
        <v>164</v>
      </c>
      <c r="C4" s="50" t="s">
        <v>115</v>
      </c>
      <c r="D4" s="10"/>
      <c r="E4"/>
      <c r="G4"/>
      <c r="I4"/>
    </row>
    <row r="5" spans="2:9" x14ac:dyDescent="0.25">
      <c r="B5" s="10"/>
      <c r="C5" s="10"/>
      <c r="D5" s="10"/>
      <c r="E5"/>
      <c r="G5"/>
      <c r="I5"/>
    </row>
    <row r="6" spans="2:9" ht="18" thickBot="1" x14ac:dyDescent="0.35">
      <c r="B6" s="11" t="s">
        <v>134</v>
      </c>
      <c r="C6" s="11"/>
      <c r="E6" s="11" t="s">
        <v>135</v>
      </c>
      <c r="F6" s="11"/>
      <c r="G6"/>
      <c r="I6"/>
    </row>
    <row r="7" spans="2:9" ht="15.75" thickTop="1" x14ac:dyDescent="0.25">
      <c r="B7" s="14" t="s">
        <v>94</v>
      </c>
      <c r="C7" s="14" t="s">
        <v>98</v>
      </c>
      <c r="D7" s="10"/>
      <c r="E7" s="12" t="s">
        <v>103</v>
      </c>
      <c r="F7" s="12" t="s">
        <v>102</v>
      </c>
      <c r="G7"/>
      <c r="I7"/>
    </row>
    <row r="8" spans="2:9" x14ac:dyDescent="0.25">
      <c r="B8" s="27" t="s">
        <v>2</v>
      </c>
      <c r="C8" s="23">
        <f>SUM(H17:H37)</f>
        <v>88.280773333333343</v>
      </c>
      <c r="D8" s="10"/>
      <c r="E8" s="26" t="s">
        <v>100</v>
      </c>
      <c r="F8" s="25">
        <f>SUM(C8:C9)</f>
        <v>318.64088829396326</v>
      </c>
      <c r="G8"/>
    </row>
    <row r="9" spans="2:9" x14ac:dyDescent="0.25">
      <c r="B9" s="27" t="s">
        <v>48</v>
      </c>
      <c r="C9" s="23">
        <f>SUM(H42:H54)</f>
        <v>230.36011496062991</v>
      </c>
      <c r="D9" s="10"/>
      <c r="E9" s="26" t="s">
        <v>101</v>
      </c>
      <c r="F9" s="25">
        <f>SUM(C8:C11)</f>
        <v>386.57664829396322</v>
      </c>
      <c r="G9"/>
    </row>
    <row r="10" spans="2:9" x14ac:dyDescent="0.25">
      <c r="B10" s="27" t="s">
        <v>162</v>
      </c>
      <c r="C10" s="24">
        <f>SUM(H60:H61)</f>
        <v>10.46576</v>
      </c>
      <c r="D10" s="10"/>
      <c r="E10" s="13"/>
      <c r="F10" s="12"/>
      <c r="G10"/>
    </row>
    <row r="11" spans="2:9" x14ac:dyDescent="0.25">
      <c r="B11" s="27" t="s">
        <v>163</v>
      </c>
      <c r="C11" s="23">
        <f>SUM(Table5[subtotal])</f>
        <v>57.47</v>
      </c>
      <c r="D11" s="10"/>
      <c r="E11" s="29" t="s">
        <v>170</v>
      </c>
      <c r="G11"/>
    </row>
    <row r="12" spans="2:9" x14ac:dyDescent="0.25">
      <c r="D12" s="10"/>
      <c r="E12" s="29" t="s">
        <v>171</v>
      </c>
      <c r="G12"/>
      <c r="I12"/>
    </row>
    <row r="13" spans="2:9" x14ac:dyDescent="0.25">
      <c r="B13" s="10"/>
      <c r="C13" s="10"/>
      <c r="D13" s="10"/>
      <c r="E13" s="29" t="s">
        <v>172</v>
      </c>
      <c r="G13"/>
      <c r="I13"/>
    </row>
    <row r="14" spans="2:9" ht="18" thickBot="1" x14ac:dyDescent="0.35">
      <c r="B14" s="11" t="s">
        <v>97</v>
      </c>
      <c r="C14" s="11"/>
      <c r="D14" s="11"/>
      <c r="E14" s="11"/>
      <c r="F14" s="11"/>
      <c r="G14" s="11"/>
      <c r="H14" s="11"/>
      <c r="I14" s="11"/>
    </row>
    <row r="15" spans="2:9" ht="15.75" thickTop="1" x14ac:dyDescent="0.25">
      <c r="B15"/>
      <c r="C15"/>
      <c r="E15"/>
      <c r="G15"/>
      <c r="I15"/>
    </row>
    <row r="16" spans="2:9" x14ac:dyDescent="0.25">
      <c r="B16" s="36" t="s">
        <v>166</v>
      </c>
      <c r="C16" s="37" t="s">
        <v>165</v>
      </c>
      <c r="D16" s="37" t="s">
        <v>167</v>
      </c>
      <c r="E16" s="37" t="s">
        <v>168</v>
      </c>
      <c r="F16" s="36" t="s">
        <v>1</v>
      </c>
      <c r="G16" s="36" t="s">
        <v>104</v>
      </c>
      <c r="H16" s="37" t="s">
        <v>98</v>
      </c>
      <c r="I16" s="37" t="s">
        <v>169</v>
      </c>
    </row>
    <row r="17" spans="2:9" ht="16.5" customHeight="1" x14ac:dyDescent="0.25">
      <c r="B17" s="1" t="s">
        <v>3</v>
      </c>
      <c r="C17" t="s">
        <v>4</v>
      </c>
      <c r="D17" t="s">
        <v>108</v>
      </c>
      <c r="E17" s="28" t="s">
        <v>6</v>
      </c>
      <c r="F17" s="39">
        <f>32.45/2</f>
        <v>16.225000000000001</v>
      </c>
      <c r="G17" s="1">
        <v>1</v>
      </c>
      <c r="H17" s="40">
        <f t="shared" ref="H17:H37" si="0">G17*F17</f>
        <v>16.225000000000001</v>
      </c>
      <c r="I17" s="41" t="s">
        <v>7</v>
      </c>
    </row>
    <row r="18" spans="2:9" ht="16.5" customHeight="1" x14ac:dyDescent="0.25">
      <c r="B18" s="1" t="s">
        <v>3</v>
      </c>
      <c r="C18" t="s">
        <v>4</v>
      </c>
      <c r="D18" t="s">
        <v>109</v>
      </c>
      <c r="E18" s="28" t="s">
        <v>8</v>
      </c>
      <c r="F18" s="39">
        <f>10.99/4</f>
        <v>2.7475000000000001</v>
      </c>
      <c r="G18" s="1">
        <v>4</v>
      </c>
      <c r="H18" s="40">
        <f t="shared" si="0"/>
        <v>10.99</v>
      </c>
      <c r="I18" s="41" t="s">
        <v>9</v>
      </c>
    </row>
    <row r="19" spans="2:9" ht="16.5" customHeight="1" x14ac:dyDescent="0.25">
      <c r="B19" s="1" t="s">
        <v>3</v>
      </c>
      <c r="C19" t="s">
        <v>4</v>
      </c>
      <c r="D19" t="s">
        <v>158</v>
      </c>
      <c r="E19" s="28" t="s">
        <v>12</v>
      </c>
      <c r="F19" s="39">
        <v>6.43</v>
      </c>
      <c r="G19" s="1">
        <v>2</v>
      </c>
      <c r="H19" s="40">
        <f t="shared" si="0"/>
        <v>12.86</v>
      </c>
      <c r="I19" s="41" t="s">
        <v>7</v>
      </c>
    </row>
    <row r="20" spans="2:9" ht="16.5" customHeight="1" x14ac:dyDescent="0.25">
      <c r="B20" s="1" t="s">
        <v>3</v>
      </c>
      <c r="C20" t="s">
        <v>10</v>
      </c>
      <c r="D20" t="s">
        <v>110</v>
      </c>
      <c r="E20" s="28" t="s">
        <v>14</v>
      </c>
      <c r="F20" s="39">
        <f>6.91/100</f>
        <v>6.9099999999999995E-2</v>
      </c>
      <c r="G20" s="1">
        <v>2</v>
      </c>
      <c r="H20" s="40">
        <f t="shared" si="0"/>
        <v>0.13819999999999999</v>
      </c>
      <c r="I20" s="41" t="s">
        <v>9</v>
      </c>
    </row>
    <row r="21" spans="2:9" ht="16.5" customHeight="1" x14ac:dyDescent="0.25">
      <c r="B21" s="1" t="s">
        <v>3</v>
      </c>
      <c r="C21" t="s">
        <v>10</v>
      </c>
      <c r="D21" t="s">
        <v>111</v>
      </c>
      <c r="E21" s="28" t="s">
        <v>16</v>
      </c>
      <c r="F21" s="39">
        <v>8.1300000000000008</v>
      </c>
      <c r="G21" s="1">
        <v>4</v>
      </c>
      <c r="H21" s="40">
        <f t="shared" si="0"/>
        <v>32.520000000000003</v>
      </c>
      <c r="I21" s="41" t="s">
        <v>7</v>
      </c>
    </row>
    <row r="22" spans="2:9" ht="16.5" customHeight="1" x14ac:dyDescent="0.25">
      <c r="B22" s="1" t="s">
        <v>3</v>
      </c>
      <c r="C22" t="s">
        <v>4</v>
      </c>
      <c r="D22" t="s">
        <v>112</v>
      </c>
      <c r="E22" s="28" t="s">
        <v>18</v>
      </c>
      <c r="F22" s="39">
        <f>21.99/12</f>
        <v>1.8324999999999998</v>
      </c>
      <c r="G22" s="1">
        <v>2</v>
      </c>
      <c r="H22" s="40">
        <f t="shared" si="0"/>
        <v>3.6649999999999996</v>
      </c>
      <c r="I22" s="41" t="s">
        <v>7</v>
      </c>
    </row>
    <row r="23" spans="2:9" ht="16.5" customHeight="1" x14ac:dyDescent="0.25">
      <c r="B23" s="1" t="s">
        <v>3</v>
      </c>
      <c r="C23" t="s">
        <v>10</v>
      </c>
      <c r="D23" t="s">
        <v>113</v>
      </c>
      <c r="E23" s="28" t="s">
        <v>20</v>
      </c>
      <c r="F23" s="39">
        <f>4.87/5</f>
        <v>0.97399999999999998</v>
      </c>
      <c r="G23" s="1">
        <v>2</v>
      </c>
      <c r="H23" s="40">
        <f t="shared" si="0"/>
        <v>1.948</v>
      </c>
      <c r="I23" s="41" t="s">
        <v>7</v>
      </c>
    </row>
    <row r="24" spans="2:9" ht="16.5" customHeight="1" x14ac:dyDescent="0.25">
      <c r="B24" s="1" t="s">
        <v>3</v>
      </c>
      <c r="C24" t="s">
        <v>10</v>
      </c>
      <c r="D24" t="s">
        <v>130</v>
      </c>
      <c r="E24" s="28" t="s">
        <v>22</v>
      </c>
      <c r="F24" s="39">
        <f>10.27/100</f>
        <v>0.1027</v>
      </c>
      <c r="G24" s="1">
        <v>8</v>
      </c>
      <c r="H24" s="40">
        <f t="shared" si="0"/>
        <v>0.8216</v>
      </c>
      <c r="I24" s="41" t="s">
        <v>23</v>
      </c>
    </row>
    <row r="25" spans="2:9" ht="16.5" customHeight="1" x14ac:dyDescent="0.25">
      <c r="B25" s="1" t="s">
        <v>3</v>
      </c>
      <c r="C25" t="s">
        <v>10</v>
      </c>
      <c r="D25" t="s">
        <v>131</v>
      </c>
      <c r="E25" s="28" t="s">
        <v>25</v>
      </c>
      <c r="F25" s="39">
        <f>10.44/100</f>
        <v>0.10439999999999999</v>
      </c>
      <c r="G25" s="1">
        <v>12</v>
      </c>
      <c r="H25" s="40">
        <f t="shared" si="0"/>
        <v>1.2527999999999999</v>
      </c>
      <c r="I25" s="41" t="s">
        <v>23</v>
      </c>
    </row>
    <row r="26" spans="2:9" ht="16.5" customHeight="1" x14ac:dyDescent="0.25">
      <c r="B26" s="1" t="s">
        <v>3</v>
      </c>
      <c r="C26" t="s">
        <v>26</v>
      </c>
      <c r="D26" t="s">
        <v>132</v>
      </c>
      <c r="E26" s="28" t="s">
        <v>28</v>
      </c>
      <c r="F26" s="39">
        <f>4/100</f>
        <v>0.04</v>
      </c>
      <c r="G26" s="1">
        <v>2</v>
      </c>
      <c r="H26" s="40">
        <f t="shared" si="0"/>
        <v>0.08</v>
      </c>
      <c r="I26" s="41" t="s">
        <v>23</v>
      </c>
    </row>
    <row r="27" spans="2:9" ht="16.5" customHeight="1" x14ac:dyDescent="0.25">
      <c r="B27" s="1" t="s">
        <v>3</v>
      </c>
      <c r="C27" t="s">
        <v>10</v>
      </c>
      <c r="D27" t="s">
        <v>136</v>
      </c>
      <c r="E27" s="28" t="s">
        <v>30</v>
      </c>
      <c r="F27" s="39">
        <f>4.46/100</f>
        <v>4.4600000000000001E-2</v>
      </c>
      <c r="G27" s="1">
        <v>6</v>
      </c>
      <c r="H27" s="40">
        <f t="shared" si="0"/>
        <v>0.2676</v>
      </c>
      <c r="I27" s="41" t="s">
        <v>23</v>
      </c>
    </row>
    <row r="28" spans="2:9" ht="16.5" customHeight="1" x14ac:dyDescent="0.25">
      <c r="B28" s="1" t="s">
        <v>3</v>
      </c>
      <c r="C28" t="s">
        <v>4</v>
      </c>
      <c r="D28" t="s">
        <v>137</v>
      </c>
      <c r="E28" s="28" t="s">
        <v>32</v>
      </c>
      <c r="F28" s="39">
        <f>8.68/1000</f>
        <v>8.6800000000000002E-3</v>
      </c>
      <c r="G28" s="1">
        <v>8</v>
      </c>
      <c r="H28" s="40">
        <f t="shared" si="0"/>
        <v>6.9440000000000002E-2</v>
      </c>
      <c r="I28" s="41" t="s">
        <v>23</v>
      </c>
    </row>
    <row r="29" spans="2:9" ht="16.5" customHeight="1" x14ac:dyDescent="0.25">
      <c r="B29" s="1" t="s">
        <v>3</v>
      </c>
      <c r="C29" t="s">
        <v>10</v>
      </c>
      <c r="D29" t="s">
        <v>138</v>
      </c>
      <c r="E29" s="28" t="s">
        <v>34</v>
      </c>
      <c r="F29" s="39">
        <f>3.83/100</f>
        <v>3.8300000000000001E-2</v>
      </c>
      <c r="G29" s="1">
        <v>6</v>
      </c>
      <c r="H29" s="40">
        <f t="shared" si="0"/>
        <v>0.2298</v>
      </c>
      <c r="I29" s="41" t="s">
        <v>23</v>
      </c>
    </row>
    <row r="30" spans="2:9" ht="16.5" customHeight="1" x14ac:dyDescent="0.25">
      <c r="B30" s="1" t="s">
        <v>3</v>
      </c>
      <c r="C30" t="s">
        <v>10</v>
      </c>
      <c r="D30" t="s">
        <v>139</v>
      </c>
      <c r="E30" s="28" t="s">
        <v>36</v>
      </c>
      <c r="F30" s="39">
        <f>4.43/100</f>
        <v>4.4299999999999999E-2</v>
      </c>
      <c r="G30" s="1">
        <v>3</v>
      </c>
      <c r="H30" s="40">
        <f t="shared" si="0"/>
        <v>0.13289999999999999</v>
      </c>
      <c r="I30" s="41" t="s">
        <v>23</v>
      </c>
    </row>
    <row r="31" spans="2:9" ht="16.5" customHeight="1" x14ac:dyDescent="0.25">
      <c r="B31" s="1" t="s">
        <v>3</v>
      </c>
      <c r="C31" t="s">
        <v>4</v>
      </c>
      <c r="D31" t="s">
        <v>140</v>
      </c>
      <c r="E31" s="28" t="s">
        <v>38</v>
      </c>
      <c r="F31" s="39">
        <f>9.99/50</f>
        <v>0.19980000000000001</v>
      </c>
      <c r="G31" s="1">
        <v>12</v>
      </c>
      <c r="H31" s="40">
        <f t="shared" si="0"/>
        <v>2.3976000000000002</v>
      </c>
      <c r="I31" s="41" t="s">
        <v>23</v>
      </c>
    </row>
    <row r="32" spans="2:9" ht="16.5" customHeight="1" x14ac:dyDescent="0.25">
      <c r="B32" s="1" t="s">
        <v>3</v>
      </c>
      <c r="C32" t="s">
        <v>10</v>
      </c>
      <c r="D32" t="s">
        <v>142</v>
      </c>
      <c r="E32" s="28" t="s">
        <v>39</v>
      </c>
      <c r="F32" s="39">
        <f>7.42/100</f>
        <v>7.4200000000000002E-2</v>
      </c>
      <c r="G32" s="1">
        <v>2</v>
      </c>
      <c r="H32" s="40">
        <f t="shared" si="0"/>
        <v>0.1484</v>
      </c>
      <c r="I32" s="41" t="s">
        <v>23</v>
      </c>
    </row>
    <row r="33" spans="2:9" ht="16.5" customHeight="1" x14ac:dyDescent="0.25">
      <c r="B33" s="1" t="s">
        <v>3</v>
      </c>
      <c r="C33" t="s">
        <v>10</v>
      </c>
      <c r="D33" t="s">
        <v>141</v>
      </c>
      <c r="E33" s="28" t="s">
        <v>41</v>
      </c>
      <c r="F33" s="39">
        <f>7.9/100</f>
        <v>7.9000000000000001E-2</v>
      </c>
      <c r="G33" s="1">
        <v>2</v>
      </c>
      <c r="H33" s="40">
        <f t="shared" si="0"/>
        <v>0.158</v>
      </c>
      <c r="I33" s="41" t="s">
        <v>23</v>
      </c>
    </row>
    <row r="34" spans="2:9" ht="16.5" customHeight="1" x14ac:dyDescent="0.25">
      <c r="B34" s="1" t="s">
        <v>3</v>
      </c>
      <c r="C34" t="s">
        <v>10</v>
      </c>
      <c r="D34" t="s">
        <v>144</v>
      </c>
      <c r="E34" s="28" t="s">
        <v>43</v>
      </c>
      <c r="F34" s="39">
        <f>5.4/100</f>
        <v>5.4000000000000006E-2</v>
      </c>
      <c r="G34" s="1">
        <v>8</v>
      </c>
      <c r="H34" s="40">
        <f t="shared" si="0"/>
        <v>0.43200000000000005</v>
      </c>
      <c r="I34" s="41" t="s">
        <v>23</v>
      </c>
    </row>
    <row r="35" spans="2:9" ht="16.5" customHeight="1" x14ac:dyDescent="0.25">
      <c r="B35" s="1" t="s">
        <v>3</v>
      </c>
      <c r="C35" t="s">
        <v>10</v>
      </c>
      <c r="D35" t="s">
        <v>145</v>
      </c>
      <c r="E35" s="28" t="s">
        <v>45</v>
      </c>
      <c r="F35" s="39">
        <f>2.81/100</f>
        <v>2.81E-2</v>
      </c>
      <c r="G35" s="1">
        <v>6</v>
      </c>
      <c r="H35" s="40">
        <f t="shared" si="0"/>
        <v>0.1686</v>
      </c>
      <c r="I35" s="41" t="s">
        <v>23</v>
      </c>
    </row>
    <row r="36" spans="2:9" ht="16.5" customHeight="1" x14ac:dyDescent="0.25">
      <c r="B36" s="1" t="s">
        <v>3</v>
      </c>
      <c r="C36" t="s">
        <v>10</v>
      </c>
      <c r="D36" t="s">
        <v>156</v>
      </c>
      <c r="E36" s="28" t="s">
        <v>155</v>
      </c>
      <c r="F36" s="39">
        <f>49.99/30</f>
        <v>1.6663333333333334</v>
      </c>
      <c r="G36" s="1">
        <v>1.6</v>
      </c>
      <c r="H36" s="40">
        <f t="shared" si="0"/>
        <v>2.6661333333333337</v>
      </c>
      <c r="I36" s="41">
        <v>2024.12</v>
      </c>
    </row>
    <row r="37" spans="2:9" ht="16.5" customHeight="1" x14ac:dyDescent="0.25">
      <c r="B37" s="1" t="s">
        <v>3</v>
      </c>
      <c r="C37" t="s">
        <v>10</v>
      </c>
      <c r="D37" t="s">
        <v>146</v>
      </c>
      <c r="E37" s="28" t="s">
        <v>47</v>
      </c>
      <c r="F37" s="39">
        <f>12.33/100</f>
        <v>0.12330000000000001</v>
      </c>
      <c r="G37" s="1">
        <v>9</v>
      </c>
      <c r="H37" s="40">
        <f t="shared" si="0"/>
        <v>1.1097000000000001</v>
      </c>
      <c r="I37" s="41" t="s">
        <v>23</v>
      </c>
    </row>
    <row r="38" spans="2:9" ht="16.5" customHeight="1" x14ac:dyDescent="0.25">
      <c r="B38" s="5"/>
      <c r="C38" s="5"/>
      <c r="D38" s="6"/>
      <c r="E38" s="7"/>
      <c r="F38" s="6"/>
      <c r="G38"/>
    </row>
    <row r="39" spans="2:9" ht="18" thickBot="1" x14ac:dyDescent="0.35">
      <c r="B39" s="11" t="s">
        <v>48</v>
      </c>
      <c r="C39" s="11"/>
      <c r="D39" s="11"/>
      <c r="E39" s="11"/>
      <c r="F39" s="11"/>
      <c r="G39" s="11"/>
      <c r="H39" s="11"/>
      <c r="I39" s="11"/>
    </row>
    <row r="40" spans="2:9" ht="15.75" thickTop="1" x14ac:dyDescent="0.25">
      <c r="B40"/>
      <c r="C40"/>
      <c r="E40"/>
      <c r="G40"/>
      <c r="I40"/>
    </row>
    <row r="41" spans="2:9" x14ac:dyDescent="0.25">
      <c r="B41" s="34" t="s">
        <v>166</v>
      </c>
      <c r="C41" s="34" t="s">
        <v>165</v>
      </c>
      <c r="D41" s="34" t="s">
        <v>167</v>
      </c>
      <c r="E41" s="34" t="s">
        <v>168</v>
      </c>
      <c r="F41" s="34" t="s">
        <v>1</v>
      </c>
      <c r="G41" s="35" t="s">
        <v>104</v>
      </c>
      <c r="H41" s="35" t="s">
        <v>98</v>
      </c>
      <c r="I41" s="34" t="s">
        <v>169</v>
      </c>
    </row>
    <row r="42" spans="2:9" x14ac:dyDescent="0.25">
      <c r="B42" s="12" t="s">
        <v>177</v>
      </c>
      <c r="C42" s="12" t="s">
        <v>49</v>
      </c>
      <c r="D42" s="12" t="s">
        <v>176</v>
      </c>
      <c r="E42" s="17">
        <v>102991317</v>
      </c>
      <c r="F42" s="31">
        <v>56.25</v>
      </c>
      <c r="G42" s="16">
        <v>1</v>
      </c>
      <c r="H42" s="18">
        <f t="shared" ref="H42:H43" si="1">G42*F42</f>
        <v>56.25</v>
      </c>
      <c r="I42" s="16" t="s">
        <v>7</v>
      </c>
    </row>
    <row r="43" spans="2:9" x14ac:dyDescent="0.25">
      <c r="B43" s="12" t="s">
        <v>51</v>
      </c>
      <c r="C43" s="12" t="s">
        <v>4</v>
      </c>
      <c r="D43" s="12" t="s">
        <v>182</v>
      </c>
      <c r="E43" s="17" t="s">
        <v>53</v>
      </c>
      <c r="F43" s="31">
        <v>16.41</v>
      </c>
      <c r="G43" s="16">
        <v>1</v>
      </c>
      <c r="H43" s="18">
        <f t="shared" si="1"/>
        <v>16.41</v>
      </c>
      <c r="I43" s="16" t="s">
        <v>7</v>
      </c>
    </row>
    <row r="44" spans="2:9" x14ac:dyDescent="0.25">
      <c r="B44" s="12" t="s">
        <v>51</v>
      </c>
      <c r="C44" s="12" t="s">
        <v>4</v>
      </c>
      <c r="D44" s="12" t="s">
        <v>117</v>
      </c>
      <c r="E44" s="17" t="s">
        <v>55</v>
      </c>
      <c r="F44" s="31">
        <v>14.99</v>
      </c>
      <c r="G44" s="16">
        <v>2</v>
      </c>
      <c r="H44" s="18">
        <f>G44*F44</f>
        <v>29.98</v>
      </c>
      <c r="I44" s="16" t="s">
        <v>7</v>
      </c>
    </row>
    <row r="45" spans="2:9" x14ac:dyDescent="0.25">
      <c r="B45" s="12" t="s">
        <v>56</v>
      </c>
      <c r="C45" s="12" t="s">
        <v>4</v>
      </c>
      <c r="D45" s="12" t="s">
        <v>116</v>
      </c>
      <c r="E45" s="17" t="s">
        <v>58</v>
      </c>
      <c r="F45" s="31">
        <v>58.99</v>
      </c>
      <c r="G45" s="16">
        <v>1</v>
      </c>
      <c r="H45" s="18">
        <f t="shared" ref="H45:H55" si="2">G45*F45</f>
        <v>58.99</v>
      </c>
      <c r="I45" s="16" t="s">
        <v>7</v>
      </c>
    </row>
    <row r="46" spans="2:9" x14ac:dyDescent="0.25">
      <c r="B46" s="12" t="s">
        <v>59</v>
      </c>
      <c r="C46" s="12" t="s">
        <v>4</v>
      </c>
      <c r="D46" s="12" t="s">
        <v>118</v>
      </c>
      <c r="E46" s="17" t="s">
        <v>61</v>
      </c>
      <c r="F46" s="31">
        <f>1/6*44.89</f>
        <v>7.4816666666666665</v>
      </c>
      <c r="G46" s="16">
        <v>3</v>
      </c>
      <c r="H46" s="18">
        <f t="shared" si="2"/>
        <v>22.445</v>
      </c>
      <c r="I46" s="16" t="s">
        <v>23</v>
      </c>
    </row>
    <row r="47" spans="2:9" x14ac:dyDescent="0.25">
      <c r="B47" s="12" t="s">
        <v>56</v>
      </c>
      <c r="C47" s="12" t="s">
        <v>49</v>
      </c>
      <c r="D47" s="12" t="s">
        <v>120</v>
      </c>
      <c r="E47" s="17" t="s">
        <v>99</v>
      </c>
      <c r="F47" s="31">
        <v>15.75</v>
      </c>
      <c r="G47" s="16">
        <v>2</v>
      </c>
      <c r="H47" s="18">
        <f t="shared" si="2"/>
        <v>31.5</v>
      </c>
      <c r="I47" s="16" t="s">
        <v>7</v>
      </c>
    </row>
    <row r="48" spans="2:9" x14ac:dyDescent="0.25">
      <c r="B48" s="12" t="s">
        <v>63</v>
      </c>
      <c r="C48" s="12" t="s">
        <v>64</v>
      </c>
      <c r="D48" s="12" t="s">
        <v>122</v>
      </c>
      <c r="E48" s="17" t="s">
        <v>66</v>
      </c>
      <c r="F48" s="31">
        <f>115.49/100</f>
        <v>1.1549</v>
      </c>
      <c r="G48" s="16">
        <v>8</v>
      </c>
      <c r="H48" s="18">
        <f t="shared" si="2"/>
        <v>9.2392000000000003</v>
      </c>
      <c r="I48" s="16" t="s">
        <v>23</v>
      </c>
    </row>
    <row r="49" spans="2:9" x14ac:dyDescent="0.25">
      <c r="B49" s="12" t="s">
        <v>59</v>
      </c>
      <c r="C49" s="12" t="s">
        <v>67</v>
      </c>
      <c r="D49" s="12" t="s">
        <v>119</v>
      </c>
      <c r="E49" s="17" t="s">
        <v>69</v>
      </c>
      <c r="F49" s="31">
        <f>9.99/5</f>
        <v>1.998</v>
      </c>
      <c r="G49" s="16">
        <v>1</v>
      </c>
      <c r="H49" s="18">
        <f t="shared" si="2"/>
        <v>1.998</v>
      </c>
      <c r="I49" s="16" t="s">
        <v>23</v>
      </c>
    </row>
    <row r="50" spans="2:9" x14ac:dyDescent="0.25">
      <c r="B50" s="12" t="s">
        <v>59</v>
      </c>
      <c r="C50" s="12" t="s">
        <v>49</v>
      </c>
      <c r="D50" s="12" t="s">
        <v>121</v>
      </c>
      <c r="E50" s="17" t="s">
        <v>71</v>
      </c>
      <c r="F50" s="31">
        <v>0.95</v>
      </c>
      <c r="G50" s="16">
        <v>1</v>
      </c>
      <c r="H50" s="18">
        <f t="shared" si="2"/>
        <v>0.95</v>
      </c>
      <c r="I50" s="16" t="s">
        <v>23</v>
      </c>
    </row>
    <row r="51" spans="2:9" x14ac:dyDescent="0.25">
      <c r="B51" s="12" t="s">
        <v>59</v>
      </c>
      <c r="C51" s="12" t="s">
        <v>4</v>
      </c>
      <c r="D51" s="12" t="s">
        <v>126</v>
      </c>
      <c r="E51" s="17" t="s">
        <v>73</v>
      </c>
      <c r="F51" s="31">
        <f>13.18/100</f>
        <v>0.1318</v>
      </c>
      <c r="G51" s="16">
        <v>2</v>
      </c>
      <c r="H51" s="18">
        <f t="shared" si="2"/>
        <v>0.2636</v>
      </c>
      <c r="I51" s="16" t="s">
        <v>23</v>
      </c>
    </row>
    <row r="52" spans="2:9" x14ac:dyDescent="0.25">
      <c r="B52" s="12" t="s">
        <v>59</v>
      </c>
      <c r="C52" s="12" t="s">
        <v>4</v>
      </c>
      <c r="D52" s="12" t="s">
        <v>181</v>
      </c>
      <c r="E52" s="17" t="s">
        <v>75</v>
      </c>
      <c r="F52" s="31">
        <f>20.99/30.48</f>
        <v>0.68864829396325455</v>
      </c>
      <c r="G52" s="16">
        <v>1</v>
      </c>
      <c r="H52" s="18">
        <f t="shared" si="2"/>
        <v>0.68864829396325455</v>
      </c>
      <c r="I52" s="16" t="s">
        <v>23</v>
      </c>
    </row>
    <row r="53" spans="2:9" x14ac:dyDescent="0.25">
      <c r="B53" s="12" t="s">
        <v>178</v>
      </c>
      <c r="C53" s="12" t="s">
        <v>4</v>
      </c>
      <c r="D53" s="12" t="s">
        <v>179</v>
      </c>
      <c r="E53" s="17" t="s">
        <v>78</v>
      </c>
      <c r="F53" s="31">
        <f>7.98*16/120</f>
        <v>1.0640000000000001</v>
      </c>
      <c r="G53" s="16">
        <v>1</v>
      </c>
      <c r="H53" s="18">
        <f t="shared" si="2"/>
        <v>1.0640000000000001</v>
      </c>
      <c r="I53" s="16" t="s">
        <v>79</v>
      </c>
    </row>
    <row r="54" spans="2:9" x14ac:dyDescent="0.25">
      <c r="B54" s="12" t="s">
        <v>178</v>
      </c>
      <c r="C54" s="12" t="s">
        <v>4</v>
      </c>
      <c r="D54" s="12" t="s">
        <v>180</v>
      </c>
      <c r="E54" s="17" t="s">
        <v>81</v>
      </c>
      <c r="F54" s="31">
        <f>6.98*10/120</f>
        <v>0.58166666666666678</v>
      </c>
      <c r="G54" s="16">
        <v>1</v>
      </c>
      <c r="H54" s="18">
        <f t="shared" si="2"/>
        <v>0.58166666666666678</v>
      </c>
      <c r="I54" s="16" t="s">
        <v>79</v>
      </c>
    </row>
    <row r="55" spans="2:9" x14ac:dyDescent="0.25">
      <c r="B55" s="12" t="s">
        <v>59</v>
      </c>
      <c r="C55" s="12" t="s">
        <v>4</v>
      </c>
      <c r="D55" s="12" t="s">
        <v>128</v>
      </c>
      <c r="E55" s="17" t="s">
        <v>84</v>
      </c>
      <c r="F55" s="31">
        <v>10.69</v>
      </c>
      <c r="G55" s="16">
        <v>1</v>
      </c>
      <c r="H55" s="18">
        <f t="shared" si="2"/>
        <v>10.69</v>
      </c>
      <c r="I55" s="16" t="s">
        <v>23</v>
      </c>
    </row>
    <row r="56" spans="2:9" x14ac:dyDescent="0.25">
      <c r="B56" s="5"/>
      <c r="C56" s="5"/>
      <c r="D56" s="6"/>
      <c r="E56" s="7"/>
      <c r="F56" s="38"/>
      <c r="G56"/>
    </row>
    <row r="57" spans="2:9" ht="18" thickBot="1" x14ac:dyDescent="0.35">
      <c r="B57" s="11" t="s">
        <v>105</v>
      </c>
      <c r="C57" s="11"/>
      <c r="D57" s="11"/>
      <c r="E57" s="11"/>
      <c r="F57" s="11"/>
      <c r="G57" s="11"/>
      <c r="H57" s="11"/>
      <c r="I57" s="11"/>
    </row>
    <row r="58" spans="2:9" ht="15.75" thickTop="1" x14ac:dyDescent="0.25">
      <c r="B58" s="5"/>
      <c r="C58" s="5"/>
      <c r="D58" s="6"/>
      <c r="E58" s="7"/>
      <c r="F58" s="38"/>
      <c r="G58"/>
    </row>
    <row r="59" spans="2:9" ht="16.5" customHeight="1" x14ac:dyDescent="0.25">
      <c r="B59" t="s">
        <v>166</v>
      </c>
      <c r="C59" t="s">
        <v>165</v>
      </c>
      <c r="D59" t="s">
        <v>167</v>
      </c>
      <c r="E59" t="s">
        <v>168</v>
      </c>
      <c r="F59" t="s">
        <v>1</v>
      </c>
      <c r="G59" t="s">
        <v>104</v>
      </c>
      <c r="H59" t="s">
        <v>98</v>
      </c>
      <c r="I59" t="s">
        <v>169</v>
      </c>
    </row>
    <row r="60" spans="2:9" x14ac:dyDescent="0.25">
      <c r="B60" s="1" t="s">
        <v>87</v>
      </c>
      <c r="C60" t="s">
        <v>88</v>
      </c>
      <c r="D60" t="s">
        <v>159</v>
      </c>
      <c r="E60" s="8" t="s">
        <v>89</v>
      </c>
      <c r="F60" s="39">
        <v>19.989999999999998</v>
      </c>
      <c r="G60" s="43">
        <v>0.42399999999999999</v>
      </c>
      <c r="H60" s="42">
        <f>G60*F60</f>
        <v>8.4757599999999993</v>
      </c>
      <c r="I60" s="41" t="s">
        <v>7</v>
      </c>
    </row>
    <row r="61" spans="2:9" x14ac:dyDescent="0.25">
      <c r="B61" s="1" t="s">
        <v>76</v>
      </c>
      <c r="C61" t="s">
        <v>90</v>
      </c>
      <c r="D61" t="s">
        <v>174</v>
      </c>
      <c r="E61" s="44" t="s">
        <v>175</v>
      </c>
      <c r="F61" s="39">
        <v>1.99</v>
      </c>
      <c r="G61" s="43">
        <v>1</v>
      </c>
      <c r="H61" s="42">
        <f>G61*F61</f>
        <v>1.99</v>
      </c>
      <c r="I61" s="41" t="s">
        <v>23</v>
      </c>
    </row>
    <row r="62" spans="2:9" x14ac:dyDescent="0.25">
      <c r="B62" s="2"/>
      <c r="C62" s="2"/>
      <c r="D62" s="3"/>
      <c r="E62" s="4"/>
      <c r="G62"/>
      <c r="I62"/>
    </row>
    <row r="63" spans="2:9" x14ac:dyDescent="0.25">
      <c r="B63" s="5"/>
      <c r="C63" s="5"/>
      <c r="D63" s="6"/>
      <c r="E63" s="7"/>
      <c r="G63"/>
      <c r="I63"/>
    </row>
    <row r="64" spans="2:9" ht="18" thickBot="1" x14ac:dyDescent="0.35">
      <c r="B64" s="11" t="s">
        <v>106</v>
      </c>
      <c r="C64" s="11"/>
      <c r="D64" s="11"/>
      <c r="E64" s="11"/>
      <c r="F64" s="11"/>
      <c r="G64" s="11"/>
      <c r="H64" s="11"/>
      <c r="I64" s="11"/>
    </row>
    <row r="65" spans="2:9" ht="15.75" thickTop="1" x14ac:dyDescent="0.25">
      <c r="B65" s="5"/>
      <c r="C65" s="5"/>
      <c r="D65" s="6"/>
      <c r="E65" s="7"/>
      <c r="F65" s="6"/>
      <c r="G65" s="5"/>
      <c r="H65" s="6"/>
    </row>
    <row r="66" spans="2:9" x14ac:dyDescent="0.25">
      <c r="B66" s="32" t="s">
        <v>166</v>
      </c>
      <c r="C66" s="32" t="s">
        <v>165</v>
      </c>
      <c r="D66" s="32" t="s">
        <v>167</v>
      </c>
      <c r="E66" s="32" t="s">
        <v>168</v>
      </c>
      <c r="F66" s="32" t="s">
        <v>1</v>
      </c>
      <c r="G66" s="33" t="s">
        <v>104</v>
      </c>
      <c r="H66" s="33" t="s">
        <v>98</v>
      </c>
      <c r="I66" s="32" t="s">
        <v>169</v>
      </c>
    </row>
    <row r="67" spans="2:9" x14ac:dyDescent="0.25">
      <c r="B67" s="1" t="s">
        <v>91</v>
      </c>
      <c r="C67" s="1" t="s">
        <v>4</v>
      </c>
      <c r="D67" t="s">
        <v>124</v>
      </c>
      <c r="E67" s="28" t="s">
        <v>93</v>
      </c>
      <c r="F67" s="39">
        <v>29.99</v>
      </c>
      <c r="G67" s="1">
        <v>1</v>
      </c>
      <c r="H67" s="45">
        <f>F67*G67</f>
        <v>29.99</v>
      </c>
      <c r="I67" s="41" t="s">
        <v>7</v>
      </c>
    </row>
    <row r="68" spans="2:9" x14ac:dyDescent="0.25">
      <c r="B68" s="1" t="s">
        <v>59</v>
      </c>
      <c r="C68" s="1" t="s">
        <v>4</v>
      </c>
      <c r="D68" t="s">
        <v>173</v>
      </c>
      <c r="E68" s="28" t="s">
        <v>86</v>
      </c>
      <c r="F68" s="39">
        <v>13.99</v>
      </c>
      <c r="G68" s="1">
        <v>1</v>
      </c>
      <c r="H68" s="46">
        <v>13.99</v>
      </c>
      <c r="I68" s="41">
        <v>2022.05</v>
      </c>
    </row>
    <row r="69" spans="2:9" x14ac:dyDescent="0.25">
      <c r="B69" s="1" t="s">
        <v>160</v>
      </c>
      <c r="C69" s="1" t="s">
        <v>4</v>
      </c>
      <c r="D69" t="s">
        <v>149</v>
      </c>
      <c r="E69" s="28" t="s">
        <v>161</v>
      </c>
      <c r="F69" s="39">
        <v>12.5</v>
      </c>
      <c r="G69" s="1">
        <v>1</v>
      </c>
      <c r="H69" s="45">
        <f>Table5[[#This Row],[qty]]*Table5[[#This Row],[cost (each)]]</f>
        <v>12.5</v>
      </c>
      <c r="I69" s="1">
        <v>2024.12</v>
      </c>
    </row>
    <row r="70" spans="2:9" x14ac:dyDescent="0.25">
      <c r="B70" s="1" t="s">
        <v>188</v>
      </c>
      <c r="C70" s="1" t="s">
        <v>185</v>
      </c>
      <c r="D70" t="s">
        <v>186</v>
      </c>
      <c r="E70" s="28" t="s">
        <v>187</v>
      </c>
      <c r="F70" s="39">
        <v>0.99</v>
      </c>
      <c r="G70" s="1">
        <v>1</v>
      </c>
      <c r="H70" s="45">
        <f>Table5[[#This Row],[qty]]*Table5[[#This Row],[cost (each)]]</f>
        <v>0.99</v>
      </c>
      <c r="I70" s="1">
        <v>2024.12</v>
      </c>
    </row>
  </sheetData>
  <hyperlinks>
    <hyperlink ref="E61" r:id="rId1" display="upload design" xr:uid="{2384A747-F254-48F0-8258-9BF5054FF6C8}"/>
  </hyperlinks>
  <pageMargins left="0.39370078740157483" right="0.39370078740157483" top="0.47244094488188981" bottom="0.47244094488188981" header="0.31496062992125984" footer="0.31496062992125984"/>
  <pageSetup scale="64" orientation="portrait" horizontalDpi="300" verticalDpi="300" r:id="rId2"/>
  <ignoredErrors>
    <ignoredError sqref="I17:I35 I42:I54 I60:I61 I67 I37 I55" numberStoredAsText="1"/>
  </ignoredErrors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05981-0EFA-472F-8842-AE37F97FF7CD}">
  <sheetPr>
    <pageSetUpPr fitToPage="1"/>
  </sheetPr>
  <dimension ref="B1:D67"/>
  <sheetViews>
    <sheetView showGridLines="0" topLeftCell="A19" zoomScaleNormal="100" zoomScaleSheetLayoutView="85" workbookViewId="0">
      <selection activeCell="D2" sqref="D2:D4"/>
    </sheetView>
  </sheetViews>
  <sheetFormatPr defaultRowHeight="15" x14ac:dyDescent="0.25"/>
  <cols>
    <col min="1" max="1" width="3.140625" customWidth="1"/>
    <col min="2" max="2" width="10" customWidth="1"/>
    <col min="3" max="3" width="22.42578125" style="1" customWidth="1"/>
    <col min="4" max="4" width="86.5703125" style="1" customWidth="1"/>
  </cols>
  <sheetData>
    <row r="1" spans="2:4" ht="20.25" thickBot="1" x14ac:dyDescent="0.35">
      <c r="B1" s="9" t="s">
        <v>191</v>
      </c>
      <c r="C1" s="9"/>
    </row>
    <row r="2" spans="2:4" ht="15.75" thickTop="1" x14ac:dyDescent="0.25">
      <c r="B2" s="22" t="s">
        <v>96</v>
      </c>
      <c r="C2" s="21">
        <v>45640</v>
      </c>
      <c r="D2" s="52" t="s">
        <v>153</v>
      </c>
    </row>
    <row r="3" spans="2:4" x14ac:dyDescent="0.25">
      <c r="B3" s="47" t="s">
        <v>114</v>
      </c>
      <c r="C3" s="48" t="s">
        <v>115</v>
      </c>
      <c r="D3" s="52"/>
    </row>
    <row r="4" spans="2:4" x14ac:dyDescent="0.25">
      <c r="C4" s="10"/>
      <c r="D4" s="52"/>
    </row>
    <row r="5" spans="2:4" ht="18" thickBot="1" x14ac:dyDescent="0.35">
      <c r="C5" s="11" t="s">
        <v>97</v>
      </c>
      <c r="D5" s="11"/>
    </row>
    <row r="6" spans="2:4" ht="15.75" thickTop="1" x14ac:dyDescent="0.25">
      <c r="C6"/>
      <c r="D6"/>
    </row>
    <row r="7" spans="2:4" x14ac:dyDescent="0.25">
      <c r="C7" s="19" t="s">
        <v>129</v>
      </c>
      <c r="D7" s="19" t="s">
        <v>107</v>
      </c>
    </row>
    <row r="8" spans="2:4" ht="16.5" customHeight="1" x14ac:dyDescent="0.25">
      <c r="C8" s="15" t="s">
        <v>108</v>
      </c>
      <c r="D8" s="15" t="s">
        <v>5</v>
      </c>
    </row>
    <row r="9" spans="2:4" ht="16.5" customHeight="1" x14ac:dyDescent="0.25">
      <c r="C9" s="15" t="s">
        <v>109</v>
      </c>
      <c r="D9" s="15" t="s">
        <v>95</v>
      </c>
    </row>
    <row r="10" spans="2:4" ht="16.5" customHeight="1" x14ac:dyDescent="0.25">
      <c r="C10" s="15" t="s">
        <v>158</v>
      </c>
      <c r="D10" s="15" t="s">
        <v>11</v>
      </c>
    </row>
    <row r="11" spans="2:4" ht="16.5" customHeight="1" x14ac:dyDescent="0.25">
      <c r="C11" s="15" t="s">
        <v>110</v>
      </c>
      <c r="D11" s="15" t="s">
        <v>13</v>
      </c>
    </row>
    <row r="12" spans="2:4" ht="16.5" customHeight="1" x14ac:dyDescent="0.25">
      <c r="C12" s="15" t="s">
        <v>111</v>
      </c>
      <c r="D12" s="15" t="s">
        <v>15</v>
      </c>
    </row>
    <row r="13" spans="2:4" ht="16.5" customHeight="1" x14ac:dyDescent="0.25">
      <c r="C13" s="15" t="s">
        <v>112</v>
      </c>
      <c r="D13" s="15" t="s">
        <v>17</v>
      </c>
    </row>
    <row r="14" spans="2:4" ht="16.5" customHeight="1" x14ac:dyDescent="0.25">
      <c r="C14" s="15" t="s">
        <v>113</v>
      </c>
      <c r="D14" s="15" t="s">
        <v>19</v>
      </c>
    </row>
    <row r="15" spans="2:4" ht="16.5" customHeight="1" x14ac:dyDescent="0.25">
      <c r="C15" s="15" t="s">
        <v>130</v>
      </c>
      <c r="D15" s="15" t="s">
        <v>21</v>
      </c>
    </row>
    <row r="16" spans="2:4" ht="16.5" customHeight="1" x14ac:dyDescent="0.25">
      <c r="C16" s="15" t="s">
        <v>131</v>
      </c>
      <c r="D16" s="15" t="s">
        <v>24</v>
      </c>
    </row>
    <row r="17" spans="3:4" ht="16.5" customHeight="1" x14ac:dyDescent="0.25">
      <c r="C17" s="15" t="s">
        <v>132</v>
      </c>
      <c r="D17" s="15" t="s">
        <v>27</v>
      </c>
    </row>
    <row r="18" spans="3:4" ht="16.5" customHeight="1" x14ac:dyDescent="0.25">
      <c r="C18" s="15" t="s">
        <v>136</v>
      </c>
      <c r="D18" s="15" t="s">
        <v>29</v>
      </c>
    </row>
    <row r="19" spans="3:4" ht="16.5" customHeight="1" x14ac:dyDescent="0.25">
      <c r="C19" s="15" t="s">
        <v>137</v>
      </c>
      <c r="D19" s="15" t="s">
        <v>31</v>
      </c>
    </row>
    <row r="20" spans="3:4" ht="16.5" customHeight="1" x14ac:dyDescent="0.25">
      <c r="C20" s="15" t="s">
        <v>138</v>
      </c>
      <c r="D20" s="15" t="s">
        <v>33</v>
      </c>
    </row>
    <row r="21" spans="3:4" ht="16.5" customHeight="1" x14ac:dyDescent="0.25">
      <c r="C21" s="15" t="s">
        <v>139</v>
      </c>
      <c r="D21" s="15" t="s">
        <v>35</v>
      </c>
    </row>
    <row r="22" spans="3:4" ht="16.5" customHeight="1" x14ac:dyDescent="0.25">
      <c r="C22" s="15" t="s">
        <v>140</v>
      </c>
      <c r="D22" s="15" t="s">
        <v>37</v>
      </c>
    </row>
    <row r="23" spans="3:4" ht="16.5" customHeight="1" x14ac:dyDescent="0.25">
      <c r="C23" s="15" t="s">
        <v>142</v>
      </c>
      <c r="D23" s="15" t="s">
        <v>143</v>
      </c>
    </row>
    <row r="24" spans="3:4" ht="16.5" customHeight="1" x14ac:dyDescent="0.25">
      <c r="C24" s="15" t="s">
        <v>141</v>
      </c>
      <c r="D24" s="15" t="s">
        <v>40</v>
      </c>
    </row>
    <row r="25" spans="3:4" ht="16.5" customHeight="1" x14ac:dyDescent="0.25">
      <c r="C25" s="15" t="s">
        <v>144</v>
      </c>
      <c r="D25" s="15" t="s">
        <v>42</v>
      </c>
    </row>
    <row r="26" spans="3:4" ht="16.5" customHeight="1" x14ac:dyDescent="0.25">
      <c r="C26" s="15" t="s">
        <v>145</v>
      </c>
      <c r="D26" s="15" t="s">
        <v>44</v>
      </c>
    </row>
    <row r="27" spans="3:4" ht="16.5" customHeight="1" x14ac:dyDescent="0.25">
      <c r="C27" s="15" t="s">
        <v>147</v>
      </c>
      <c r="D27" s="15" t="s">
        <v>148</v>
      </c>
    </row>
    <row r="28" spans="3:4" ht="16.5" customHeight="1" x14ac:dyDescent="0.25">
      <c r="C28" s="15" t="s">
        <v>146</v>
      </c>
      <c r="D28" s="15" t="s">
        <v>46</v>
      </c>
    </row>
    <row r="29" spans="3:4" ht="16.5" customHeight="1" x14ac:dyDescent="0.25">
      <c r="C29" s="2"/>
      <c r="D29" s="2"/>
    </row>
    <row r="30" spans="3:4" ht="18" thickBot="1" x14ac:dyDescent="0.35">
      <c r="C30" s="11" t="s">
        <v>183</v>
      </c>
      <c r="D30" s="11"/>
    </row>
    <row r="31" spans="3:4" ht="15.75" thickTop="1" x14ac:dyDescent="0.25">
      <c r="C31"/>
      <c r="D31"/>
    </row>
    <row r="32" spans="3:4" x14ac:dyDescent="0.25">
      <c r="C32" s="12" t="s">
        <v>0</v>
      </c>
      <c r="D32" s="12" t="s">
        <v>133</v>
      </c>
    </row>
    <row r="33" spans="3:4" x14ac:dyDescent="0.25">
      <c r="C33" s="12" t="s">
        <v>123</v>
      </c>
      <c r="D33" s="12" t="s">
        <v>50</v>
      </c>
    </row>
    <row r="34" spans="3:4" x14ac:dyDescent="0.25">
      <c r="C34" s="12" t="s">
        <v>182</v>
      </c>
      <c r="D34" s="12" t="s">
        <v>52</v>
      </c>
    </row>
    <row r="35" spans="3:4" x14ac:dyDescent="0.25">
      <c r="C35" s="12" t="s">
        <v>117</v>
      </c>
      <c r="D35" s="12" t="s">
        <v>54</v>
      </c>
    </row>
    <row r="36" spans="3:4" x14ac:dyDescent="0.25">
      <c r="C36" s="12" t="s">
        <v>116</v>
      </c>
      <c r="D36" s="12" t="s">
        <v>57</v>
      </c>
    </row>
    <row r="37" spans="3:4" x14ac:dyDescent="0.25">
      <c r="C37" s="12" t="s">
        <v>118</v>
      </c>
      <c r="D37" s="12" t="s">
        <v>60</v>
      </c>
    </row>
    <row r="38" spans="3:4" x14ac:dyDescent="0.25">
      <c r="C38" s="12" t="s">
        <v>120</v>
      </c>
      <c r="D38" s="12" t="s">
        <v>62</v>
      </c>
    </row>
    <row r="39" spans="3:4" x14ac:dyDescent="0.25">
      <c r="C39" s="12" t="s">
        <v>122</v>
      </c>
      <c r="D39" s="12" t="s">
        <v>65</v>
      </c>
    </row>
    <row r="40" spans="3:4" x14ac:dyDescent="0.25">
      <c r="C40" s="12" t="s">
        <v>119</v>
      </c>
      <c r="D40" s="12" t="s">
        <v>68</v>
      </c>
    </row>
    <row r="41" spans="3:4" x14ac:dyDescent="0.25">
      <c r="C41" s="12" t="s">
        <v>121</v>
      </c>
      <c r="D41" s="12" t="s">
        <v>70</v>
      </c>
    </row>
    <row r="42" spans="3:4" x14ac:dyDescent="0.25">
      <c r="C42" s="12" t="s">
        <v>126</v>
      </c>
      <c r="D42" s="12" t="s">
        <v>72</v>
      </c>
    </row>
    <row r="43" spans="3:4" x14ac:dyDescent="0.25">
      <c r="C43" s="12" t="s">
        <v>181</v>
      </c>
      <c r="D43" s="12" t="s">
        <v>74</v>
      </c>
    </row>
    <row r="44" spans="3:4" x14ac:dyDescent="0.25">
      <c r="C44" s="12" t="s">
        <v>179</v>
      </c>
      <c r="D44" s="12" t="s">
        <v>77</v>
      </c>
    </row>
    <row r="45" spans="3:4" x14ac:dyDescent="0.25">
      <c r="C45" s="12" t="s">
        <v>180</v>
      </c>
      <c r="D45" s="12" t="s">
        <v>80</v>
      </c>
    </row>
    <row r="46" spans="3:4" x14ac:dyDescent="0.25">
      <c r="C46" s="12" t="s">
        <v>127</v>
      </c>
      <c r="D46" s="12" t="s">
        <v>82</v>
      </c>
    </row>
    <row r="47" spans="3:4" x14ac:dyDescent="0.25">
      <c r="C47" s="12" t="s">
        <v>128</v>
      </c>
      <c r="D47" s="12" t="s">
        <v>83</v>
      </c>
    </row>
    <row r="48" spans="3:4" x14ac:dyDescent="0.25">
      <c r="C48" s="2"/>
      <c r="D48" s="2"/>
    </row>
    <row r="49" spans="3:4" ht="18" thickBot="1" x14ac:dyDescent="0.35">
      <c r="C49" s="11" t="s">
        <v>190</v>
      </c>
      <c r="D49" s="11"/>
    </row>
    <row r="50" spans="3:4" ht="15.75" thickTop="1" x14ac:dyDescent="0.25">
      <c r="C50" s="2"/>
      <c r="D50" s="2"/>
    </row>
    <row r="51" spans="3:4" ht="16.5" customHeight="1" x14ac:dyDescent="0.25">
      <c r="C51" t="s">
        <v>0</v>
      </c>
      <c r="D51" t="s">
        <v>107</v>
      </c>
    </row>
    <row r="52" spans="3:4" x14ac:dyDescent="0.25">
      <c r="C52" s="15" t="s">
        <v>159</v>
      </c>
      <c r="D52" s="15" t="s">
        <v>154</v>
      </c>
    </row>
    <row r="53" spans="3:4" x14ac:dyDescent="0.25">
      <c r="C53" s="15" t="s">
        <v>125</v>
      </c>
      <c r="D53" s="15" t="s">
        <v>189</v>
      </c>
    </row>
    <row r="54" spans="3:4" x14ac:dyDescent="0.25">
      <c r="C54" s="2"/>
      <c r="D54" s="2"/>
    </row>
    <row r="55" spans="3:4" x14ac:dyDescent="0.25">
      <c r="C55" s="5"/>
      <c r="D55" s="5"/>
    </row>
    <row r="56" spans="3:4" ht="18" thickBot="1" x14ac:dyDescent="0.35">
      <c r="C56" s="11" t="s">
        <v>184</v>
      </c>
      <c r="D56" s="11"/>
    </row>
    <row r="57" spans="3:4" ht="15.75" thickTop="1" x14ac:dyDescent="0.25">
      <c r="C57" s="5"/>
      <c r="D57" s="5"/>
    </row>
    <row r="58" spans="3:4" x14ac:dyDescent="0.25">
      <c r="C58" s="30" t="s">
        <v>0</v>
      </c>
      <c r="D58" s="30" t="s">
        <v>133</v>
      </c>
    </row>
    <row r="59" spans="3:4" x14ac:dyDescent="0.25">
      <c r="C59" s="20" t="s">
        <v>124</v>
      </c>
      <c r="D59" s="15" t="s">
        <v>92</v>
      </c>
    </row>
    <row r="60" spans="3:4" x14ac:dyDescent="0.25">
      <c r="C60" s="20" t="s">
        <v>149</v>
      </c>
      <c r="D60" s="15" t="s">
        <v>150</v>
      </c>
    </row>
    <row r="61" spans="3:4" x14ac:dyDescent="0.25">
      <c r="C61" s="4" t="s">
        <v>151</v>
      </c>
      <c r="D61" s="4" t="s">
        <v>152</v>
      </c>
    </row>
    <row r="62" spans="3:4" x14ac:dyDescent="0.25">
      <c r="C62" s="20" t="s">
        <v>157</v>
      </c>
      <c r="D62" s="15" t="s">
        <v>85</v>
      </c>
    </row>
    <row r="65" spans="4:4" x14ac:dyDescent="0.25">
      <c r="D65" s="8"/>
    </row>
    <row r="66" spans="4:4" x14ac:dyDescent="0.25">
      <c r="D66" s="8"/>
    </row>
    <row r="67" spans="4:4" x14ac:dyDescent="0.25">
      <c r="D67" s="8"/>
    </row>
  </sheetData>
  <mergeCells count="1">
    <mergeCell ref="D2:D4"/>
  </mergeCells>
  <pageMargins left="0.5" right="0.5" top="0.75" bottom="0.75" header="0.3" footer="0.3"/>
  <pageSetup scale="71" orientation="portrait" horizontalDpi="300" verticalDpi="30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BOM_usa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Malawey</dc:creator>
  <cp:lastModifiedBy>Malawey, David P</cp:lastModifiedBy>
  <cp:lastPrinted>2024-12-16T23:20:11Z</cp:lastPrinted>
  <dcterms:created xsi:type="dcterms:W3CDTF">2023-01-04T22:58:03Z</dcterms:created>
  <dcterms:modified xsi:type="dcterms:W3CDTF">2025-08-15T20:27:21Z</dcterms:modified>
</cp:coreProperties>
</file>